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p5hq\RestrictedSchools$\Official stats and MI\MI\Covid transparency data\19 Feb 2021\FInal\"/>
    </mc:Choice>
  </mc:AlternateContent>
  <xr:revisionPtr revIDLastSave="0" documentId="13_ncr:1_{F2B03E74-754A-4CD8-BADA-2A1442B1CA15}" xr6:coauthVersionLast="45" xr6:coauthVersionMax="45" xr10:uidLastSave="{00000000-0000-0000-0000-000000000000}"/>
  <bookViews>
    <workbookView xWindow="-120" yWindow="-120" windowWidth="29040" windowHeight="15840" tabRatio="554" xr2:uid="{AEE1F0E0-AE61-45CC-872F-C2F4CBB47FE9}"/>
  </bookViews>
  <sheets>
    <sheet name="Cover Page" sheetId="2" r:id="rId1"/>
    <sheet name="Guidance" sheetId="14" r:id="rId2"/>
    <sheet name="Date" sheetId="15" state="hidden" r:id="rId3"/>
    <sheet name="Pivot " sheetId="4" state="hidden" r:id="rId4"/>
    <sheet name="Table" sheetId="12" r:id="rId5"/>
    <sheet name="Data" sheetId="6" r:id="rId6"/>
  </sheets>
  <definedNames>
    <definedName name="_xlnm._FilterDatabase" localSheetId="5" hidden="1">Data!$A$1:$U$1282</definedName>
    <definedName name="_xlnm._FilterDatabase" localSheetId="4" hidden="1">Table!$B$6:$B$169</definedName>
  </definedNames>
  <calcPr calcId="191028"/>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 l="1"/>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1009" i="6"/>
  <c r="A1010" i="6"/>
  <c r="A1011" i="6"/>
  <c r="A1012" i="6"/>
  <c r="A1013" i="6"/>
  <c r="A1014" i="6"/>
  <c r="A1015" i="6"/>
  <c r="A1016" i="6"/>
  <c r="A1017" i="6"/>
  <c r="A1018" i="6"/>
  <c r="A1019" i="6"/>
  <c r="A1020" i="6"/>
  <c r="A1021" i="6"/>
  <c r="A1022" i="6"/>
  <c r="A1023" i="6"/>
  <c r="A1024" i="6"/>
  <c r="A1025" i="6"/>
  <c r="A1026" i="6"/>
  <c r="A1027" i="6"/>
  <c r="A1028" i="6"/>
  <c r="A1029" i="6"/>
  <c r="A1030" i="6"/>
  <c r="A1031" i="6"/>
  <c r="A1032" i="6"/>
  <c r="A1033" i="6"/>
  <c r="A1034" i="6"/>
  <c r="A1035" i="6"/>
  <c r="A1036" i="6"/>
  <c r="A1037" i="6"/>
  <c r="A1038" i="6"/>
  <c r="A1039" i="6"/>
  <c r="A1040" i="6"/>
  <c r="A1041" i="6"/>
  <c r="A1042" i="6"/>
  <c r="A1043" i="6"/>
  <c r="A1044" i="6"/>
  <c r="A1045" i="6"/>
  <c r="A1046" i="6"/>
  <c r="A1047" i="6"/>
  <c r="A1048" i="6"/>
  <c r="A1049" i="6"/>
  <c r="A1050" i="6"/>
  <c r="A1051" i="6"/>
  <c r="A1052" i="6"/>
  <c r="A1053" i="6"/>
  <c r="A1054" i="6"/>
  <c r="A1055" i="6"/>
  <c r="A1056" i="6"/>
  <c r="A1057" i="6"/>
  <c r="A1058" i="6"/>
  <c r="A1059" i="6"/>
  <c r="A1060" i="6"/>
  <c r="A1061" i="6"/>
  <c r="A1062" i="6"/>
  <c r="A1063" i="6"/>
  <c r="A1064" i="6"/>
  <c r="A1065" i="6"/>
  <c r="A1066" i="6"/>
  <c r="A1067" i="6"/>
  <c r="A1068" i="6"/>
  <c r="A1069" i="6"/>
  <c r="A1070" i="6"/>
  <c r="A1071" i="6"/>
  <c r="A1072" i="6"/>
  <c r="A1073" i="6"/>
  <c r="A1074" i="6"/>
  <c r="A1075" i="6"/>
  <c r="A1076" i="6"/>
  <c r="A1077" i="6"/>
  <c r="A1078" i="6"/>
  <c r="A1079" i="6"/>
  <c r="A1080" i="6"/>
  <c r="A1081" i="6"/>
  <c r="A1082" i="6"/>
  <c r="A1083" i="6"/>
  <c r="A1084" i="6"/>
  <c r="A1085" i="6"/>
  <c r="A1086" i="6"/>
  <c r="A1087" i="6"/>
  <c r="A1088" i="6"/>
  <c r="A1089" i="6"/>
  <c r="A1090" i="6"/>
  <c r="A1091" i="6"/>
  <c r="A1092" i="6"/>
  <c r="A1093" i="6"/>
  <c r="A1094" i="6"/>
  <c r="A1095" i="6"/>
  <c r="A1096" i="6"/>
  <c r="A1097" i="6"/>
  <c r="A1098" i="6"/>
  <c r="A1099" i="6"/>
  <c r="A1100" i="6"/>
  <c r="A1101" i="6"/>
  <c r="A1102" i="6"/>
  <c r="A1103" i="6"/>
  <c r="A1104" i="6"/>
  <c r="A1105" i="6"/>
  <c r="A1106" i="6"/>
  <c r="A1107" i="6"/>
  <c r="A1108" i="6"/>
  <c r="A1109" i="6"/>
  <c r="A1110" i="6"/>
  <c r="A1111" i="6"/>
  <c r="A1112" i="6"/>
  <c r="A1113" i="6"/>
  <c r="A1114" i="6"/>
  <c r="A1115" i="6"/>
  <c r="A1116" i="6"/>
  <c r="A1117" i="6"/>
  <c r="A1118" i="6"/>
  <c r="A1119" i="6"/>
  <c r="A1120" i="6"/>
  <c r="A1121" i="6"/>
  <c r="A1122" i="6"/>
  <c r="A1123" i="6"/>
  <c r="A1124" i="6"/>
  <c r="A1125" i="6"/>
  <c r="A1126" i="6"/>
  <c r="A1127" i="6"/>
  <c r="A1128" i="6"/>
  <c r="A1129" i="6"/>
  <c r="A1130" i="6"/>
  <c r="A1131" i="6"/>
  <c r="A1132" i="6"/>
  <c r="A1133" i="6"/>
  <c r="A1134" i="6"/>
  <c r="A1135" i="6"/>
  <c r="A1136" i="6"/>
  <c r="A1137" i="6"/>
  <c r="A1138" i="6"/>
  <c r="A1139" i="6"/>
  <c r="A1140" i="6"/>
  <c r="A1141" i="6"/>
  <c r="A1142" i="6"/>
  <c r="A1143" i="6"/>
  <c r="A1144" i="6"/>
  <c r="A1145" i="6"/>
  <c r="A1146" i="6"/>
  <c r="A1147" i="6"/>
  <c r="A1148" i="6"/>
  <c r="A1149" i="6"/>
  <c r="A1150" i="6"/>
  <c r="A1151" i="6"/>
  <c r="A1152" i="6"/>
  <c r="A1153" i="6"/>
  <c r="A1154" i="6"/>
  <c r="A1155" i="6"/>
  <c r="A1156" i="6"/>
  <c r="A1157" i="6"/>
  <c r="A1158" i="6"/>
  <c r="A1159" i="6"/>
  <c r="A1160" i="6"/>
  <c r="A1161" i="6"/>
  <c r="A1162" i="6"/>
  <c r="A1163" i="6"/>
  <c r="A1164" i="6"/>
  <c r="A1165" i="6"/>
  <c r="A1166" i="6"/>
  <c r="A1167" i="6"/>
  <c r="A1168" i="6"/>
  <c r="A1169" i="6"/>
  <c r="A1170" i="6"/>
  <c r="A1171" i="6"/>
  <c r="A1172" i="6"/>
  <c r="A1173" i="6"/>
  <c r="A1174" i="6"/>
  <c r="A1175" i="6"/>
  <c r="A1176" i="6"/>
  <c r="A1177" i="6"/>
  <c r="A1178" i="6"/>
  <c r="A1179" i="6"/>
  <c r="A1180" i="6"/>
  <c r="A1181" i="6"/>
  <c r="A1182" i="6"/>
  <c r="A1183" i="6"/>
  <c r="A1184" i="6"/>
  <c r="A1185" i="6"/>
  <c r="A1186" i="6"/>
  <c r="A1187" i="6"/>
  <c r="A1188" i="6"/>
  <c r="A1189" i="6"/>
  <c r="A1190" i="6"/>
  <c r="A1191" i="6"/>
  <c r="A1192" i="6"/>
  <c r="A1193" i="6"/>
  <c r="A1194" i="6"/>
  <c r="A1195" i="6"/>
  <c r="A1196" i="6"/>
  <c r="A1197" i="6"/>
  <c r="A1198" i="6"/>
  <c r="A1199" i="6"/>
  <c r="A1200" i="6"/>
  <c r="A1201" i="6"/>
  <c r="A1202" i="6"/>
  <c r="A1203" i="6"/>
  <c r="A1204" i="6"/>
  <c r="A1205" i="6"/>
  <c r="A1206" i="6"/>
  <c r="A1207" i="6"/>
  <c r="A1208" i="6"/>
  <c r="A1209" i="6"/>
  <c r="A1210" i="6"/>
  <c r="A1211" i="6"/>
  <c r="A1212" i="6"/>
  <c r="A1213" i="6"/>
  <c r="A1214" i="6"/>
  <c r="A1215" i="6"/>
  <c r="A1216" i="6"/>
  <c r="A1217" i="6"/>
  <c r="A1218" i="6"/>
  <c r="A1219" i="6"/>
  <c r="A1220" i="6"/>
  <c r="A1221" i="6"/>
  <c r="A1222" i="6"/>
  <c r="A1223" i="6"/>
  <c r="A1224" i="6"/>
  <c r="A1225" i="6"/>
  <c r="A1226" i="6"/>
  <c r="A1227" i="6"/>
  <c r="A1228" i="6"/>
  <c r="A1229" i="6"/>
  <c r="A1230" i="6"/>
  <c r="A1231" i="6"/>
  <c r="A1232" i="6"/>
  <c r="A1233" i="6"/>
  <c r="A1234" i="6"/>
  <c r="A1235" i="6"/>
  <c r="A1236" i="6"/>
  <c r="A1237" i="6"/>
  <c r="A1238" i="6"/>
  <c r="A1239" i="6"/>
  <c r="A1240" i="6"/>
  <c r="A1241" i="6"/>
  <c r="A1242" i="6"/>
  <c r="A1243" i="6"/>
  <c r="A1244" i="6"/>
  <c r="A1245" i="6"/>
  <c r="A1246" i="6"/>
  <c r="A1247" i="6"/>
  <c r="A1248" i="6"/>
  <c r="A1249" i="6"/>
  <c r="A1250" i="6"/>
  <c r="A1251" i="6"/>
  <c r="A1252" i="6"/>
  <c r="A1253" i="6"/>
  <c r="A1254" i="6"/>
  <c r="A1255" i="6"/>
  <c r="A1256" i="6"/>
  <c r="A1257" i="6"/>
  <c r="A1258" i="6"/>
  <c r="A1259" i="6"/>
  <c r="A1260" i="6"/>
  <c r="A1261" i="6"/>
  <c r="A1262" i="6"/>
  <c r="A1263" i="6"/>
  <c r="A1264" i="6"/>
  <c r="A1265" i="6"/>
  <c r="A1266" i="6"/>
  <c r="A1267" i="6"/>
  <c r="A1268" i="6"/>
  <c r="A1269" i="6"/>
  <c r="A1270" i="6"/>
  <c r="A1271" i="6"/>
  <c r="A1272" i="6"/>
  <c r="A1273" i="6"/>
  <c r="A1274" i="6"/>
  <c r="A1275" i="6"/>
  <c r="A1276" i="6"/>
  <c r="A1277" i="6"/>
  <c r="A1278" i="6"/>
  <c r="A1279" i="6"/>
  <c r="A1280" i="6"/>
  <c r="A1281" i="6"/>
  <c r="A1282" i="6"/>
  <c r="C6" i="2" l="1"/>
  <c r="H169" i="12" l="1"/>
  <c r="G169" i="12"/>
  <c r="F169" i="12"/>
  <c r="E169" i="12"/>
  <c r="D169" i="12"/>
  <c r="H168" i="12"/>
  <c r="G168" i="12"/>
  <c r="F168" i="12"/>
  <c r="E168" i="12"/>
  <c r="D168" i="12"/>
  <c r="H167" i="12"/>
  <c r="G167" i="12"/>
  <c r="F167" i="12"/>
  <c r="E167" i="12"/>
  <c r="D167" i="12"/>
  <c r="H166" i="12"/>
  <c r="G166" i="12"/>
  <c r="F166" i="12"/>
  <c r="E166" i="12"/>
  <c r="D166" i="12"/>
  <c r="H165" i="12"/>
  <c r="G165" i="12"/>
  <c r="F165" i="12"/>
  <c r="E165" i="12"/>
  <c r="D165" i="12"/>
  <c r="H164" i="12"/>
  <c r="G164" i="12"/>
  <c r="F164" i="12"/>
  <c r="E164" i="12"/>
  <c r="D164" i="12"/>
  <c r="H163" i="12"/>
  <c r="G163" i="12"/>
  <c r="F163" i="12"/>
  <c r="E163" i="12"/>
  <c r="D163" i="12"/>
  <c r="H162" i="12"/>
  <c r="G162" i="12"/>
  <c r="F162" i="12"/>
  <c r="E162" i="12"/>
  <c r="D162" i="12"/>
  <c r="H161" i="12"/>
  <c r="G161" i="12"/>
  <c r="F161" i="12"/>
  <c r="E161" i="12"/>
  <c r="D161" i="12"/>
  <c r="H160" i="12"/>
  <c r="G160" i="12"/>
  <c r="F160" i="12"/>
  <c r="E160" i="12"/>
  <c r="D160" i="12"/>
  <c r="H159" i="12"/>
  <c r="G159" i="12"/>
  <c r="F159" i="12"/>
  <c r="E159" i="12"/>
  <c r="D159" i="12"/>
  <c r="H158" i="12"/>
  <c r="G158" i="12"/>
  <c r="F158" i="12"/>
  <c r="E158" i="12"/>
  <c r="D158" i="12"/>
  <c r="H157" i="12"/>
  <c r="G157" i="12"/>
  <c r="F157" i="12"/>
  <c r="E157" i="12"/>
  <c r="D157" i="12"/>
  <c r="H156" i="12"/>
  <c r="G156" i="12"/>
  <c r="F156" i="12"/>
  <c r="E156" i="12"/>
  <c r="D156" i="12"/>
  <c r="H155" i="12"/>
  <c r="G155" i="12"/>
  <c r="F155" i="12"/>
  <c r="E155" i="12"/>
  <c r="D155" i="12"/>
  <c r="H153" i="12"/>
  <c r="G153" i="12"/>
  <c r="F153" i="12"/>
  <c r="E153" i="12"/>
  <c r="D153" i="12"/>
  <c r="H152" i="12"/>
  <c r="G152" i="12"/>
  <c r="F152" i="12"/>
  <c r="E152" i="12"/>
  <c r="D152" i="12"/>
  <c r="H151" i="12"/>
  <c r="G151" i="12"/>
  <c r="F151" i="12"/>
  <c r="E151" i="12"/>
  <c r="D151" i="12"/>
  <c r="H150" i="12"/>
  <c r="G150" i="12"/>
  <c r="F150" i="12"/>
  <c r="E150" i="12"/>
  <c r="D150" i="12"/>
  <c r="H149" i="12"/>
  <c r="G149" i="12"/>
  <c r="F149" i="12"/>
  <c r="E149" i="12"/>
  <c r="D149" i="12"/>
  <c r="H148" i="12"/>
  <c r="G148" i="12"/>
  <c r="F148" i="12"/>
  <c r="E148" i="12"/>
  <c r="D148" i="12"/>
  <c r="H147" i="12"/>
  <c r="G147" i="12"/>
  <c r="F147" i="12"/>
  <c r="E147" i="12"/>
  <c r="D147" i="12"/>
  <c r="H146" i="12"/>
  <c r="G146" i="12"/>
  <c r="F146" i="12"/>
  <c r="E146" i="12"/>
  <c r="D146" i="12"/>
  <c r="H145" i="12"/>
  <c r="G145" i="12"/>
  <c r="F145" i="12"/>
  <c r="E145" i="12"/>
  <c r="D145" i="12"/>
  <c r="H144" i="12"/>
  <c r="G144" i="12"/>
  <c r="F144" i="12"/>
  <c r="E144" i="12"/>
  <c r="D144" i="12"/>
  <c r="H143" i="12"/>
  <c r="G143" i="12"/>
  <c r="F143" i="12"/>
  <c r="E143" i="12"/>
  <c r="D143" i="12"/>
  <c r="H142" i="12"/>
  <c r="G142" i="12"/>
  <c r="F142" i="12"/>
  <c r="E142" i="12"/>
  <c r="D142" i="12"/>
  <c r="H141" i="12"/>
  <c r="G141" i="12"/>
  <c r="F141" i="12"/>
  <c r="E141" i="12"/>
  <c r="D141" i="12"/>
  <c r="H140" i="12"/>
  <c r="G140" i="12"/>
  <c r="F140" i="12"/>
  <c r="E140" i="12"/>
  <c r="D140" i="12"/>
  <c r="H139" i="12"/>
  <c r="G139" i="12"/>
  <c r="F139" i="12"/>
  <c r="E139" i="12"/>
  <c r="D139" i="12"/>
  <c r="H138" i="12"/>
  <c r="G138" i="12"/>
  <c r="F138" i="12"/>
  <c r="E138" i="12"/>
  <c r="D138" i="12"/>
  <c r="H137" i="12"/>
  <c r="G137" i="12"/>
  <c r="F137" i="12"/>
  <c r="E137" i="12"/>
  <c r="D137" i="12"/>
  <c r="H136" i="12"/>
  <c r="G136" i="12"/>
  <c r="F136" i="12"/>
  <c r="E136" i="12"/>
  <c r="D136" i="12"/>
  <c r="H135" i="12"/>
  <c r="G135" i="12"/>
  <c r="F135" i="12"/>
  <c r="E135" i="12"/>
  <c r="D135" i="12"/>
  <c r="H133" i="12"/>
  <c r="G133" i="12"/>
  <c r="F133" i="12"/>
  <c r="E133" i="12"/>
  <c r="D133" i="12"/>
  <c r="H132" i="12"/>
  <c r="G132" i="12"/>
  <c r="F132" i="12"/>
  <c r="E132" i="12"/>
  <c r="D132" i="12"/>
  <c r="H131" i="12"/>
  <c r="G131" i="12"/>
  <c r="F131" i="12"/>
  <c r="E131" i="12"/>
  <c r="D131" i="12"/>
  <c r="H130" i="12"/>
  <c r="G130" i="12"/>
  <c r="F130" i="12"/>
  <c r="E130" i="12"/>
  <c r="D130" i="12"/>
  <c r="H129" i="12"/>
  <c r="G129" i="12"/>
  <c r="F129" i="12"/>
  <c r="E129" i="12"/>
  <c r="D129" i="12"/>
  <c r="H128" i="12"/>
  <c r="G128" i="12"/>
  <c r="F128" i="12"/>
  <c r="E128" i="12"/>
  <c r="D128" i="12"/>
  <c r="H127" i="12"/>
  <c r="G127" i="12"/>
  <c r="F127" i="12"/>
  <c r="E127" i="12"/>
  <c r="D127" i="12"/>
  <c r="H126" i="12"/>
  <c r="G126" i="12"/>
  <c r="F126" i="12"/>
  <c r="E126" i="12"/>
  <c r="D126" i="12"/>
  <c r="H125" i="12"/>
  <c r="G125" i="12"/>
  <c r="F125" i="12"/>
  <c r="E125" i="12"/>
  <c r="D125" i="12"/>
  <c r="H124" i="12"/>
  <c r="G124" i="12"/>
  <c r="F124" i="12"/>
  <c r="E124" i="12"/>
  <c r="D124" i="12"/>
  <c r="H123" i="12"/>
  <c r="G123" i="12"/>
  <c r="F123" i="12"/>
  <c r="E123" i="12"/>
  <c r="D123" i="12"/>
  <c r="H122" i="12"/>
  <c r="G122" i="12"/>
  <c r="F122" i="12"/>
  <c r="E122" i="12"/>
  <c r="D122" i="12"/>
  <c r="H121" i="12"/>
  <c r="G121" i="12"/>
  <c r="F121" i="12"/>
  <c r="E121" i="12"/>
  <c r="D121" i="12"/>
  <c r="H120" i="12"/>
  <c r="G120" i="12"/>
  <c r="F120" i="12"/>
  <c r="E120" i="12"/>
  <c r="D120" i="12"/>
  <c r="H119" i="12"/>
  <c r="G119" i="12"/>
  <c r="F119" i="12"/>
  <c r="E119" i="12"/>
  <c r="D119" i="12"/>
  <c r="H118" i="12"/>
  <c r="G118" i="12"/>
  <c r="F118" i="12"/>
  <c r="E118" i="12"/>
  <c r="D118" i="12"/>
  <c r="H117" i="12"/>
  <c r="G117" i="12"/>
  <c r="F117" i="12"/>
  <c r="E117" i="12"/>
  <c r="D117" i="12"/>
  <c r="H116" i="12"/>
  <c r="G116" i="12"/>
  <c r="F116" i="12"/>
  <c r="E116" i="12"/>
  <c r="D116" i="12"/>
  <c r="H115" i="12"/>
  <c r="G115" i="12"/>
  <c r="F115" i="12"/>
  <c r="E115" i="12"/>
  <c r="D115" i="12"/>
  <c r="H114" i="12"/>
  <c r="G114" i="12"/>
  <c r="F114" i="12"/>
  <c r="E114" i="12"/>
  <c r="D114" i="12"/>
  <c r="H113" i="12"/>
  <c r="G113" i="12"/>
  <c r="F113" i="12"/>
  <c r="E113" i="12"/>
  <c r="D113" i="12"/>
  <c r="H112" i="12"/>
  <c r="G112" i="12"/>
  <c r="F112" i="12"/>
  <c r="E112" i="12"/>
  <c r="D112" i="12"/>
  <c r="H111" i="12"/>
  <c r="G111" i="12"/>
  <c r="F111" i="12"/>
  <c r="E111" i="12"/>
  <c r="D111" i="12"/>
  <c r="H110" i="12"/>
  <c r="G110" i="12"/>
  <c r="F110" i="12"/>
  <c r="E110" i="12"/>
  <c r="D110" i="12"/>
  <c r="H109" i="12"/>
  <c r="G109" i="12"/>
  <c r="F109" i="12"/>
  <c r="E109" i="12"/>
  <c r="D109" i="12"/>
  <c r="H108" i="12"/>
  <c r="G108" i="12"/>
  <c r="F108" i="12"/>
  <c r="E108" i="12"/>
  <c r="D108" i="12"/>
  <c r="H107" i="12"/>
  <c r="G107" i="12"/>
  <c r="F107" i="12"/>
  <c r="E107" i="12"/>
  <c r="D107" i="12"/>
  <c r="H106" i="12"/>
  <c r="G106" i="12"/>
  <c r="F106" i="12"/>
  <c r="E106" i="12"/>
  <c r="D106" i="12"/>
  <c r="H105" i="12"/>
  <c r="G105" i="12"/>
  <c r="F105" i="12"/>
  <c r="E105" i="12"/>
  <c r="D105" i="12"/>
  <c r="H104" i="12"/>
  <c r="G104" i="12"/>
  <c r="F104" i="12"/>
  <c r="E104" i="12"/>
  <c r="D104" i="12"/>
  <c r="H103" i="12"/>
  <c r="G103" i="12"/>
  <c r="F103" i="12"/>
  <c r="E103" i="12"/>
  <c r="D103" i="12"/>
  <c r="H102" i="12"/>
  <c r="G102" i="12"/>
  <c r="F102" i="12"/>
  <c r="E102" i="12"/>
  <c r="D102" i="12"/>
  <c r="H101" i="12"/>
  <c r="G101" i="12"/>
  <c r="F101" i="12"/>
  <c r="E101" i="12"/>
  <c r="D101" i="12"/>
  <c r="H99" i="12"/>
  <c r="G99" i="12"/>
  <c r="F99" i="12"/>
  <c r="E99" i="12"/>
  <c r="D99" i="12"/>
  <c r="H98" i="12"/>
  <c r="G98" i="12"/>
  <c r="F98" i="12"/>
  <c r="E98" i="12"/>
  <c r="D98" i="12"/>
  <c r="H97" i="12"/>
  <c r="G97" i="12"/>
  <c r="F97" i="12"/>
  <c r="E97" i="12"/>
  <c r="D97" i="12"/>
  <c r="H96" i="12"/>
  <c r="G96" i="12"/>
  <c r="F96" i="12"/>
  <c r="E96" i="12"/>
  <c r="D96" i="12"/>
  <c r="H95" i="12"/>
  <c r="G95" i="12"/>
  <c r="F95" i="12"/>
  <c r="E95" i="12"/>
  <c r="D95" i="12"/>
  <c r="H94" i="12"/>
  <c r="G94" i="12"/>
  <c r="F94" i="12"/>
  <c r="E94" i="12"/>
  <c r="D94" i="12"/>
  <c r="H93" i="12"/>
  <c r="G93" i="12"/>
  <c r="F93" i="12"/>
  <c r="E93" i="12"/>
  <c r="D93" i="12"/>
  <c r="H92" i="12"/>
  <c r="G92" i="12"/>
  <c r="F92" i="12"/>
  <c r="E92" i="12"/>
  <c r="D92" i="12"/>
  <c r="H91" i="12"/>
  <c r="G91" i="12"/>
  <c r="F91" i="12"/>
  <c r="E91" i="12"/>
  <c r="D91" i="12"/>
  <c r="H90" i="12"/>
  <c r="G90" i="12"/>
  <c r="F90" i="12"/>
  <c r="E90" i="12"/>
  <c r="D90" i="12"/>
  <c r="H89" i="12"/>
  <c r="G89" i="12"/>
  <c r="F89" i="12"/>
  <c r="E89" i="12"/>
  <c r="D89" i="12"/>
  <c r="H87" i="12"/>
  <c r="G87" i="12"/>
  <c r="F87" i="12"/>
  <c r="E87" i="12"/>
  <c r="D87" i="12"/>
  <c r="H86" i="12"/>
  <c r="G86" i="12"/>
  <c r="F86" i="12"/>
  <c r="E86" i="12"/>
  <c r="D86" i="12"/>
  <c r="H85" i="12"/>
  <c r="G85" i="12"/>
  <c r="F85" i="12"/>
  <c r="E85" i="12"/>
  <c r="D85" i="12"/>
  <c r="H84" i="12"/>
  <c r="G84" i="12"/>
  <c r="F84" i="12"/>
  <c r="E84" i="12"/>
  <c r="D84" i="12"/>
  <c r="H83" i="12"/>
  <c r="G83" i="12"/>
  <c r="F83" i="12"/>
  <c r="E83" i="12"/>
  <c r="D83" i="12"/>
  <c r="H82" i="12"/>
  <c r="G82" i="12"/>
  <c r="F82" i="12"/>
  <c r="E82" i="12"/>
  <c r="D82" i="12"/>
  <c r="H81" i="12"/>
  <c r="G81" i="12"/>
  <c r="F81" i="12"/>
  <c r="E81" i="12"/>
  <c r="D81" i="12"/>
  <c r="H80" i="12"/>
  <c r="G80" i="12"/>
  <c r="F80" i="12"/>
  <c r="E80" i="12"/>
  <c r="D80" i="12"/>
  <c r="H79" i="12"/>
  <c r="G79" i="12"/>
  <c r="F79" i="12"/>
  <c r="E79" i="12"/>
  <c r="D79" i="12"/>
  <c r="H78" i="12"/>
  <c r="G78" i="12"/>
  <c r="F78" i="12"/>
  <c r="E78" i="12"/>
  <c r="D78" i="12"/>
  <c r="H77" i="12"/>
  <c r="G77" i="12"/>
  <c r="F77" i="12"/>
  <c r="E77" i="12"/>
  <c r="D77" i="12"/>
  <c r="H76" i="12"/>
  <c r="G76" i="12"/>
  <c r="F76" i="12"/>
  <c r="E76" i="12"/>
  <c r="D76" i="12"/>
  <c r="H75" i="12"/>
  <c r="G75" i="12"/>
  <c r="F75" i="12"/>
  <c r="E75" i="12"/>
  <c r="D75" i="12"/>
  <c r="H74" i="12"/>
  <c r="G74" i="12"/>
  <c r="F74" i="12"/>
  <c r="E74" i="12"/>
  <c r="D74" i="12"/>
  <c r="H72" i="12"/>
  <c r="G72" i="12"/>
  <c r="F72" i="12"/>
  <c r="E72" i="12"/>
  <c r="D72" i="12"/>
  <c r="H71" i="12"/>
  <c r="G71" i="12"/>
  <c r="F71" i="12"/>
  <c r="E71" i="12"/>
  <c r="D71" i="12"/>
  <c r="H70" i="12"/>
  <c r="G70" i="12"/>
  <c r="F70" i="12"/>
  <c r="E70" i="12"/>
  <c r="D70" i="12"/>
  <c r="H69" i="12"/>
  <c r="G69" i="12"/>
  <c r="F69" i="12"/>
  <c r="E69" i="12"/>
  <c r="D69" i="12"/>
  <c r="H68" i="12"/>
  <c r="G68" i="12"/>
  <c r="F68" i="12"/>
  <c r="E68" i="12"/>
  <c r="D68" i="12"/>
  <c r="H67" i="12"/>
  <c r="G67" i="12"/>
  <c r="F67" i="12"/>
  <c r="E67" i="12"/>
  <c r="D67" i="12"/>
  <c r="H66" i="12"/>
  <c r="G66" i="12"/>
  <c r="F66" i="12"/>
  <c r="E66" i="12"/>
  <c r="D66" i="12"/>
  <c r="H65" i="12"/>
  <c r="G65" i="12"/>
  <c r="F65" i="12"/>
  <c r="E65" i="12"/>
  <c r="D65" i="12"/>
  <c r="H64" i="12"/>
  <c r="G64" i="12"/>
  <c r="F64" i="12"/>
  <c r="E64" i="12"/>
  <c r="D64" i="12"/>
  <c r="H62" i="12"/>
  <c r="G62" i="12"/>
  <c r="F62" i="12"/>
  <c r="E62" i="12"/>
  <c r="D62" i="12"/>
  <c r="H61" i="12"/>
  <c r="G61" i="12"/>
  <c r="F61" i="12"/>
  <c r="E61" i="12"/>
  <c r="D61" i="12"/>
  <c r="H60" i="12"/>
  <c r="G60" i="12"/>
  <c r="F60" i="12"/>
  <c r="E60" i="12"/>
  <c r="D60" i="12"/>
  <c r="H59" i="12"/>
  <c r="G59" i="12"/>
  <c r="F59" i="12"/>
  <c r="E59" i="12"/>
  <c r="D59" i="12"/>
  <c r="H58" i="12"/>
  <c r="G58" i="12"/>
  <c r="F58" i="12"/>
  <c r="E58" i="12"/>
  <c r="D58" i="12"/>
  <c r="H57" i="12"/>
  <c r="G57" i="12"/>
  <c r="F57" i="12"/>
  <c r="E57" i="12"/>
  <c r="D57" i="12"/>
  <c r="H56" i="12"/>
  <c r="G56" i="12"/>
  <c r="F56" i="12"/>
  <c r="E56" i="12"/>
  <c r="D56" i="12"/>
  <c r="H55" i="12"/>
  <c r="G55" i="12"/>
  <c r="F55" i="12"/>
  <c r="E55" i="12"/>
  <c r="D55" i="12"/>
  <c r="H54" i="12"/>
  <c r="G54" i="12"/>
  <c r="F54" i="12"/>
  <c r="E54" i="12"/>
  <c r="D54" i="12"/>
  <c r="H53" i="12"/>
  <c r="G53" i="12"/>
  <c r="F53" i="12"/>
  <c r="E53" i="12"/>
  <c r="D53" i="12"/>
  <c r="H52" i="12"/>
  <c r="G52" i="12"/>
  <c r="F52" i="12"/>
  <c r="E52" i="12"/>
  <c r="D52" i="12"/>
  <c r="H51" i="12"/>
  <c r="G51" i="12"/>
  <c r="F51" i="12"/>
  <c r="E51" i="12"/>
  <c r="D51" i="12"/>
  <c r="H50" i="12"/>
  <c r="G50" i="12"/>
  <c r="F50" i="12"/>
  <c r="E50" i="12"/>
  <c r="D50" i="12"/>
  <c r="H49" i="12"/>
  <c r="G49" i="12"/>
  <c r="F49" i="12"/>
  <c r="E49" i="12"/>
  <c r="D49" i="12"/>
  <c r="H48" i="12"/>
  <c r="G48" i="12"/>
  <c r="F48" i="12"/>
  <c r="E48" i="12"/>
  <c r="D48" i="12"/>
  <c r="H47" i="12"/>
  <c r="G47" i="12"/>
  <c r="F47" i="12"/>
  <c r="E47" i="12"/>
  <c r="D47" i="12"/>
  <c r="H46" i="12"/>
  <c r="G46" i="12"/>
  <c r="F46" i="12"/>
  <c r="E46" i="12"/>
  <c r="D46" i="12"/>
  <c r="H45" i="12"/>
  <c r="G45" i="12"/>
  <c r="F45" i="12"/>
  <c r="E45" i="12"/>
  <c r="D45" i="12"/>
  <c r="H44" i="12"/>
  <c r="G44" i="12"/>
  <c r="F44" i="12"/>
  <c r="E44" i="12"/>
  <c r="D44" i="12"/>
  <c r="H43" i="12"/>
  <c r="G43" i="12"/>
  <c r="F43" i="12"/>
  <c r="E43" i="12"/>
  <c r="D43" i="12"/>
  <c r="H42" i="12"/>
  <c r="G42" i="12"/>
  <c r="F42" i="12"/>
  <c r="E42" i="12"/>
  <c r="D42" i="12"/>
  <c r="H41" i="12"/>
  <c r="G41" i="12"/>
  <c r="F41" i="12"/>
  <c r="E41" i="12"/>
  <c r="D41" i="12"/>
  <c r="H40" i="12"/>
  <c r="G40" i="12"/>
  <c r="F40" i="12"/>
  <c r="E40" i="12"/>
  <c r="D40" i="12"/>
  <c r="H38" i="12"/>
  <c r="G38" i="12"/>
  <c r="F38" i="12"/>
  <c r="E38" i="12"/>
  <c r="D38" i="12"/>
  <c r="H37" i="12"/>
  <c r="G37" i="12"/>
  <c r="F37" i="12"/>
  <c r="E37" i="12"/>
  <c r="D37" i="12"/>
  <c r="H36" i="12"/>
  <c r="G36" i="12"/>
  <c r="F36" i="12"/>
  <c r="E36" i="12"/>
  <c r="D36" i="12"/>
  <c r="H35" i="12"/>
  <c r="G35" i="12"/>
  <c r="F35" i="12"/>
  <c r="E35" i="12"/>
  <c r="D35" i="12"/>
  <c r="H34" i="12"/>
  <c r="G34" i="12"/>
  <c r="F34" i="12"/>
  <c r="E34" i="12"/>
  <c r="D34" i="12"/>
  <c r="H33" i="12"/>
  <c r="G33" i="12"/>
  <c r="F33" i="12"/>
  <c r="E33" i="12"/>
  <c r="D33" i="12"/>
  <c r="H32" i="12"/>
  <c r="G32" i="12"/>
  <c r="F32" i="12"/>
  <c r="E32" i="12"/>
  <c r="D32" i="12"/>
  <c r="H31" i="12"/>
  <c r="G31" i="12"/>
  <c r="F31" i="12"/>
  <c r="E31" i="12"/>
  <c r="D31" i="12"/>
  <c r="H30" i="12"/>
  <c r="G30" i="12"/>
  <c r="F30" i="12"/>
  <c r="E30" i="12"/>
  <c r="D30" i="12"/>
  <c r="H29" i="12"/>
  <c r="G29" i="12"/>
  <c r="F29" i="12"/>
  <c r="E29" i="12"/>
  <c r="D29" i="12"/>
  <c r="H28" i="12"/>
  <c r="G28" i="12"/>
  <c r="F28" i="12"/>
  <c r="E28" i="12"/>
  <c r="D28" i="12"/>
  <c r="H27" i="12"/>
  <c r="G27" i="12"/>
  <c r="F27" i="12"/>
  <c r="E27" i="12"/>
  <c r="D27" i="12"/>
  <c r="H26" i="12"/>
  <c r="G26" i="12"/>
  <c r="F26" i="12"/>
  <c r="E26" i="12"/>
  <c r="D26" i="12"/>
  <c r="H25" i="12"/>
  <c r="G25" i="12"/>
  <c r="F25" i="12"/>
  <c r="E25" i="12"/>
  <c r="D25" i="12"/>
  <c r="H24" i="12"/>
  <c r="G24" i="12"/>
  <c r="F24" i="12"/>
  <c r="E24" i="12"/>
  <c r="D24" i="12"/>
  <c r="E11" i="12"/>
  <c r="F11" i="12"/>
  <c r="G11" i="12"/>
  <c r="H11" i="12"/>
  <c r="E12" i="12"/>
  <c r="F12" i="12"/>
  <c r="G12" i="12"/>
  <c r="H12" i="12"/>
  <c r="E13" i="12"/>
  <c r="F13" i="12"/>
  <c r="G13" i="12"/>
  <c r="H13" i="12"/>
  <c r="E14" i="12"/>
  <c r="F14" i="12"/>
  <c r="G14" i="12"/>
  <c r="H14" i="12"/>
  <c r="E15" i="12"/>
  <c r="F15" i="12"/>
  <c r="G15" i="12"/>
  <c r="H15" i="12"/>
  <c r="E16" i="12"/>
  <c r="F16" i="12"/>
  <c r="G16" i="12"/>
  <c r="H16" i="12"/>
  <c r="E17" i="12"/>
  <c r="F17" i="12"/>
  <c r="G17" i="12"/>
  <c r="H17" i="12"/>
  <c r="E18" i="12"/>
  <c r="F18" i="12"/>
  <c r="G18" i="12"/>
  <c r="H18" i="12"/>
  <c r="E19" i="12"/>
  <c r="F19" i="12"/>
  <c r="G19" i="12"/>
  <c r="H19" i="12"/>
  <c r="E20" i="12"/>
  <c r="F20" i="12"/>
  <c r="G20" i="12"/>
  <c r="H20" i="12"/>
  <c r="E21" i="12"/>
  <c r="F21" i="12"/>
  <c r="G21" i="12"/>
  <c r="H21" i="12"/>
  <c r="E22" i="12"/>
  <c r="F22" i="12"/>
  <c r="F10" i="12" s="1"/>
  <c r="G22" i="12"/>
  <c r="H22" i="12"/>
  <c r="D17" i="12"/>
  <c r="D18" i="12"/>
  <c r="D19" i="12"/>
  <c r="D20" i="12"/>
  <c r="D21" i="12"/>
  <c r="D22" i="12"/>
  <c r="D11" i="12"/>
  <c r="D12" i="12"/>
  <c r="D13" i="12"/>
  <c r="D14" i="12"/>
  <c r="D15" i="12"/>
  <c r="D16" i="12"/>
  <c r="G154" i="12" l="1"/>
  <c r="H73" i="12"/>
  <c r="F88" i="12"/>
  <c r="F134" i="12"/>
  <c r="E63" i="12"/>
  <c r="G100" i="12"/>
  <c r="D154" i="12"/>
  <c r="E73" i="12"/>
  <c r="H100" i="12"/>
  <c r="G134" i="12"/>
  <c r="E154" i="12"/>
  <c r="I156" i="12"/>
  <c r="H154" i="12"/>
  <c r="I160" i="12"/>
  <c r="I164" i="12"/>
  <c r="I168" i="12"/>
  <c r="H39" i="12"/>
  <c r="F63" i="12"/>
  <c r="G88" i="12"/>
  <c r="D100" i="12"/>
  <c r="G10" i="12"/>
  <c r="E23" i="12"/>
  <c r="D23" i="12"/>
  <c r="I29" i="12"/>
  <c r="I33" i="12"/>
  <c r="I37" i="12"/>
  <c r="I42" i="12"/>
  <c r="I46" i="12"/>
  <c r="I50" i="12"/>
  <c r="I54" i="12"/>
  <c r="I58" i="12"/>
  <c r="I62" i="12"/>
  <c r="G63" i="12"/>
  <c r="I67" i="12"/>
  <c r="I71" i="12"/>
  <c r="F73" i="12"/>
  <c r="I76" i="12"/>
  <c r="I80" i="12"/>
  <c r="I84" i="12"/>
  <c r="I89" i="12"/>
  <c r="H88" i="12"/>
  <c r="I93" i="12"/>
  <c r="I97" i="12"/>
  <c r="I101" i="12"/>
  <c r="I102" i="12"/>
  <c r="I105" i="12"/>
  <c r="I106" i="12"/>
  <c r="I109" i="12"/>
  <c r="I110" i="12"/>
  <c r="I113" i="12"/>
  <c r="I114" i="12"/>
  <c r="I117" i="12"/>
  <c r="I118" i="12"/>
  <c r="I122" i="12"/>
  <c r="I126" i="12"/>
  <c r="I130" i="12"/>
  <c r="I135" i="12"/>
  <c r="H134" i="12"/>
  <c r="I139" i="12"/>
  <c r="I143" i="12"/>
  <c r="I147" i="12"/>
  <c r="I151" i="12"/>
  <c r="D63" i="12"/>
  <c r="H63" i="12"/>
  <c r="G73" i="12"/>
  <c r="E88" i="12"/>
  <c r="F100" i="12"/>
  <c r="E134" i="12"/>
  <c r="F154" i="12"/>
  <c r="D134" i="12"/>
  <c r="D88" i="12"/>
  <c r="I30" i="12"/>
  <c r="F23" i="12"/>
  <c r="F9" i="12" s="1"/>
  <c r="I38" i="12"/>
  <c r="I51" i="12"/>
  <c r="I64" i="12"/>
  <c r="I77" i="12"/>
  <c r="I85" i="12"/>
  <c r="I90" i="12"/>
  <c r="I94" i="12"/>
  <c r="I119" i="12"/>
  <c r="I123" i="12"/>
  <c r="I127" i="12"/>
  <c r="I157" i="12"/>
  <c r="I161" i="12"/>
  <c r="I165" i="12"/>
  <c r="I169" i="12"/>
  <c r="I26" i="12"/>
  <c r="I34" i="12"/>
  <c r="F39" i="12"/>
  <c r="I43" i="12"/>
  <c r="I47" i="12"/>
  <c r="I55" i="12"/>
  <c r="I59" i="12"/>
  <c r="I68" i="12"/>
  <c r="I72" i="12"/>
  <c r="I81" i="12"/>
  <c r="I98" i="12"/>
  <c r="I131" i="12"/>
  <c r="I136" i="12"/>
  <c r="I140" i="12"/>
  <c r="I144" i="12"/>
  <c r="I148" i="12"/>
  <c r="I152" i="12"/>
  <c r="I27" i="12"/>
  <c r="I31" i="12"/>
  <c r="I35" i="12"/>
  <c r="I40" i="12"/>
  <c r="G39" i="12"/>
  <c r="I44" i="12"/>
  <c r="I48" i="12"/>
  <c r="I52" i="12"/>
  <c r="I56" i="12"/>
  <c r="I60" i="12"/>
  <c r="I65" i="12"/>
  <c r="I69" i="12"/>
  <c r="I74" i="12"/>
  <c r="I78" i="12"/>
  <c r="I82" i="12"/>
  <c r="I86" i="12"/>
  <c r="I91" i="12"/>
  <c r="I95" i="12"/>
  <c r="I99" i="12"/>
  <c r="I103" i="12"/>
  <c r="I104" i="12"/>
  <c r="I107" i="12"/>
  <c r="I108" i="12"/>
  <c r="I111" i="12"/>
  <c r="I112" i="12"/>
  <c r="I115" i="12"/>
  <c r="I116" i="12"/>
  <c r="I120" i="12"/>
  <c r="I124" i="12"/>
  <c r="I128" i="12"/>
  <c r="I132" i="12"/>
  <c r="I137" i="12"/>
  <c r="I141" i="12"/>
  <c r="I145" i="12"/>
  <c r="I149" i="12"/>
  <c r="I153" i="12"/>
  <c r="I158" i="12"/>
  <c r="I162" i="12"/>
  <c r="I166" i="12"/>
  <c r="D73" i="12"/>
  <c r="I22" i="12"/>
  <c r="I21" i="12"/>
  <c r="I18" i="12"/>
  <c r="I17" i="12"/>
  <c r="I12" i="12"/>
  <c r="H10" i="12"/>
  <c r="I24" i="12"/>
  <c r="I28" i="12"/>
  <c r="I32" i="12"/>
  <c r="I36" i="12"/>
  <c r="E39" i="12"/>
  <c r="I41" i="12"/>
  <c r="I45" i="12"/>
  <c r="I49" i="12"/>
  <c r="I53" i="12"/>
  <c r="I57" i="12"/>
  <c r="I61" i="12"/>
  <c r="I66" i="12"/>
  <c r="I70" i="12"/>
  <c r="I75" i="12"/>
  <c r="I79" i="12"/>
  <c r="I83" i="12"/>
  <c r="I87" i="12"/>
  <c r="I92" i="12"/>
  <c r="I96" i="12"/>
  <c r="I121" i="12"/>
  <c r="I125" i="12"/>
  <c r="I129" i="12"/>
  <c r="I133" i="12"/>
  <c r="I138" i="12"/>
  <c r="I142" i="12"/>
  <c r="I146" i="12"/>
  <c r="I150" i="12"/>
  <c r="I155" i="12"/>
  <c r="I159" i="12"/>
  <c r="I163" i="12"/>
  <c r="I167" i="12"/>
  <c r="E100" i="12"/>
  <c r="I25" i="12"/>
  <c r="I14" i="12"/>
  <c r="I13" i="12"/>
  <c r="I16" i="12"/>
  <c r="I20" i="12"/>
  <c r="E10" i="12"/>
  <c r="E9" i="12" s="1"/>
  <c r="D10" i="12"/>
  <c r="I19" i="12"/>
  <c r="I15" i="12"/>
  <c r="G23" i="12"/>
  <c r="H23" i="12"/>
  <c r="D39" i="12"/>
  <c r="I11" i="12"/>
  <c r="H9" i="12" l="1"/>
  <c r="H8" i="12" s="1"/>
  <c r="F8" i="12"/>
  <c r="G9" i="12"/>
  <c r="G8" i="12" s="1"/>
  <c r="E8" i="12"/>
  <c r="D9" i="12"/>
  <c r="D8" i="12" s="1"/>
  <c r="I39" i="12"/>
  <c r="I100" i="12"/>
  <c r="I134" i="12"/>
  <c r="I88" i="12"/>
  <c r="I154" i="12"/>
  <c r="I73" i="12"/>
  <c r="I63" i="12"/>
  <c r="I10" i="12"/>
  <c r="I23" i="12"/>
  <c r="I9" i="12" l="1"/>
  <c r="I8" i="12" s="1"/>
</calcChain>
</file>

<file path=xl/sharedStrings.xml><?xml version="1.0" encoding="utf-8"?>
<sst xmlns="http://schemas.openxmlformats.org/spreadsheetml/2006/main" count="17755" uniqueCount="3313">
  <si>
    <t>Transparency Data</t>
  </si>
  <si>
    <t>Policy area:</t>
  </si>
  <si>
    <t>State-funded schools</t>
  </si>
  <si>
    <t>Theme:</t>
  </si>
  <si>
    <t>Education, children's services and skills</t>
  </si>
  <si>
    <t>Published on:</t>
  </si>
  <si>
    <t>Coverage:</t>
  </si>
  <si>
    <t>England</t>
  </si>
  <si>
    <t>Period covered:</t>
  </si>
  <si>
    <t>Status:</t>
  </si>
  <si>
    <t>Issued by:</t>
  </si>
  <si>
    <t>Office for Standards in Education, 
Children’s Services and Skills (Ofsted)
70 Petty France
Westminster
London 
SW1H 9EX</t>
  </si>
  <si>
    <t>Chief Statistician:</t>
  </si>
  <si>
    <t>Jason Bradbury</t>
  </si>
  <si>
    <t>Statistician:</t>
  </si>
  <si>
    <t>Louise Butler</t>
  </si>
  <si>
    <t>Public enquiries:</t>
  </si>
  <si>
    <t xml:space="preserve">If you have any comments or feedback on this publication please contact the Schools Data and Analysis Team at </t>
  </si>
  <si>
    <t>inspectioninsight@ofsted.gov.uk</t>
  </si>
  <si>
    <t>Press enquiries:</t>
  </si>
  <si>
    <t>pressenquiries@ofsted.gov.uk</t>
  </si>
  <si>
    <t>Publication frequency:</t>
  </si>
  <si>
    <t>Ad hoc</t>
  </si>
  <si>
    <t>Schedule of publication:</t>
  </si>
  <si>
    <t>https://www.gov.uk/government/statistics/announcements</t>
  </si>
  <si>
    <t>Link to schools management information web page:</t>
  </si>
  <si>
    <t>https://www.gov.uk/government/statistical-data-sets/monthly-management-information-ofsteds-school-inspections-outcomes</t>
  </si>
  <si>
    <t>Link to official statistics release web page:</t>
  </si>
  <si>
    <t>https://www.gov.uk/government/collections/maintained-schools-and-academies-inspections-and-outcomes-official-statistics</t>
  </si>
  <si>
    <t>© Crown copyright 2021
You may use and re-use this information (not including logos) free of charge in any format or medium, under the terms of the Open Government Licence. To view this licence, visit: http://www.nationalarchives.gov.uk/doc/open-government-licence/</t>
  </si>
  <si>
    <t xml:space="preserve">Or write to the Information Policy Team, The National Archives, Kew, London, TW9 4DU </t>
  </si>
  <si>
    <t xml:space="preserve">Or email: </t>
  </si>
  <si>
    <t>psi@nationalarchives.gsi.gov.uk</t>
  </si>
  <si>
    <t>Guidance:</t>
  </si>
  <si>
    <t>https://www.gov.uk/guidance/interim-phase-maintained-schools-and-academies</t>
  </si>
  <si>
    <t>Pilot visits conducted earlier in September 2020 are not included. No letters will be published in relation to these pilot visits.</t>
  </si>
  <si>
    <t>Additional information on these visits can be found here:</t>
  </si>
  <si>
    <t>https://www.gov.uk/government/publications/covid-19-series-briefing-on-schools-october-2020</t>
  </si>
  <si>
    <t>The table allows the user to filter on an individual local authority or region</t>
  </si>
  <si>
    <t xml:space="preserve">The underlying dataset has been provided which can be filtered for further analysis. </t>
  </si>
  <si>
    <t xml:space="preserve">Field name </t>
  </si>
  <si>
    <t>Description</t>
  </si>
  <si>
    <t>Web Link</t>
  </si>
  <si>
    <t>Link to the Ofsted web page for the school</t>
  </si>
  <si>
    <t>URN</t>
  </si>
  <si>
    <t>A unique number to used by Ofsted to distinguish between each individual provider</t>
  </si>
  <si>
    <t>LAESTAB</t>
  </si>
  <si>
    <t>The local authority establishment code registered with the Department for Education</t>
  </si>
  <si>
    <t>School name</t>
  </si>
  <si>
    <t>The name of the school</t>
  </si>
  <si>
    <t>Ofsted phase</t>
  </si>
  <si>
    <t>Ofsted phase of education</t>
  </si>
  <si>
    <t>Type of education</t>
  </si>
  <si>
    <t>How the provider is categorised in the Department for Education's Get information about schools database</t>
  </si>
  <si>
    <t>School open date</t>
  </si>
  <si>
    <t>Date the school opened</t>
  </si>
  <si>
    <t>Admissions Policy</t>
  </si>
  <si>
    <t>The admissions policy of the school</t>
  </si>
  <si>
    <t>Sixth Form</t>
  </si>
  <si>
    <t>Whether the schools has sixth form provision (where provided)</t>
  </si>
  <si>
    <t>Designated religious character</t>
  </si>
  <si>
    <t>Designated religious character of the school. This is sourced from Get Information About Schools, maintained by the Department for Education</t>
  </si>
  <si>
    <t>Religious ethos</t>
  </si>
  <si>
    <t>Religious ethos declared by the school. This is sourced from Get Information About Schools, maintained by the Department for Education</t>
  </si>
  <si>
    <t>Faith grouping</t>
  </si>
  <si>
    <t>Groups faith schools in to these five categories: Christian, Jewish, Muslim, other faith or non-faith using either religious character or religious ethos. If the school does not declare a religious character (i.e. "none"), we have used religious ethos. If the school does not declare a religious character or ethos, they are categorised here as "non-faith".</t>
  </si>
  <si>
    <t>Ofsted region</t>
  </si>
  <si>
    <t>The Ofsted region in which a school resides (North East, Yorkshire and the Humber are combined into a single region)</t>
  </si>
  <si>
    <t>Region</t>
  </si>
  <si>
    <t>The previously defined government office region in which a school resides</t>
  </si>
  <si>
    <t>Local authority</t>
  </si>
  <si>
    <t>The local authority in which a school currently resides. This may differ from the local authority at the time of inspection.</t>
  </si>
  <si>
    <t>Parliamentary constituency</t>
  </si>
  <si>
    <t>The parliamentary constituency in which a school resides. 'Unknown' denotes that information is not yet available from the Get Information About Schools database.</t>
  </si>
  <si>
    <t>Postcode</t>
  </si>
  <si>
    <t>Postcode of the school. 'Null' denotes that information is not yet available from the Get information about schools database.</t>
  </si>
  <si>
    <t>The income deprivation affecting children index (IDACI) quintile</t>
  </si>
  <si>
    <t>Deprivation is based on the Income Deprivation Affecting Children Index (IDACI) 2015. The deprivation of a provider is based on the mean of the deprivation indices associated with the home post codes of the pupils attending the school rather than the location of the school itself. The schools are divided into five equal groups (quintiles), from ‘most deprived’ (quintile 5) to ‘least deprived’ (quintile 1).</t>
  </si>
  <si>
    <t>Total number of pupils</t>
  </si>
  <si>
    <t>Visit date</t>
  </si>
  <si>
    <t>Date the visit took place.</t>
  </si>
  <si>
    <t>Letter published date</t>
  </si>
  <si>
    <t xml:space="preserve">Date the the inspector's letter to the school was published on Ofsted's website </t>
  </si>
  <si>
    <t>Note:</t>
  </si>
  <si>
    <t>Today's date in B4</t>
  </si>
  <si>
    <t>Inspection end date:</t>
  </si>
  <si>
    <t>The Friday before today in B5</t>
  </si>
  <si>
    <t>When the total in "Table" sheet doesn't match cell A12, the first row in "Table" will be changed to red.  In that case, check values and formulas.</t>
  </si>
  <si>
    <t>Count of URN</t>
  </si>
  <si>
    <t>Number of interim visits carried out from 1 September 2020 by phase of education, local authority and region</t>
  </si>
  <si>
    <t>Count of School name</t>
  </si>
  <si>
    <t>Column Labels</t>
  </si>
  <si>
    <t>Row Labels</t>
  </si>
  <si>
    <t>Nursery</t>
  </si>
  <si>
    <t>Primary</t>
  </si>
  <si>
    <t>Secondary</t>
  </si>
  <si>
    <t>Special</t>
  </si>
  <si>
    <t>(blank)</t>
  </si>
  <si>
    <t>PRU</t>
  </si>
  <si>
    <t>Grand Total</t>
  </si>
  <si>
    <t>East Midlands</t>
  </si>
  <si>
    <t>Derbyshire</t>
  </si>
  <si>
    <t>Leicester</t>
  </si>
  <si>
    <t>Rutland</t>
  </si>
  <si>
    <t>Lincolnshire</t>
  </si>
  <si>
    <t>Nottinghamshire</t>
  </si>
  <si>
    <t>Derby</t>
  </si>
  <si>
    <t>Northamptonshire</t>
  </si>
  <si>
    <t>Leicestershire</t>
  </si>
  <si>
    <t>Nottingham</t>
  </si>
  <si>
    <t>East of England</t>
  </si>
  <si>
    <t>Bedford</t>
  </si>
  <si>
    <t>Cambridgeshire</t>
  </si>
  <si>
    <t>Thurrock</t>
  </si>
  <si>
    <t>Suffolk</t>
  </si>
  <si>
    <t>Peterborough</t>
  </si>
  <si>
    <t>Luton</t>
  </si>
  <si>
    <t>Hertfordshire</t>
  </si>
  <si>
    <t>Norfolk</t>
  </si>
  <si>
    <t>Essex</t>
  </si>
  <si>
    <t>Central Bedfordshire</t>
  </si>
  <si>
    <t>Southend on Sea</t>
  </si>
  <si>
    <t>London</t>
  </si>
  <si>
    <t>Ealing</t>
  </si>
  <si>
    <t>Havering</t>
  </si>
  <si>
    <t>Kensington and Chelsea</t>
  </si>
  <si>
    <t>Hackney</t>
  </si>
  <si>
    <t>Camden</t>
  </si>
  <si>
    <t>Haringey</t>
  </si>
  <si>
    <t>Hounslow</t>
  </si>
  <si>
    <t>Enfield</t>
  </si>
  <si>
    <t>Bexley</t>
  </si>
  <si>
    <t>Brent</t>
  </si>
  <si>
    <t>Islington</t>
  </si>
  <si>
    <t>Richmond upon Thames</t>
  </si>
  <si>
    <t>Lewisham</t>
  </si>
  <si>
    <t>Barnet</t>
  </si>
  <si>
    <t>Hammersmith and Fulham</t>
  </si>
  <si>
    <t>Newham</t>
  </si>
  <si>
    <t>Bromley</t>
  </si>
  <si>
    <t>Barking and Dagenham</t>
  </si>
  <si>
    <t>Tower Hamlets</t>
  </si>
  <si>
    <t>Greenwich</t>
  </si>
  <si>
    <t>Waltham Forest</t>
  </si>
  <si>
    <t>Croydon</t>
  </si>
  <si>
    <t>Harrow</t>
  </si>
  <si>
    <t>Hillingdon</t>
  </si>
  <si>
    <t>Merton</t>
  </si>
  <si>
    <t>Southwark</t>
  </si>
  <si>
    <t>Lambeth</t>
  </si>
  <si>
    <t>Redbridge</t>
  </si>
  <si>
    <t>Wandsworth</t>
  </si>
  <si>
    <t>Sutton</t>
  </si>
  <si>
    <t>Westminster</t>
  </si>
  <si>
    <t>Kingston upon Thames</t>
  </si>
  <si>
    <t>North East</t>
  </si>
  <si>
    <t>Newcastle upon Tyne</t>
  </si>
  <si>
    <t>South Tyneside</t>
  </si>
  <si>
    <t>Northumberland</t>
  </si>
  <si>
    <t>Stockton-on-Tees</t>
  </si>
  <si>
    <t>Darlington</t>
  </si>
  <si>
    <t>Redcar and Cleveland</t>
  </si>
  <si>
    <t>Middlesbrough</t>
  </si>
  <si>
    <t>Durham</t>
  </si>
  <si>
    <t>Sunderland</t>
  </si>
  <si>
    <t>North Tyneside</t>
  </si>
  <si>
    <t>Gateshead</t>
  </si>
  <si>
    <t>Hartlepool</t>
  </si>
  <si>
    <t>North West</t>
  </si>
  <si>
    <t>Lancashire</t>
  </si>
  <si>
    <t>Liverpool</t>
  </si>
  <si>
    <t>Manchester</t>
  </si>
  <si>
    <t>Oldham</t>
  </si>
  <si>
    <t>Rochdale</t>
  </si>
  <si>
    <t>Stockport</t>
  </si>
  <si>
    <t>Cheshire West and Chester</t>
  </si>
  <si>
    <t>Cumbria</t>
  </si>
  <si>
    <t>Blackpool</t>
  </si>
  <si>
    <t>Knowsley</t>
  </si>
  <si>
    <t>Blackburn with Darwen</t>
  </si>
  <si>
    <t>Cheshire East</t>
  </si>
  <si>
    <t>Wirral</t>
  </si>
  <si>
    <t>St Helens</t>
  </si>
  <si>
    <t>Sefton</t>
  </si>
  <si>
    <t>Bury</t>
  </si>
  <si>
    <t>Warrington</t>
  </si>
  <si>
    <t>Trafford</t>
  </si>
  <si>
    <t>Bolton</t>
  </si>
  <si>
    <t>Wigan</t>
  </si>
  <si>
    <t>Tameside</t>
  </si>
  <si>
    <t>Halton</t>
  </si>
  <si>
    <t>Salford</t>
  </si>
  <si>
    <t>South East</t>
  </si>
  <si>
    <t>Hampshire</t>
  </si>
  <si>
    <t>Kent</t>
  </si>
  <si>
    <t>Medway</t>
  </si>
  <si>
    <t>Portsmouth</t>
  </si>
  <si>
    <t>Bracknell Forest</t>
  </si>
  <si>
    <t>Surrey</t>
  </si>
  <si>
    <t>West Berkshire</t>
  </si>
  <si>
    <t>West Sussex</t>
  </si>
  <si>
    <t>Wokingham</t>
  </si>
  <si>
    <t>Southampton</t>
  </si>
  <si>
    <t>East Sussex</t>
  </si>
  <si>
    <t>Brighton and Hove</t>
  </si>
  <si>
    <t>Isle of Wight</t>
  </si>
  <si>
    <t>Reading</t>
  </si>
  <si>
    <t>Buckinghamshire</t>
  </si>
  <si>
    <t>Windsor and Maidenhead</t>
  </si>
  <si>
    <t>Milton Keynes</t>
  </si>
  <si>
    <t>Oxfordshire</t>
  </si>
  <si>
    <t>South West</t>
  </si>
  <si>
    <t>Bristol</t>
  </si>
  <si>
    <t>Dorset</t>
  </si>
  <si>
    <t>Plymouth</t>
  </si>
  <si>
    <t>Torbay</t>
  </si>
  <si>
    <t>South Gloucestershire</t>
  </si>
  <si>
    <t>Gloucestershire</t>
  </si>
  <si>
    <t>Somerset</t>
  </si>
  <si>
    <t>Cornwall</t>
  </si>
  <si>
    <t>Devon</t>
  </si>
  <si>
    <t>Bath and North East Somerset</t>
  </si>
  <si>
    <t>North Somerset</t>
  </si>
  <si>
    <t>Bournemouth, Christchurch &amp; Poole</t>
  </si>
  <si>
    <t>Swindon</t>
  </si>
  <si>
    <t>Wiltshire</t>
  </si>
  <si>
    <t>West Midlands</t>
  </si>
  <si>
    <t>Herefordshire</t>
  </si>
  <si>
    <t>Sandwell</t>
  </si>
  <si>
    <t>Staffordshire</t>
  </si>
  <si>
    <t>Walsall</t>
  </si>
  <si>
    <t>Wolverhampton</t>
  </si>
  <si>
    <t>Birmingham</t>
  </si>
  <si>
    <t>Coventry</t>
  </si>
  <si>
    <t>Stoke-on-Trent</t>
  </si>
  <si>
    <t>Warwickshire</t>
  </si>
  <si>
    <t>Solihull</t>
  </si>
  <si>
    <t>Shropshire</t>
  </si>
  <si>
    <t>Worcestershire</t>
  </si>
  <si>
    <t>Telford and Wrekin</t>
  </si>
  <si>
    <t>Dudley</t>
  </si>
  <si>
    <t>Yorkshire and the Humber</t>
  </si>
  <si>
    <t>Rotherham</t>
  </si>
  <si>
    <t>East Riding of Yorkshire</t>
  </si>
  <si>
    <t>Leeds</t>
  </si>
  <si>
    <t>York</t>
  </si>
  <si>
    <t>Wakefield</t>
  </si>
  <si>
    <t>North Yorkshire</t>
  </si>
  <si>
    <t>Doncaster</t>
  </si>
  <si>
    <t>Sheffield</t>
  </si>
  <si>
    <t>Bradford</t>
  </si>
  <si>
    <t>Kirklees</t>
  </si>
  <si>
    <t>North Lincolnshire</t>
  </si>
  <si>
    <t>Kingston upon Hull</t>
  </si>
  <si>
    <t>North East Lincolnshire</t>
  </si>
  <si>
    <t>Barnsley</t>
  </si>
  <si>
    <t>Calderdale</t>
  </si>
  <si>
    <t xml:space="preserve">     </t>
  </si>
  <si>
    <t>Table 1: Number of interim visits carried out from 1 September 2020 by phase of education, local authority and region</t>
  </si>
  <si>
    <t>Region/Local authority</t>
  </si>
  <si>
    <t>All schools</t>
  </si>
  <si>
    <t>North East, Yorkshire and the Humber</t>
  </si>
  <si>
    <t>City of London</t>
  </si>
  <si>
    <t>Slough</t>
  </si>
  <si>
    <t>Isles Of Scilly</t>
  </si>
  <si>
    <t>Web link</t>
  </si>
  <si>
    <t>Admissions policy</t>
  </si>
  <si>
    <t>Sixth form</t>
  </si>
  <si>
    <t>Anston Park Junior School</t>
  </si>
  <si>
    <t>Community School</t>
  </si>
  <si>
    <t>NULL</t>
  </si>
  <si>
    <t>Not applicable</t>
  </si>
  <si>
    <t>Does not have a sixth form</t>
  </si>
  <si>
    <t>Does not apply</t>
  </si>
  <si>
    <t>Non-denominational</t>
  </si>
  <si>
    <t>Rother Valley</t>
  </si>
  <si>
    <t>S25 2QZ</t>
  </si>
  <si>
    <t>Bantock Primary School</t>
  </si>
  <si>
    <t>Wolverhampton South West</t>
  </si>
  <si>
    <t>WV3 0HY</t>
  </si>
  <si>
    <t>Bosmere Junior School</t>
  </si>
  <si>
    <t>Havant</t>
  </si>
  <si>
    <t>PO9 1DA</t>
  </si>
  <si>
    <t>Bevington Primary School</t>
  </si>
  <si>
    <t>Kensington</t>
  </si>
  <si>
    <t>W10 5TW</t>
  </si>
  <si>
    <t>Crumpsall Lane Primary School</t>
  </si>
  <si>
    <t>Blackley and Broughton</t>
  </si>
  <si>
    <t>M8 5SR</t>
  </si>
  <si>
    <t>Cherry Garden Primary School</t>
  </si>
  <si>
    <t>Kingswood</t>
  </si>
  <si>
    <t>BS30 6JH</t>
  </si>
  <si>
    <t>Hady Primary School</t>
  </si>
  <si>
    <t>Chesterfield</t>
  </si>
  <si>
    <t>S41 0DF</t>
  </si>
  <si>
    <t>Eureka Primary School</t>
  </si>
  <si>
    <t>South Derbyshire</t>
  </si>
  <si>
    <t>DE11 7LA</t>
  </si>
  <si>
    <t>Glossopdale School</t>
  </si>
  <si>
    <t>Non-selective</t>
  </si>
  <si>
    <t>Has a sixth form</t>
  </si>
  <si>
    <t>High Peak</t>
  </si>
  <si>
    <t>SK13 2DA</t>
  </si>
  <si>
    <t>Hextable Primary School</t>
  </si>
  <si>
    <t>Sevenoaks</t>
  </si>
  <si>
    <t>BR8 7RL</t>
  </si>
  <si>
    <t>Osborne Primary School</t>
  </si>
  <si>
    <t>Birmingham, Erdington</t>
  </si>
  <si>
    <t>B23 6TY</t>
  </si>
  <si>
    <t>Oulder Hill Community School and Language College</t>
  </si>
  <si>
    <t>OL11 5EF</t>
  </si>
  <si>
    <t>Lightwoods Primary School</t>
  </si>
  <si>
    <t>Warley</t>
  </si>
  <si>
    <t>B68 9BG</t>
  </si>
  <si>
    <t>Melbourne Junior School</t>
  </si>
  <si>
    <t>DE73 8JE</t>
  </si>
  <si>
    <t>Holly Spring Primary School</t>
  </si>
  <si>
    <t>Bracknell</t>
  </si>
  <si>
    <t>RG12 2SW</t>
  </si>
  <si>
    <t>Holmleigh Primary School</t>
  </si>
  <si>
    <t>Hackney North and Stoke Newington</t>
  </si>
  <si>
    <t>N16 5PU</t>
  </si>
  <si>
    <t>The Beeches Primary School</t>
  </si>
  <si>
    <t>PE1 2EH</t>
  </si>
  <si>
    <t>North Borough Junior School</t>
  </si>
  <si>
    <t>Maidstone and The Weald</t>
  </si>
  <si>
    <t>ME14 2BP</t>
  </si>
  <si>
    <t>Rushmere Hall Primary School</t>
  </si>
  <si>
    <t>Ipswich</t>
  </si>
  <si>
    <t>IP4 3EJ</t>
  </si>
  <si>
    <t>Potters Green Primary School</t>
  </si>
  <si>
    <t>Coventry North East</t>
  </si>
  <si>
    <t>CV2 2GF</t>
  </si>
  <si>
    <t>Rose Hill Primary School</t>
  </si>
  <si>
    <t>Hazel Grove</t>
  </si>
  <si>
    <t>SK6 6DW</t>
  </si>
  <si>
    <t>Simonside Primary School</t>
  </si>
  <si>
    <t>Jarrow</t>
  </si>
  <si>
    <t>NE32 4AU</t>
  </si>
  <si>
    <t>William Rhodes Primary &amp; Nursery School</t>
  </si>
  <si>
    <t>S40 2NR</t>
  </si>
  <si>
    <t>Surfleet Primary School</t>
  </si>
  <si>
    <t>South Holland and The Deepings</t>
  </si>
  <si>
    <t>PE11 4DB</t>
  </si>
  <si>
    <t>Little Dewchurch CofE Primary School</t>
  </si>
  <si>
    <t>Voluntary Controlled School</t>
  </si>
  <si>
    <t>Church of England</t>
  </si>
  <si>
    <t>Christian</t>
  </si>
  <si>
    <t>Hereford and South Herefordshire</t>
  </si>
  <si>
    <t>HR2 6PN</t>
  </si>
  <si>
    <t>Ellesmere Port Catholic High School</t>
  </si>
  <si>
    <t>Voluntary Aided School</t>
  </si>
  <si>
    <t>Roman Catholic</t>
  </si>
  <si>
    <t>Ellesmere Port and Neston</t>
  </si>
  <si>
    <t>CH65 7AQ</t>
  </si>
  <si>
    <t>Grayswood Church of England (Aided) Primary School</t>
  </si>
  <si>
    <t>South West Surrey</t>
  </si>
  <si>
    <t>GU27 2DR</t>
  </si>
  <si>
    <t>Rosary Catholic Primary School</t>
  </si>
  <si>
    <t>Hampstead and Kilburn</t>
  </si>
  <si>
    <t>NW3 2AE</t>
  </si>
  <si>
    <t>Yealmpstone Farm Primary School</t>
  </si>
  <si>
    <t>South West Devon</t>
  </si>
  <si>
    <t>PL7 1XQ</t>
  </si>
  <si>
    <t>St Mary's CofE Primary School</t>
  </si>
  <si>
    <t>Hornsey and Wood Green</t>
  </si>
  <si>
    <t>N8 7BU</t>
  </si>
  <si>
    <t>Our Lady of the Rosary Catholic Primary School</t>
  </si>
  <si>
    <t>Barrow and Furness</t>
  </si>
  <si>
    <t>LA15 8LB</t>
  </si>
  <si>
    <t>Micklefield Church of England Voluntary Controlled Primary School</t>
  </si>
  <si>
    <t>Elmet and Rothwell</t>
  </si>
  <si>
    <t>LS25 4AQ</t>
  </si>
  <si>
    <t>Montreal CofE Primary School</t>
  </si>
  <si>
    <t>Copeland</t>
  </si>
  <si>
    <t>CA25 5LW</t>
  </si>
  <si>
    <t>St Anne's and St Joseph's Roman Catholic Primary School</t>
  </si>
  <si>
    <t>Hyndburn</t>
  </si>
  <si>
    <t>BB5 2AN</t>
  </si>
  <si>
    <t>St Chad's RC Primary School</t>
  </si>
  <si>
    <t>M8 0SP</t>
  </si>
  <si>
    <t>Withington Church of England Primary School</t>
  </si>
  <si>
    <t>The Cotswolds</t>
  </si>
  <si>
    <t>GL54 4BQ</t>
  </si>
  <si>
    <t>Bridge and Patrixbourne Church of England Primary School</t>
  </si>
  <si>
    <t>Canterbury</t>
  </si>
  <si>
    <t>CT4 5JX</t>
  </si>
  <si>
    <t>The Trinity Catholic Primary School</t>
  </si>
  <si>
    <t>Liverpool, Riverside</t>
  </si>
  <si>
    <t>L5 8UT</t>
  </si>
  <si>
    <t>Shaw-cum-Donnington C.E. Primary School</t>
  </si>
  <si>
    <t>Newbury</t>
  </si>
  <si>
    <t>RG14 2JG</t>
  </si>
  <si>
    <t>South Cave Church of England Voluntary Controlled Primary School</t>
  </si>
  <si>
    <t>Haltemprice and Howden</t>
  </si>
  <si>
    <t>HU15 2EP</t>
  </si>
  <si>
    <t>Harvills Hawthorn Primary School</t>
  </si>
  <si>
    <t>Foundation School</t>
  </si>
  <si>
    <t>West Bromwich West</t>
  </si>
  <si>
    <t>B70 0NG</t>
  </si>
  <si>
    <t>Richmond Hill School</t>
  </si>
  <si>
    <t>Community Special School</t>
  </si>
  <si>
    <t>Luton South</t>
  </si>
  <si>
    <t>LU2 7JL</t>
  </si>
  <si>
    <t>Stepping Stones School</t>
  </si>
  <si>
    <t>Pupil Referral Unit</t>
  </si>
  <si>
    <t>Lancaster and Fleetwood</t>
  </si>
  <si>
    <t>LA1 4HT</t>
  </si>
  <si>
    <t>City Academy Norwich</t>
  </si>
  <si>
    <t>Academy Sponsor Led</t>
  </si>
  <si>
    <t>None</t>
  </si>
  <si>
    <t>Norwich South</t>
  </si>
  <si>
    <t>NR4 7LP</t>
  </si>
  <si>
    <t>Willowdown Primary School</t>
  </si>
  <si>
    <t>Bridgwater and West Somerset</t>
  </si>
  <si>
    <t>TA6 4FU</t>
  </si>
  <si>
    <t>Danesgate Community</t>
  </si>
  <si>
    <t>York Central</t>
  </si>
  <si>
    <t>YO10 4PB</t>
  </si>
  <si>
    <t>Moorhill Primary School</t>
  </si>
  <si>
    <t>Cannock Chase</t>
  </si>
  <si>
    <t>WS11 5RN</t>
  </si>
  <si>
    <t>Oaklands School</t>
  </si>
  <si>
    <t>Feltham and Heston</t>
  </si>
  <si>
    <t>TW3 4BX</t>
  </si>
  <si>
    <t>Bridge Learning Campus</t>
  </si>
  <si>
    <t>Bristol South</t>
  </si>
  <si>
    <t>BS13 0RL</t>
  </si>
  <si>
    <t>Berwick Academy</t>
  </si>
  <si>
    <t>Academy Converter</t>
  </si>
  <si>
    <t>Berwick-upon-Tweed</t>
  </si>
  <si>
    <t>TD15 2JF</t>
  </si>
  <si>
    <t>North Shore Academy</t>
  </si>
  <si>
    <t>Stockton North</t>
  </si>
  <si>
    <t>TS20 2AY</t>
  </si>
  <si>
    <t>Oasis Academy Oldham</t>
  </si>
  <si>
    <t>Oldham West and Royton</t>
  </si>
  <si>
    <t>OL8 4JZ</t>
  </si>
  <si>
    <t>Buckler's Mead Academy</t>
  </si>
  <si>
    <t>Yeovil</t>
  </si>
  <si>
    <t>BA21 4NH</t>
  </si>
  <si>
    <t>Carclaze Community Primary School</t>
  </si>
  <si>
    <t>St Austell and Newquay</t>
  </si>
  <si>
    <t>PL25 3TF</t>
  </si>
  <si>
    <t>Comberton Village College</t>
  </si>
  <si>
    <t>South Cambridgeshire</t>
  </si>
  <si>
    <t>CB23 7DU</t>
  </si>
  <si>
    <t>Harris Academy Chafford Hundred</t>
  </si>
  <si>
    <t>RM16 6SA</t>
  </si>
  <si>
    <t>Newstead Primary Academy</t>
  </si>
  <si>
    <t>Stoke-on-Trent South</t>
  </si>
  <si>
    <t>ST3 3LQ</t>
  </si>
  <si>
    <t>Smestow School</t>
  </si>
  <si>
    <t>WV3 8HU</t>
  </si>
  <si>
    <t>The Brittons Academy</t>
  </si>
  <si>
    <t>Dagenham and Rainham</t>
  </si>
  <si>
    <t>RM13 7BB</t>
  </si>
  <si>
    <t>The Coppice Spring Academy</t>
  </si>
  <si>
    <t>Academy Special Sponsor Led</t>
  </si>
  <si>
    <t>Basingstoke</t>
  </si>
  <si>
    <t>RG22 5TH</t>
  </si>
  <si>
    <t>Airedale Academy</t>
  </si>
  <si>
    <t>Normanton, Pontefract and Castleford</t>
  </si>
  <si>
    <t>WF10 3JU</t>
  </si>
  <si>
    <t>Paignton Academy</t>
  </si>
  <si>
    <t>Totnes</t>
  </si>
  <si>
    <t>TQ3 3WA</t>
  </si>
  <si>
    <t>St Thomas Cantilupe CofE Academy</t>
  </si>
  <si>
    <t>HR1 2DY</t>
  </si>
  <si>
    <t>Sutton Community Academy</t>
  </si>
  <si>
    <t>Ashfield</t>
  </si>
  <si>
    <t>NG17 1EE</t>
  </si>
  <si>
    <t>St Thomas More Catholic School</t>
  </si>
  <si>
    <t>North East Bedfordshire</t>
  </si>
  <si>
    <t>MK41 7UL</t>
  </si>
  <si>
    <t>Brooke Hill Academy</t>
  </si>
  <si>
    <t>Rutland and Melton</t>
  </si>
  <si>
    <t>LE15 6HQ</t>
  </si>
  <si>
    <t>Poolsbrook Primary Academy</t>
  </si>
  <si>
    <t>S43 3LF</t>
  </si>
  <si>
    <t>Highfield Leadership Academy</t>
  </si>
  <si>
    <t>Blackpool South</t>
  </si>
  <si>
    <t>FY4 3JZ</t>
  </si>
  <si>
    <t>Cedar Children's Academy</t>
  </si>
  <si>
    <t>Unknown</t>
  </si>
  <si>
    <t>Rochester and Strood</t>
  </si>
  <si>
    <t>ME2 2JP</t>
  </si>
  <si>
    <t>Marchbank Free School</t>
  </si>
  <si>
    <t>Free School Special</t>
  </si>
  <si>
    <t>DL3 9BL</t>
  </si>
  <si>
    <t>The Gatwick School</t>
  </si>
  <si>
    <t>Free School</t>
  </si>
  <si>
    <t>Crawley</t>
  </si>
  <si>
    <t>RH10 9TP</t>
  </si>
  <si>
    <t>Watford St John's Church of England Primary School</t>
  </si>
  <si>
    <t>Church of England/Christian</t>
  </si>
  <si>
    <t>Watford</t>
  </si>
  <si>
    <t>WD17 1JJ</t>
  </si>
  <si>
    <t>Dormers Wells High School</t>
  </si>
  <si>
    <t>Ealing, Southall</t>
  </si>
  <si>
    <t>UB1 3HZ</t>
  </si>
  <si>
    <t>Northern Parade Junior School</t>
  </si>
  <si>
    <t xml:space="preserve">Portsmouth North </t>
  </si>
  <si>
    <t>PO2 9NE</t>
  </si>
  <si>
    <t>St Peter's Church of England Primary School</t>
  </si>
  <si>
    <t>Middlesbrough South and East Cleveland</t>
  </si>
  <si>
    <t>TS12 2UW</t>
  </si>
  <si>
    <t>Hampsthwaite Church of England Primary School</t>
  </si>
  <si>
    <t>Harrogate and Knaresborough</t>
  </si>
  <si>
    <t>HG3 2EZ</t>
  </si>
  <si>
    <t>Pallister Park Primary School</t>
  </si>
  <si>
    <t>TS3 8PW</t>
  </si>
  <si>
    <t>Exwick Heights Primary School</t>
  </si>
  <si>
    <t>Exeter</t>
  </si>
  <si>
    <t>EX4 2FB</t>
  </si>
  <si>
    <t>Blacklow Brow School</t>
  </si>
  <si>
    <t>L36 5XW</t>
  </si>
  <si>
    <t>Oundle Church of England Primary School</t>
  </si>
  <si>
    <t>Corby</t>
  </si>
  <si>
    <t>PE8 5HA</t>
  </si>
  <si>
    <t>Stockton Primary School</t>
  </si>
  <si>
    <t>Kenilworth and Southam</t>
  </si>
  <si>
    <t>CV47 8JE</t>
  </si>
  <si>
    <t>Delta Primary School</t>
  </si>
  <si>
    <t>Edmonton</t>
  </si>
  <si>
    <t>N9 8PT</t>
  </si>
  <si>
    <t>East Brent Church of England First School</t>
  </si>
  <si>
    <t>Wells</t>
  </si>
  <si>
    <t>TA9 4HZ</t>
  </si>
  <si>
    <t>Werrington Primary School</t>
  </si>
  <si>
    <t>PE4 6QG</t>
  </si>
  <si>
    <t>St Crispin's School</t>
  </si>
  <si>
    <t>RG40 1SS</t>
  </si>
  <si>
    <t>Cauldwell School</t>
  </si>
  <si>
    <t>MK42 9DR</t>
  </si>
  <si>
    <t>Hob Moor Community Primary Academy</t>
  </si>
  <si>
    <t>YO24 4PS</t>
  </si>
  <si>
    <t>Morley Place Academy</t>
  </si>
  <si>
    <t>Don Valley</t>
  </si>
  <si>
    <t>DN12 3LZ</t>
  </si>
  <si>
    <t>The Kimberley School</t>
  </si>
  <si>
    <t>Broxtowe</t>
  </si>
  <si>
    <t>NG16 2NJ</t>
  </si>
  <si>
    <t>Sawtry Village Academy</t>
  </si>
  <si>
    <t>North West Cambridgeshire</t>
  </si>
  <si>
    <t>PE28 5TQ</t>
  </si>
  <si>
    <t>Zaytouna Primary School</t>
  </si>
  <si>
    <t>Muslim</t>
  </si>
  <si>
    <t>Derby South</t>
  </si>
  <si>
    <t>DE24 8WH</t>
  </si>
  <si>
    <t>Kings Ash Academy</t>
  </si>
  <si>
    <t>TQ3 3XA</t>
  </si>
  <si>
    <t>William Tyndale Primary School</t>
  </si>
  <si>
    <t>Islington South and Finsbury</t>
  </si>
  <si>
    <t>N1 2GG</t>
  </si>
  <si>
    <t>Havergal CofE (C) Primary School</t>
  </si>
  <si>
    <t>South Staffordshire</t>
  </si>
  <si>
    <t>WV10 7LE</t>
  </si>
  <si>
    <t>The Crompton House Church of England Academy</t>
  </si>
  <si>
    <t>Oldham East and Saddleworth</t>
  </si>
  <si>
    <t>OL2 7HS</t>
  </si>
  <si>
    <t>North Chadderton School</t>
  </si>
  <si>
    <t>OL9 0BN</t>
  </si>
  <si>
    <t>Clutton Primary School</t>
  </si>
  <si>
    <t>North East Somerset</t>
  </si>
  <si>
    <t>BS39 5RA</t>
  </si>
  <si>
    <t>Claremont High School</t>
  </si>
  <si>
    <t>Brent North</t>
  </si>
  <si>
    <t>HA3 0UH</t>
  </si>
  <si>
    <t>Reedswood E-ACT Academy</t>
  </si>
  <si>
    <t>Walsall South</t>
  </si>
  <si>
    <t>WS2 8RX</t>
  </si>
  <si>
    <t>Ss. Peter and Paul Catholic Primary School, a Voluntary Academy</t>
  </si>
  <si>
    <t>Pudsey</t>
  </si>
  <si>
    <t>LS19 7HW</t>
  </si>
  <si>
    <t>Brunel Primary &amp; Nursery Academy</t>
  </si>
  <si>
    <t>South East Cornwall</t>
  </si>
  <si>
    <t>PL12 6DX</t>
  </si>
  <si>
    <t>Staplegrove Church School</t>
  </si>
  <si>
    <t>Taunton Deane</t>
  </si>
  <si>
    <t>TA2 6UP</t>
  </si>
  <si>
    <t>The Hart School</t>
  </si>
  <si>
    <t>WS15 2UE</t>
  </si>
  <si>
    <t>Lode Heath School</t>
  </si>
  <si>
    <t>B91 2HW</t>
  </si>
  <si>
    <t>Shorefields School</t>
  </si>
  <si>
    <t>Clacton</t>
  </si>
  <si>
    <t>CO15 6HF</t>
  </si>
  <si>
    <t>Mayfield School</t>
  </si>
  <si>
    <t>Chorley</t>
  </si>
  <si>
    <t>PR7 3HN</t>
  </si>
  <si>
    <t>Hillside Nursery School</t>
  </si>
  <si>
    <t>LA Nursery School</t>
  </si>
  <si>
    <t>BB4 5NH</t>
  </si>
  <si>
    <t>Banister Primary School</t>
  </si>
  <si>
    <t>Southampton, Test</t>
  </si>
  <si>
    <t>SO15 2LS</t>
  </si>
  <si>
    <t>Blacon High School, A Specialist Sports College</t>
  </si>
  <si>
    <t>City of Chester</t>
  </si>
  <si>
    <t>CH1 5JH</t>
  </si>
  <si>
    <t>Christ Church (Erith) CofE Primary School</t>
  </si>
  <si>
    <t>Erith and Thamesmead</t>
  </si>
  <si>
    <t>DA8 3DG</t>
  </si>
  <si>
    <t>Woodlands School</t>
  </si>
  <si>
    <t>North Shropshire</t>
  </si>
  <si>
    <t>SY4 5PJ</t>
  </si>
  <si>
    <t>Ham Drive Nursery School and Day Care</t>
  </si>
  <si>
    <t>Plymouth, Moor View</t>
  </si>
  <si>
    <t>PL2 2NJ</t>
  </si>
  <si>
    <t>West Gate School</t>
  </si>
  <si>
    <t>Foundation Special School</t>
  </si>
  <si>
    <t>Leicester West</t>
  </si>
  <si>
    <t>LE3 6DG</t>
  </si>
  <si>
    <t>Frant Church of England Primary School</t>
  </si>
  <si>
    <t>Wealden</t>
  </si>
  <si>
    <t>TN3 9DX</t>
  </si>
  <si>
    <t>Gorsley Goffs Primary School</t>
  </si>
  <si>
    <t>HR9 7SE</t>
  </si>
  <si>
    <t>Danby Church of England Voluntary Controlled School</t>
  </si>
  <si>
    <t>Scarborough and Whitby</t>
  </si>
  <si>
    <t>YO21 2NG</t>
  </si>
  <si>
    <t>Calow CofE VC Primary School</t>
  </si>
  <si>
    <t>Bolsover</t>
  </si>
  <si>
    <t>S44 5BD</t>
  </si>
  <si>
    <t>St Pius X RC Primary School</t>
  </si>
  <si>
    <t>BS13 9AB</t>
  </si>
  <si>
    <t>St Richard Reynolds Catholic Primary School</t>
  </si>
  <si>
    <t>Twickenham</t>
  </si>
  <si>
    <t>TW1 4LT</t>
  </si>
  <si>
    <t>St Thomas of Canterbury Catholic Primary School</t>
  </si>
  <si>
    <t>PO30 1NR</t>
  </si>
  <si>
    <t>St Charles' RC Primary School</t>
  </si>
  <si>
    <t>Newcastle upon Tyne Central</t>
  </si>
  <si>
    <t>NE3 3HE</t>
  </si>
  <si>
    <t>St Joseph's Catholic Primary School</t>
  </si>
  <si>
    <t>Brighton, Pavilion</t>
  </si>
  <si>
    <t>BN1 7BF</t>
  </si>
  <si>
    <t>Middleham Church of England Aided School</t>
  </si>
  <si>
    <t>Richmond (Yorks)</t>
  </si>
  <si>
    <t>DL8 4QX</t>
  </si>
  <si>
    <t>St James' CofE Primary School, Birch-in-Rusholme</t>
  </si>
  <si>
    <t>Manchester, Gorton</t>
  </si>
  <si>
    <t>M14 6HW</t>
  </si>
  <si>
    <t>Our Lady's Catholic High School</t>
  </si>
  <si>
    <t>Wyre and Preston North</t>
  </si>
  <si>
    <t>PR2 3SQ</t>
  </si>
  <si>
    <t>All Saints' CofE (Aided) Primary School</t>
  </si>
  <si>
    <t>PE1 3PW</t>
  </si>
  <si>
    <t>Little Horsted Church of England Primary School</t>
  </si>
  <si>
    <t>TN22 5TS</t>
  </si>
  <si>
    <t>Spaldwick Community Primary School</t>
  </si>
  <si>
    <t>PE28 0TH</t>
  </si>
  <si>
    <t>All Saints C of E Primary School</t>
  </si>
  <si>
    <t>Manchester Central</t>
  </si>
  <si>
    <t>M40 1LS</t>
  </si>
  <si>
    <t>Woodbridge Primary School</t>
  </si>
  <si>
    <t>Suffolk Coastal</t>
  </si>
  <si>
    <t>IP12 1SS</t>
  </si>
  <si>
    <t>Woodfield Primary School</t>
  </si>
  <si>
    <t>HG1 4HZ</t>
  </si>
  <si>
    <t>St John Southworth Roman Catholic Primary School, Nelson</t>
  </si>
  <si>
    <t>Pendle</t>
  </si>
  <si>
    <t>BB9 0DQ</t>
  </si>
  <si>
    <t>Whaley Bridge Primary School</t>
  </si>
  <si>
    <t>SK23 7HX</t>
  </si>
  <si>
    <t>Whittington Green School</t>
  </si>
  <si>
    <t>North East Derbyshire</t>
  </si>
  <si>
    <t>S41 9LG</t>
  </si>
  <si>
    <t>Round Diamond Primary School</t>
  </si>
  <si>
    <t>Hitchin and Harpenden</t>
  </si>
  <si>
    <t>SG1 6NH</t>
  </si>
  <si>
    <t>Upottery Primary School</t>
  </si>
  <si>
    <t>Tiverton and Honiton</t>
  </si>
  <si>
    <t>EX14 9QT</t>
  </si>
  <si>
    <t>Prince Bishops Community Primary School</t>
  </si>
  <si>
    <t>Bishop Auckland</t>
  </si>
  <si>
    <t>DL14 8DY</t>
  </si>
  <si>
    <t>Plumpton School</t>
  </si>
  <si>
    <t>Penrith and The Border</t>
  </si>
  <si>
    <t>CA11 9PA</t>
  </si>
  <si>
    <t>Pleasant Street Primary School</t>
  </si>
  <si>
    <t>L3 5TS</t>
  </si>
  <si>
    <t>Wodensfield Primary School</t>
  </si>
  <si>
    <t>Wolverhampton North East</t>
  </si>
  <si>
    <t>WV11 1PW</t>
  </si>
  <si>
    <t>Wilson Primary School</t>
  </si>
  <si>
    <t>Reading West</t>
  </si>
  <si>
    <t>RG30 2RW</t>
  </si>
  <si>
    <t>Kielder Primary School and Nursery</t>
  </si>
  <si>
    <t>Hexham</t>
  </si>
  <si>
    <t>NE48 1HQ</t>
  </si>
  <si>
    <t>Newton St Cyres Primary School</t>
  </si>
  <si>
    <t>Central Devon</t>
  </si>
  <si>
    <t>EX5 5DL</t>
  </si>
  <si>
    <t>Newtown Soberton Infant School</t>
  </si>
  <si>
    <t>Meon Valley</t>
  </si>
  <si>
    <t>PO17 6LJ</t>
  </si>
  <si>
    <t>Kings Hill Primary School</t>
  </si>
  <si>
    <t>WS10 9JG</t>
  </si>
  <si>
    <t>Hornsey School for Girls</t>
  </si>
  <si>
    <t>N8 9JF</t>
  </si>
  <si>
    <t>Northfield Primary School: With Communication Resource</t>
  </si>
  <si>
    <t>Hemsworth</t>
  </si>
  <si>
    <t>WF9 3LY</t>
  </si>
  <si>
    <t>Langley Primary School</t>
  </si>
  <si>
    <t>B69 4QB</t>
  </si>
  <si>
    <t>Ludworth Primary School</t>
  </si>
  <si>
    <t>SK6 5DU</t>
  </si>
  <si>
    <t>Green Lanes Primary School</t>
  </si>
  <si>
    <t>Welwyn Hatfield</t>
  </si>
  <si>
    <t>AL10 9JY</t>
  </si>
  <si>
    <t>Green Lea First School</t>
  </si>
  <si>
    <t>Stone</t>
  </si>
  <si>
    <t>ST18 0EU</t>
  </si>
  <si>
    <t>Greenfields Community Primary School</t>
  </si>
  <si>
    <t>Faversham and Mid Kent</t>
  </si>
  <si>
    <t>ME15 8DF</t>
  </si>
  <si>
    <t>Hasland Hall Community School</t>
  </si>
  <si>
    <t>S41 0LP</t>
  </si>
  <si>
    <t>Gillingham Primary School</t>
  </si>
  <si>
    <t>North Dorset</t>
  </si>
  <si>
    <t>SP8 4QR</t>
  </si>
  <si>
    <t>Elfrida Primary School</t>
  </si>
  <si>
    <t>Lewisham West and Penge</t>
  </si>
  <si>
    <t>SE6 3EN</t>
  </si>
  <si>
    <t>Carcroft Primary School</t>
  </si>
  <si>
    <t>Doncaster North</t>
  </si>
  <si>
    <t>DN6 8DR</t>
  </si>
  <si>
    <t>Cherry Orchard Primary School</t>
  </si>
  <si>
    <t>Worcester</t>
  </si>
  <si>
    <t>WR5 2DD</t>
  </si>
  <si>
    <t>Downs View Infant School</t>
  </si>
  <si>
    <t>Ashford</t>
  </si>
  <si>
    <t>TN25 4PJ</t>
  </si>
  <si>
    <t>East Coker Community Primary School</t>
  </si>
  <si>
    <t>BA22 9HY</t>
  </si>
  <si>
    <t>Great Sampford Community Primary School</t>
  </si>
  <si>
    <t>Saffron Walden</t>
  </si>
  <si>
    <t>CB10 2RL</t>
  </si>
  <si>
    <t>Heath Fields Primary School</t>
  </si>
  <si>
    <t>DE65 5EQ</t>
  </si>
  <si>
    <t>Dallimore Primary &amp; Nursery School</t>
  </si>
  <si>
    <t>Erewash</t>
  </si>
  <si>
    <t>DE7 4GZ</t>
  </si>
  <si>
    <t>Burlington Junior School</t>
  </si>
  <si>
    <t>East Yorkshire</t>
  </si>
  <si>
    <t>YO16 7AQ</t>
  </si>
  <si>
    <t>Bromstone Primary School, Broadstairs</t>
  </si>
  <si>
    <t>South Thanet</t>
  </si>
  <si>
    <t>CT10 2PW</t>
  </si>
  <si>
    <t>Alne Primary School</t>
  </si>
  <si>
    <t>Thirsk and Malton</t>
  </si>
  <si>
    <t>YO61 1RT</t>
  </si>
  <si>
    <t>Hatch Warren Junior School</t>
  </si>
  <si>
    <t>RG22 4PQ</t>
  </si>
  <si>
    <t>Orchard Primary School</t>
  </si>
  <si>
    <t>Hackney South and Shoreditch</t>
  </si>
  <si>
    <t>E9 7BB</t>
  </si>
  <si>
    <t>Mansbridge Primary School</t>
  </si>
  <si>
    <t>Romsey and Southampton North</t>
  </si>
  <si>
    <t>SO18 2LX</t>
  </si>
  <si>
    <t>Kings Furlong Junior School</t>
  </si>
  <si>
    <t>RG21 8YJ</t>
  </si>
  <si>
    <t>Lillington Primary School</t>
  </si>
  <si>
    <t>Warwick and Leamington</t>
  </si>
  <si>
    <t>CV32 7AG</t>
  </si>
  <si>
    <t>Lower Darwen Primary School</t>
  </si>
  <si>
    <t>Rossendale and Darwen</t>
  </si>
  <si>
    <t>BB3 0RB</t>
  </si>
  <si>
    <t>Repton Primary School</t>
  </si>
  <si>
    <t>DE65 6GN</t>
  </si>
  <si>
    <t>Riders Junior School</t>
  </si>
  <si>
    <t>PO9 4RY</t>
  </si>
  <si>
    <t>Tuffley Primary School</t>
  </si>
  <si>
    <t>Gloucester</t>
  </si>
  <si>
    <t>GL4 0JY</t>
  </si>
  <si>
    <t>Pixmore Junior School</t>
  </si>
  <si>
    <t>North East Hertfordshire</t>
  </si>
  <si>
    <t>SG6 1RS</t>
  </si>
  <si>
    <t>Walpole Highway Primary School</t>
  </si>
  <si>
    <t>South West Norfolk</t>
  </si>
  <si>
    <t>PE14 7QQ</t>
  </si>
  <si>
    <t>Scholar Green Primary School</t>
  </si>
  <si>
    <t>Congleton</t>
  </si>
  <si>
    <t>ST7 3HF</t>
  </si>
  <si>
    <t>Sandbrook Primary School</t>
  </si>
  <si>
    <t>Wallasey</t>
  </si>
  <si>
    <t>CH46 9PS</t>
  </si>
  <si>
    <t>Little Waltham Church of England Voluntary Aided Primary School</t>
  </si>
  <si>
    <t>CM3 3NY</t>
  </si>
  <si>
    <t>St Catharine's Catholic Primary School</t>
  </si>
  <si>
    <t>GL55 6DZ</t>
  </si>
  <si>
    <t>Great Crosby Catholic Primary School</t>
  </si>
  <si>
    <t>Bootle</t>
  </si>
  <si>
    <t>L23 2RQ</t>
  </si>
  <si>
    <t>St Kentigern's Catholic Primary School</t>
  </si>
  <si>
    <t>FY3 8BT</t>
  </si>
  <si>
    <t>St James' Catholic High School</t>
  </si>
  <si>
    <t>Hendon</t>
  </si>
  <si>
    <t>NW9 5PE</t>
  </si>
  <si>
    <t>St Augustine of Canterbury Catholic High School</t>
  </si>
  <si>
    <t>St Helens North</t>
  </si>
  <si>
    <t>WA11 9BB</t>
  </si>
  <si>
    <t>St Thomas A Becket Catholic Primary School</t>
  </si>
  <si>
    <t>Eastbourne</t>
  </si>
  <si>
    <t>BN22 8XT</t>
  </si>
  <si>
    <t>St Stephen's Church of England Primary School</t>
  </si>
  <si>
    <t>Bury North</t>
  </si>
  <si>
    <t>BL8 2DX</t>
  </si>
  <si>
    <t>Cheveley CofE Primary School</t>
  </si>
  <si>
    <t>South East Cambridgeshire</t>
  </si>
  <si>
    <t>CB8 9DF</t>
  </si>
  <si>
    <t>St Philip (Westbrook) CofE Aided Primary School</t>
  </si>
  <si>
    <t>Warrington North</t>
  </si>
  <si>
    <t>WA5 8UE</t>
  </si>
  <si>
    <t>Saint Barnabas Church of England Voluntary Controlled Primary School</t>
  </si>
  <si>
    <t>YO26 4YZ</t>
  </si>
  <si>
    <t>Westhaven School</t>
  </si>
  <si>
    <t>Weston-Super-Mare</t>
  </si>
  <si>
    <t>BS23 4UT</t>
  </si>
  <si>
    <t>Sheffield Inclusion Centre</t>
  </si>
  <si>
    <t>Sheffield, Heeley</t>
  </si>
  <si>
    <t>S2 2JQ</t>
  </si>
  <si>
    <t>Shenley Academy</t>
  </si>
  <si>
    <t>Birmingham, Edgbaston</t>
  </si>
  <si>
    <t>B29 4HE</t>
  </si>
  <si>
    <t>Low Hill Nursery School</t>
  </si>
  <si>
    <t>WV10 9JN</t>
  </si>
  <si>
    <t>Martenscroft Nursery School &amp; Children's Centre</t>
  </si>
  <si>
    <t>M15 6PA</t>
  </si>
  <si>
    <t>Moorfield Primary School</t>
  </si>
  <si>
    <t>The Wrekin</t>
  </si>
  <si>
    <t>TF10 7QU</t>
  </si>
  <si>
    <t>The Holmesdale School</t>
  </si>
  <si>
    <t>Chatham and Aylesford</t>
  </si>
  <si>
    <t>ME6 5HS</t>
  </si>
  <si>
    <t>Alec Hunter Academy</t>
  </si>
  <si>
    <t>Braintree</t>
  </si>
  <si>
    <t>CM7 3NR</t>
  </si>
  <si>
    <t>Vanessa Nursery School</t>
  </si>
  <si>
    <t>Hammersmith</t>
  </si>
  <si>
    <t>W12 9JA</t>
  </si>
  <si>
    <t>Brambles Primary Academy</t>
  </si>
  <si>
    <t>TS3 9DB</t>
  </si>
  <si>
    <t>Farringdon Community Academy</t>
  </si>
  <si>
    <t>Houghton and Sunderland South</t>
  </si>
  <si>
    <t>SR3 3EL</t>
  </si>
  <si>
    <t>Belle Vue Girls' Academy</t>
  </si>
  <si>
    <t>Bradford West</t>
  </si>
  <si>
    <t>BD9 6NA</t>
  </si>
  <si>
    <t>Pear Tree Mead Academy</t>
  </si>
  <si>
    <t>Harlow</t>
  </si>
  <si>
    <t>CM18 7BY</t>
  </si>
  <si>
    <t>The Hurlingham Academy</t>
  </si>
  <si>
    <t>Chelsea and Fulham</t>
  </si>
  <si>
    <t>SW6 3ED</t>
  </si>
  <si>
    <t>Caldew School</t>
  </si>
  <si>
    <t>Carlisle</t>
  </si>
  <si>
    <t>CA5 7NN</t>
  </si>
  <si>
    <t>St Margaret's Academy</t>
  </si>
  <si>
    <t>TQ1 4PA</t>
  </si>
  <si>
    <t>Tomlinscote School</t>
  </si>
  <si>
    <t>Surrey Heath</t>
  </si>
  <si>
    <t>GU16 8PY</t>
  </si>
  <si>
    <t>Kirkby College</t>
  </si>
  <si>
    <t>NG17 7DH</t>
  </si>
  <si>
    <t>Whissendine Church of England Primary School</t>
  </si>
  <si>
    <t>LE15 7ET</t>
  </si>
  <si>
    <t>St Mewan Community Primary School</t>
  </si>
  <si>
    <t>PL26 7DP</t>
  </si>
  <si>
    <t>Brentside Primary School</t>
  </si>
  <si>
    <t>Ealing North</t>
  </si>
  <si>
    <t>W7 1JL</t>
  </si>
  <si>
    <t>Cockermouth School</t>
  </si>
  <si>
    <t>Workington</t>
  </si>
  <si>
    <t>CA13 9HF</t>
  </si>
  <si>
    <t>Mabe Community Primary School</t>
  </si>
  <si>
    <t>Camborne and Redruth</t>
  </si>
  <si>
    <t>TR10 9HB</t>
  </si>
  <si>
    <t>St John Fisher Catholic Voluntary Academy</t>
  </si>
  <si>
    <t>Dewsbury</t>
  </si>
  <si>
    <t>WF13 4LL</t>
  </si>
  <si>
    <t>Bradford Girls' Grammar School</t>
  </si>
  <si>
    <t>BD9 6RB</t>
  </si>
  <si>
    <t>King Solomon International Business School</t>
  </si>
  <si>
    <t>Birmingham, Ladywood</t>
  </si>
  <si>
    <t>B7 4AA</t>
  </si>
  <si>
    <t>Alderwood Academy</t>
  </si>
  <si>
    <t>Academy Alternative Provision Converter</t>
  </si>
  <si>
    <t>IP3 0EW</t>
  </si>
  <si>
    <t>Trumpington Community College</t>
  </si>
  <si>
    <t>Cambridge</t>
  </si>
  <si>
    <t>CB2 9FD</t>
  </si>
  <si>
    <t>Harris Primary Academy Beckenham</t>
  </si>
  <si>
    <t>Beckenham</t>
  </si>
  <si>
    <t>BR3 3SJ</t>
  </si>
  <si>
    <t>Barton Clough Primary School</t>
  </si>
  <si>
    <t>Stretford and Urmston</t>
  </si>
  <si>
    <t>M32 9TG</t>
  </si>
  <si>
    <t>Oasis Academy Silvertown</t>
  </si>
  <si>
    <t>East Ham</t>
  </si>
  <si>
    <t>E16 2TX</t>
  </si>
  <si>
    <t>St Paul's Catholic Primary School</t>
  </si>
  <si>
    <t>TS22 5LU</t>
  </si>
  <si>
    <t>Bearwood Primary and Nursery School</t>
  </si>
  <si>
    <t>Mid Dorset and North Poole</t>
  </si>
  <si>
    <t>BH11 9UN</t>
  </si>
  <si>
    <t>Acklam Grange School</t>
  </si>
  <si>
    <t>TS5 8PB</t>
  </si>
  <si>
    <t>Saint Augustine Webster Catholic Voluntary Academy</t>
  </si>
  <si>
    <t>Scunthorpe</t>
  </si>
  <si>
    <t>DN15 8BU</t>
  </si>
  <si>
    <t>Stanley Burnside Primary School</t>
  </si>
  <si>
    <t>North Durham</t>
  </si>
  <si>
    <t>DH9 6QP</t>
  </si>
  <si>
    <t>Sir John Hunt Community Sports College</t>
  </si>
  <si>
    <t>PL5 4AA</t>
  </si>
  <si>
    <t>West Huntspill Community Primary School</t>
  </si>
  <si>
    <t>TA9 3QE</t>
  </si>
  <si>
    <t>West Rise Junior School</t>
  </si>
  <si>
    <t>BN23 7SL</t>
  </si>
  <si>
    <t>St John's Catholic Primary School</t>
  </si>
  <si>
    <t>Ludlow</t>
  </si>
  <si>
    <t>WV16 4HW</t>
  </si>
  <si>
    <t>Westgate Community Primary School and Nursery</t>
  </si>
  <si>
    <t>Bury St Edmunds</t>
  </si>
  <si>
    <t>IP33 3JX</t>
  </si>
  <si>
    <t>Swansfield Park Primary School</t>
  </si>
  <si>
    <t>NE66 1UL</t>
  </si>
  <si>
    <t>Ulverston Victoria High School</t>
  </si>
  <si>
    <t>LA12 0EB</t>
  </si>
  <si>
    <t>Poppleton Road Primary School</t>
  </si>
  <si>
    <t>YO26 4UP</t>
  </si>
  <si>
    <t>Plumpton Primary School</t>
  </si>
  <si>
    <t>Lewes</t>
  </si>
  <si>
    <t>BN7 3EB</t>
  </si>
  <si>
    <t>The Grange Primary School</t>
  </si>
  <si>
    <t>L30 0QS</t>
  </si>
  <si>
    <t>Vine Tree Primary School</t>
  </si>
  <si>
    <t>Crewe and Nantwich</t>
  </si>
  <si>
    <t>CW2 8AD</t>
  </si>
  <si>
    <t>St Teresa's Catholic Primary School</t>
  </si>
  <si>
    <t>Blackpool North and Cleveleys</t>
  </si>
  <si>
    <t>FY5 3JW</t>
  </si>
  <si>
    <t>Sacred Heart Roman Catholic Primary School Blackburn</t>
  </si>
  <si>
    <t>Blackburn</t>
  </si>
  <si>
    <t>BB2 6HQ</t>
  </si>
  <si>
    <t>Our Lady of Mount Carmel Catholic Primary School, Wincanton</t>
  </si>
  <si>
    <t>Somerton and Frome</t>
  </si>
  <si>
    <t>BA9 9DH</t>
  </si>
  <si>
    <t>St Anne's CofE Primary School</t>
  </si>
  <si>
    <t>Wythenshawe and Sale East</t>
  </si>
  <si>
    <t>M33 3ES</t>
  </si>
  <si>
    <t>N1 2EP</t>
  </si>
  <si>
    <t>Baines School</t>
  </si>
  <si>
    <t>FY6 8BE</t>
  </si>
  <si>
    <t>King Edward Primary School</t>
  </si>
  <si>
    <t>Mansfield</t>
  </si>
  <si>
    <t>NG18 2RG</t>
  </si>
  <si>
    <t>Norwood Primary School</t>
  </si>
  <si>
    <t>PE4 7DZ</t>
  </si>
  <si>
    <t>Laycock Primary School</t>
  </si>
  <si>
    <t>N1 1SW</t>
  </si>
  <si>
    <t>Hoyle Court Primary School</t>
  </si>
  <si>
    <t>Shipley</t>
  </si>
  <si>
    <t>BD17 6DN</t>
  </si>
  <si>
    <t>Grove House Primary School</t>
  </si>
  <si>
    <t>Bradford East</t>
  </si>
  <si>
    <t>BD2 4ED</t>
  </si>
  <si>
    <t>Hateley Heath Primary School</t>
  </si>
  <si>
    <t>West Bromwich East</t>
  </si>
  <si>
    <t>B71 2RP</t>
  </si>
  <si>
    <t>Havelock Primary School and Nursery</t>
  </si>
  <si>
    <t>UB2 4PA</t>
  </si>
  <si>
    <t>Furness Vale Primary and Nursery School</t>
  </si>
  <si>
    <t>SK23 7PQ</t>
  </si>
  <si>
    <t>Foxyards Primary School</t>
  </si>
  <si>
    <t>Dudley North</t>
  </si>
  <si>
    <t>DY4 8BH</t>
  </si>
  <si>
    <t>Harpur Hill Primary School</t>
  </si>
  <si>
    <t>SK17 9LP</t>
  </si>
  <si>
    <t>Higham Primary School</t>
  </si>
  <si>
    <t>Gravesham</t>
  </si>
  <si>
    <t>ME3 7JL</t>
  </si>
  <si>
    <t>Lancaster Road Primary School</t>
  </si>
  <si>
    <t>Morecambe and Lunesdale</t>
  </si>
  <si>
    <t>LA4 5TH</t>
  </si>
  <si>
    <t>Woodland View Primary School</t>
  </si>
  <si>
    <t>NG17 2LH</t>
  </si>
  <si>
    <t>Modbury Primary School</t>
  </si>
  <si>
    <t>PL21 0RB</t>
  </si>
  <si>
    <t>Harrow Way Community School</t>
  </si>
  <si>
    <t>North West Hampshire</t>
  </si>
  <si>
    <t>SP10 3RH</t>
  </si>
  <si>
    <t>Blakesley Hall Primary School</t>
  </si>
  <si>
    <t>Birmingham, Yardley</t>
  </si>
  <si>
    <t>B33 8TH</t>
  </si>
  <si>
    <t>Almond Hill Junior School</t>
  </si>
  <si>
    <t>Stevenage</t>
  </si>
  <si>
    <t>SG1 3RP</t>
  </si>
  <si>
    <t>Bassingbourn Primary School</t>
  </si>
  <si>
    <t>SG8 5NP</t>
  </si>
  <si>
    <t>Black Horse Hill Junior School</t>
  </si>
  <si>
    <t>Wirral West</t>
  </si>
  <si>
    <t>CH48 6DR</t>
  </si>
  <si>
    <t>Elizabeth Garrett Anderson School</t>
  </si>
  <si>
    <t>N1 9QG</t>
  </si>
  <si>
    <t>Heath Mount Primary School</t>
  </si>
  <si>
    <t>Birmingham, Hall Green</t>
  </si>
  <si>
    <t>B12 9SR</t>
  </si>
  <si>
    <t>Decoy Primary School</t>
  </si>
  <si>
    <t>Newton Abbot</t>
  </si>
  <si>
    <t>TQ12 1DH</t>
  </si>
  <si>
    <t>Kemnal Technology College</t>
  </si>
  <si>
    <t>Bromley and Chislehurst</t>
  </si>
  <si>
    <t>DA14 5AA</t>
  </si>
  <si>
    <t>Firthmoor Primary School</t>
  </si>
  <si>
    <t>DL1 4RW</t>
  </si>
  <si>
    <t>Queen Eleanor's Church of England School</t>
  </si>
  <si>
    <t>Guildford</t>
  </si>
  <si>
    <t>GU2 7SD</t>
  </si>
  <si>
    <t>Queen Elizabeth's Girls' School</t>
  </si>
  <si>
    <t>Chipping Barnet</t>
  </si>
  <si>
    <t>EN5 5RR</t>
  </si>
  <si>
    <t>Langstone Infant School</t>
  </si>
  <si>
    <t>Portsmouth North</t>
  </si>
  <si>
    <t>PO3 6HL</t>
  </si>
  <si>
    <t>Bishop Chavasse Primary School</t>
  </si>
  <si>
    <t>Tonbridge and Malling</t>
  </si>
  <si>
    <t>TN11 0FB</t>
  </si>
  <si>
    <t>Eden Boys' School, Preston</t>
  </si>
  <si>
    <t>Preston</t>
  </si>
  <si>
    <t>PR1 4BD</t>
  </si>
  <si>
    <t>Seven Fields Primary School</t>
  </si>
  <si>
    <t>North Swindon</t>
  </si>
  <si>
    <t>SN2 5DE</t>
  </si>
  <si>
    <t>The Sir Donald Bailey Academy</t>
  </si>
  <si>
    <t>Newark</t>
  </si>
  <si>
    <t>NG24 4EP</t>
  </si>
  <si>
    <t>Thrybergh Academy and Sports College</t>
  </si>
  <si>
    <t>Wentworth and Dearne</t>
  </si>
  <si>
    <t>S65 4BJ</t>
  </si>
  <si>
    <t>Robinswood Primary Academy</t>
  </si>
  <si>
    <t>GL4 6HE</t>
  </si>
  <si>
    <t>Troon Community Primary School</t>
  </si>
  <si>
    <t>TR14 9ED</t>
  </si>
  <si>
    <t>Rockwood Academy</t>
  </si>
  <si>
    <t>Birmingham, Hodge Hill</t>
  </si>
  <si>
    <t>B8 3HG</t>
  </si>
  <si>
    <t>Caistor Yarborough Academy</t>
  </si>
  <si>
    <t>Gainsborough</t>
  </si>
  <si>
    <t>LN7 6QZ</t>
  </si>
  <si>
    <t>Thomas Hinderwell Primary Academy</t>
  </si>
  <si>
    <t>YO12 4HF</t>
  </si>
  <si>
    <t>Great Bowden Academy, A Church of England Primary School</t>
  </si>
  <si>
    <t>Harborough</t>
  </si>
  <si>
    <t>LE16 7HZ</t>
  </si>
  <si>
    <t>King James Academy Royston</t>
  </si>
  <si>
    <t>SG8 7JH</t>
  </si>
  <si>
    <t>The Petersfield School</t>
  </si>
  <si>
    <t>East Hampshire</t>
  </si>
  <si>
    <t>GU32 3LU</t>
  </si>
  <si>
    <t>Catmose College</t>
  </si>
  <si>
    <t>LE15 6RP</t>
  </si>
  <si>
    <t>Sturry Church of England Primary School</t>
  </si>
  <si>
    <t>CT2 0NR</t>
  </si>
  <si>
    <t>The De La Salle Academy</t>
  </si>
  <si>
    <t>Liverpool, West Derby</t>
  </si>
  <si>
    <t>L11 4SG</t>
  </si>
  <si>
    <t>John Smeaton Academy</t>
  </si>
  <si>
    <t>Leeds East</t>
  </si>
  <si>
    <t>LS15 8TA</t>
  </si>
  <si>
    <t>B19 2EP</t>
  </si>
  <si>
    <t>Berrybrook Primary School</t>
  </si>
  <si>
    <t>WV10 8NZ</t>
  </si>
  <si>
    <t>Maltings Academy</t>
  </si>
  <si>
    <t>Witham</t>
  </si>
  <si>
    <t>CM8 1EP</t>
  </si>
  <si>
    <t>The Jane Lane School,  A College for Cognition &amp; Learning</t>
  </si>
  <si>
    <t>WS2 0JH</t>
  </si>
  <si>
    <t>Bromley Beacon Academy</t>
  </si>
  <si>
    <t>Orpington</t>
  </si>
  <si>
    <t>BR6 9BD</t>
  </si>
  <si>
    <t>Woodlawn School</t>
  </si>
  <si>
    <t>Tynemouth</t>
  </si>
  <si>
    <t>NE25 9DL</t>
  </si>
  <si>
    <t>Eslington Primary School</t>
  </si>
  <si>
    <t>NE8 2EP</t>
  </si>
  <si>
    <t>St Nicholas CofE Primary School</t>
  </si>
  <si>
    <t>CV8 2PE</t>
  </si>
  <si>
    <t>Wrington Church of England Primary School</t>
  </si>
  <si>
    <t>BS40 5NA</t>
  </si>
  <si>
    <t>Catherington Church of England Infant School</t>
  </si>
  <si>
    <t>PO8 0TD</t>
  </si>
  <si>
    <t>Churchill Park Complex Needs School</t>
  </si>
  <si>
    <t>Academy Special Converter</t>
  </si>
  <si>
    <t>North West Norfolk</t>
  </si>
  <si>
    <t>PE30 4RP</t>
  </si>
  <si>
    <t>Oak Bank School</t>
  </si>
  <si>
    <t>South West Bedfordshire</t>
  </si>
  <si>
    <t>LU7 3BE</t>
  </si>
  <si>
    <t>Higher Lane Primary School</t>
  </si>
  <si>
    <t>Bury South</t>
  </si>
  <si>
    <t>M45 7EX</t>
  </si>
  <si>
    <t>Red Lane Primary School</t>
  </si>
  <si>
    <t>Bolton North East</t>
  </si>
  <si>
    <t>BL2 5HP</t>
  </si>
  <si>
    <t>St Columba's Catholic Primary School</t>
  </si>
  <si>
    <t>Bradford South</t>
  </si>
  <si>
    <t>BD4 9PY</t>
  </si>
  <si>
    <t>St Teresa's RC Primary School</t>
  </si>
  <si>
    <t>Bolton South East</t>
  </si>
  <si>
    <t>BL3 1EN</t>
  </si>
  <si>
    <t>St Matthew's RC High School</t>
  </si>
  <si>
    <t>M40 0EW</t>
  </si>
  <si>
    <t>Pollington-Balne Church of England Primary School</t>
  </si>
  <si>
    <t>Brigg and Goole</t>
  </si>
  <si>
    <t>DN14 0DZ</t>
  </si>
  <si>
    <t>Poulton-le-Sands Church of England Primary School</t>
  </si>
  <si>
    <t>LA4 5QA</t>
  </si>
  <si>
    <t>Larmenier &amp; Sacred Heart Catholic Primary School</t>
  </si>
  <si>
    <t>W6 7BL</t>
  </si>
  <si>
    <t>St Hild's Church of England Voluntary Aided School</t>
  </si>
  <si>
    <t>TS24 9PB</t>
  </si>
  <si>
    <t>Grays Convent High School</t>
  </si>
  <si>
    <t>RM17 5UX</t>
  </si>
  <si>
    <t>St Mary's Church of England Aided Primary School, Prestwich</t>
  </si>
  <si>
    <t>M25 1BP</t>
  </si>
  <si>
    <t>St Mary Magdalen's Catholic Primary School</t>
  </si>
  <si>
    <t>Richmond Park</t>
  </si>
  <si>
    <t>SW14 8HE</t>
  </si>
  <si>
    <t>St Ambrose Catholic Primary School</t>
  </si>
  <si>
    <t>Garston and Halewood</t>
  </si>
  <si>
    <t>L24 7SF</t>
  </si>
  <si>
    <t>Withymoor Primary School</t>
  </si>
  <si>
    <t>Stourbridge</t>
  </si>
  <si>
    <t>DY5 2BH</t>
  </si>
  <si>
    <t>Winsford High Street Community Primary School</t>
  </si>
  <si>
    <t>Eddisbury</t>
  </si>
  <si>
    <t>CW7 2AU</t>
  </si>
  <si>
    <t>St Crispin's Community Primary Infant School</t>
  </si>
  <si>
    <t>North Thanet</t>
  </si>
  <si>
    <t>CT8 8EB</t>
  </si>
  <si>
    <t>Thorngumbald Primary School</t>
  </si>
  <si>
    <t>Beverley and Holderness</t>
  </si>
  <si>
    <t>HU12 9QQ</t>
  </si>
  <si>
    <t>St John the Baptist CofE Primary School</t>
  </si>
  <si>
    <t>Leicester South</t>
  </si>
  <si>
    <t>LE2 1TE</t>
  </si>
  <si>
    <t>Southill Lower School</t>
  </si>
  <si>
    <t>Mid Bedfordshire</t>
  </si>
  <si>
    <t>SG18 9JA</t>
  </si>
  <si>
    <t>Tor Bridge Primary School</t>
  </si>
  <si>
    <t>PL6 8EE</t>
  </si>
  <si>
    <t>Eastbrook School</t>
  </si>
  <si>
    <t>RM10 7UR</t>
  </si>
  <si>
    <t>Fazakerley High School</t>
  </si>
  <si>
    <t>Liverpool, Walton</t>
  </si>
  <si>
    <t>L10 1LB</t>
  </si>
  <si>
    <t>Bishop Road Primary School</t>
  </si>
  <si>
    <t>Bristol West</t>
  </si>
  <si>
    <t>BS7 8LS</t>
  </si>
  <si>
    <t>Bengeo Primary School</t>
  </si>
  <si>
    <t>Hertford and Stortford</t>
  </si>
  <si>
    <t>SG14 3DX</t>
  </si>
  <si>
    <t>Betty Layward Primary School</t>
  </si>
  <si>
    <t>N16 9EX</t>
  </si>
  <si>
    <t>Birches Green Junior School</t>
  </si>
  <si>
    <t>B24 9SR</t>
  </si>
  <si>
    <t>Bowlish Infant School</t>
  </si>
  <si>
    <t>BA4 5JQ</t>
  </si>
  <si>
    <t>Charlotte Nursery and Infant School</t>
  </si>
  <si>
    <t>DE7 8LQ</t>
  </si>
  <si>
    <t>Meadows Primary School and Nursery</t>
  </si>
  <si>
    <t>Telford</t>
  </si>
  <si>
    <t>TF1 5HF</t>
  </si>
  <si>
    <t>Norton Road Primary School</t>
  </si>
  <si>
    <t>Luton North</t>
  </si>
  <si>
    <t>LU3 2NX</t>
  </si>
  <si>
    <t>Newhall Park Primary School</t>
  </si>
  <si>
    <t>BD4 6AF</t>
  </si>
  <si>
    <t>Moresby Primary School</t>
  </si>
  <si>
    <t>CA28 8UX</t>
  </si>
  <si>
    <t>Morpeth School</t>
  </si>
  <si>
    <t>Bethnal Green and Bow</t>
  </si>
  <si>
    <t>E2 0PX</t>
  </si>
  <si>
    <t>Park Lane Primary School</t>
  </si>
  <si>
    <t>HA9 7RY</t>
  </si>
  <si>
    <t>Moss Lane School</t>
  </si>
  <si>
    <t>GU7 1EF</t>
  </si>
  <si>
    <t>Burlescombe Church of England Primary School</t>
  </si>
  <si>
    <t>EX16 7JH</t>
  </si>
  <si>
    <t>King Edward VI Church of England Voluntary Controlled Upper School</t>
  </si>
  <si>
    <t>IP33 3BH</t>
  </si>
  <si>
    <t>Haydon Bridge Community High School and Sports College</t>
  </si>
  <si>
    <t>NE47 6LR</t>
  </si>
  <si>
    <t>Swineshead St Mary's Church of England Primary School</t>
  </si>
  <si>
    <t>Boston and Skegness</t>
  </si>
  <si>
    <t>PE20 3EN</t>
  </si>
  <si>
    <t xml:space="preserve">Chaloner Primary School </t>
  </si>
  <si>
    <t>TS14 6JA</t>
  </si>
  <si>
    <t>Sycamore Short Stay School</t>
  </si>
  <si>
    <t>DY1 3QE</t>
  </si>
  <si>
    <t>Lime Academy Forest Approach</t>
  </si>
  <si>
    <t>Hornchurch and Upminster</t>
  </si>
  <si>
    <t>RM3 9YA</t>
  </si>
  <si>
    <t>Ivingswood Academy</t>
  </si>
  <si>
    <t>Chesham and Amersham</t>
  </si>
  <si>
    <t>HP5 2BY</t>
  </si>
  <si>
    <t>Lodge Park Academy</t>
  </si>
  <si>
    <t>NN17 2JH</t>
  </si>
  <si>
    <t>Kingsfield Primary School</t>
  </si>
  <si>
    <t>North East Cambridgeshire</t>
  </si>
  <si>
    <t>PE16 6ET</t>
  </si>
  <si>
    <t>The Grange School</t>
  </si>
  <si>
    <t>Christchurch</t>
  </si>
  <si>
    <t>BH23 3AU</t>
  </si>
  <si>
    <t>Oasis Academy Isle of Sheppey</t>
  </si>
  <si>
    <t>Sittingbourne and Sheppey</t>
  </si>
  <si>
    <t>ME12 3JQ</t>
  </si>
  <si>
    <t>The Hereford Academy</t>
  </si>
  <si>
    <t>HR2 7NG</t>
  </si>
  <si>
    <t>The King John School</t>
  </si>
  <si>
    <t>Castle Point</t>
  </si>
  <si>
    <t>SS7 1RQ</t>
  </si>
  <si>
    <t>Mercenfeld Primary School</t>
  </si>
  <si>
    <t>Bosworth</t>
  </si>
  <si>
    <t>LE67 9WG</t>
  </si>
  <si>
    <t>Barrow Hall Orchard Church of England Primary School</t>
  </si>
  <si>
    <t>Loughborough</t>
  </si>
  <si>
    <t>LE12 8HP</t>
  </si>
  <si>
    <t>Thrybergh Fullerton Church of England Primary Academy</t>
  </si>
  <si>
    <t>S65 4BL</t>
  </si>
  <si>
    <t>Thomas Bennett Community College</t>
  </si>
  <si>
    <t>RH10 5AD</t>
  </si>
  <si>
    <t>Saint Joseph's Catholic Primary School, A Catholic Voluntary Academy</t>
  </si>
  <si>
    <t>TS13 4PZ</t>
  </si>
  <si>
    <t>Kingsnorth Church of England Primary School</t>
  </si>
  <si>
    <t>TN23 3EF</t>
  </si>
  <si>
    <t>Alice Ingham Catholic Primary School, A Voluntary Academy</t>
  </si>
  <si>
    <t>OL16 2NU</t>
  </si>
  <si>
    <t>Rawmarsh Ashwood Primary School</t>
  </si>
  <si>
    <t>S62 6HT</t>
  </si>
  <si>
    <t>Thornbury Primary School</t>
  </si>
  <si>
    <t>PL6 8UL</t>
  </si>
  <si>
    <t>Westcliff Primary Academy</t>
  </si>
  <si>
    <t>FY2 9BY</t>
  </si>
  <si>
    <t>Timbercroft Primary School</t>
  </si>
  <si>
    <t>Eltham</t>
  </si>
  <si>
    <t>SE18 2SG</t>
  </si>
  <si>
    <t>Aspire Academy</t>
  </si>
  <si>
    <t>Free School - Alternative Provision</t>
  </si>
  <si>
    <t>Kingston upon Hull East</t>
  </si>
  <si>
    <t>HU9 5DE</t>
  </si>
  <si>
    <t>Thornhill Primary School</t>
  </si>
  <si>
    <t>Southampton, Itchen</t>
  </si>
  <si>
    <t>SO19 6FH</t>
  </si>
  <si>
    <t>Ilketshall St Lawrence School</t>
  </si>
  <si>
    <t>Waveney</t>
  </si>
  <si>
    <t>NR34 8ND</t>
  </si>
  <si>
    <t>TS23 3NN</t>
  </si>
  <si>
    <t>Reach Academy Feltham</t>
  </si>
  <si>
    <t>TW13 4AB</t>
  </si>
  <si>
    <t>Redhills Primary School</t>
  </si>
  <si>
    <t>EX4 2BY</t>
  </si>
  <si>
    <t>Chesterton Primary School</t>
  </si>
  <si>
    <t>Newcastle-under-Lyme</t>
  </si>
  <si>
    <t>ST5 7NT</t>
  </si>
  <si>
    <t>Wilton Primary Academy</t>
  </si>
  <si>
    <t>Redcar</t>
  </si>
  <si>
    <t>TS6 8DY</t>
  </si>
  <si>
    <t>Orchid Vale Primary School</t>
  </si>
  <si>
    <t>SN25 1UG</t>
  </si>
  <si>
    <t>Starbank School</t>
  </si>
  <si>
    <t>B10 9BT</t>
  </si>
  <si>
    <t>Beckers Green Primary School</t>
  </si>
  <si>
    <t>CM7 3PR</t>
  </si>
  <si>
    <t>Woodseaves CE Primary Academy</t>
  </si>
  <si>
    <t>ST20 0LB</t>
  </si>
  <si>
    <t>Edward Worlledge Ormiston Academy</t>
  </si>
  <si>
    <t>Great Yarmouth</t>
  </si>
  <si>
    <t>NR31 0ER</t>
  </si>
  <si>
    <t>Ark Conway Primary Academy</t>
  </si>
  <si>
    <t>W12 0QT</t>
  </si>
  <si>
    <t>Thomas Estley Community College</t>
  </si>
  <si>
    <t>South Leicestershire</t>
  </si>
  <si>
    <t>LE9 6PT</t>
  </si>
  <si>
    <t>Thomas Walling Primary Academy</t>
  </si>
  <si>
    <t>NE5 3PL</t>
  </si>
  <si>
    <t>Bluecoat Meres Primary Academy</t>
  </si>
  <si>
    <t>Grantham and Stamford</t>
  </si>
  <si>
    <t>NG31 7XQ</t>
  </si>
  <si>
    <t>Drapers' Pyrgo Priory School</t>
  </si>
  <si>
    <t>RM3 9RT</t>
  </si>
  <si>
    <t>St Peter's Church of England Primary School, Hindley</t>
  </si>
  <si>
    <t>Makerfield</t>
  </si>
  <si>
    <t>WN2 3HY</t>
  </si>
  <si>
    <t>Rydon Primary School</t>
  </si>
  <si>
    <t>TQ12 3LP</t>
  </si>
  <si>
    <t>St Peter's Church of England (VA) Junior School</t>
  </si>
  <si>
    <t>Torridge and West Devon</t>
  </si>
  <si>
    <t>PL19 9HW</t>
  </si>
  <si>
    <t>Ilminster Avenue E-ACT Academy</t>
  </si>
  <si>
    <t>BS4 1BX</t>
  </si>
  <si>
    <t>Lime Academy Hornbeam</t>
  </si>
  <si>
    <t>Walthamstow</t>
  </si>
  <si>
    <t>E17 5NT</t>
  </si>
  <si>
    <t>Meppershall Church of England Academy</t>
  </si>
  <si>
    <t>SG17 5LZ</t>
  </si>
  <si>
    <t>Fulwood Academy</t>
  </si>
  <si>
    <t>PR2 9YR</t>
  </si>
  <si>
    <t>The King's Academy</t>
  </si>
  <si>
    <t>TS8 0GA</t>
  </si>
  <si>
    <t>Skilts School</t>
  </si>
  <si>
    <t>Stratford-on-Avon</t>
  </si>
  <si>
    <t>B98 9ET</t>
  </si>
  <si>
    <t>Manchester Health Academy</t>
  </si>
  <si>
    <t>M23 9BP</t>
  </si>
  <si>
    <t>Brookwood Primary School</t>
  </si>
  <si>
    <t>Woking</t>
  </si>
  <si>
    <t>GU24 0HF</t>
  </si>
  <si>
    <t>Merstone School</t>
  </si>
  <si>
    <t>Meriden</t>
  </si>
  <si>
    <t>B36 0UE</t>
  </si>
  <si>
    <t>Morecambe Road School</t>
  </si>
  <si>
    <t>LA3 3AB</t>
  </si>
  <si>
    <t>Old Warren House School</t>
  </si>
  <si>
    <t>NR32 4QD</t>
  </si>
  <si>
    <t>Bredenbury Primary School</t>
  </si>
  <si>
    <t>North Herefordshire</t>
  </si>
  <si>
    <t>HR7 4TF</t>
  </si>
  <si>
    <t>Newfield Secondary School</t>
  </si>
  <si>
    <t>S8 9JP</t>
  </si>
  <si>
    <t>Meynell Community Primary School</t>
  </si>
  <si>
    <t>Sheffield, Brightside and Hillsborough</t>
  </si>
  <si>
    <t>S5 8GN</t>
  </si>
  <si>
    <t>Kington St Michael Church of England Primary School</t>
  </si>
  <si>
    <t>North Wiltshire</t>
  </si>
  <si>
    <t>SN14 6JG</t>
  </si>
  <si>
    <t>St Paul's CofE Infant School</t>
  </si>
  <si>
    <t>GU10 1EF</t>
  </si>
  <si>
    <t>Windmill CofE (VC) Primary School</t>
  </si>
  <si>
    <t>Batley and Spen</t>
  </si>
  <si>
    <t>WF17 0NP</t>
  </si>
  <si>
    <t>Woodville CofE Junior School</t>
  </si>
  <si>
    <t>DE11 7EA</t>
  </si>
  <si>
    <t>Driffield Church of England Voluntary Controlled Infant School</t>
  </si>
  <si>
    <t>YO25 6RS</t>
  </si>
  <si>
    <t>Bream Church of England Primary School</t>
  </si>
  <si>
    <t>Forest of Dean</t>
  </si>
  <si>
    <t>GL15 6JW</t>
  </si>
  <si>
    <t>Holywell CofE Primary School</t>
  </si>
  <si>
    <t>PE27 4TF</t>
  </si>
  <si>
    <t>Peters Hill Primary School</t>
  </si>
  <si>
    <t>DY5 2QH</t>
  </si>
  <si>
    <t>Phoenix Community Primary School</t>
  </si>
  <si>
    <t>TN24 9LS</t>
  </si>
  <si>
    <t>Haydn Primary School</t>
  </si>
  <si>
    <t>Nottingham East</t>
  </si>
  <si>
    <t>NG5 2JU</t>
  </si>
  <si>
    <t>Oxley Primary School Shepshed</t>
  </si>
  <si>
    <t>LE12 9LU</t>
  </si>
  <si>
    <t>Meadow View JMI School</t>
  </si>
  <si>
    <t>B43 7UJ</t>
  </si>
  <si>
    <t>Furzeham Primary School</t>
  </si>
  <si>
    <t>TQ5 8BL</t>
  </si>
  <si>
    <t>Greenfields Junior School</t>
  </si>
  <si>
    <t>North East Hampshire</t>
  </si>
  <si>
    <t>RG27 8DQ</t>
  </si>
  <si>
    <t>Lynnfield Primary School</t>
  </si>
  <si>
    <t>TS26 8RL</t>
  </si>
  <si>
    <t>Camrose Primary With Nursery</t>
  </si>
  <si>
    <t>Harrow East</t>
  </si>
  <si>
    <t>HA8 6JH</t>
  </si>
  <si>
    <t>Hollingwood Primary School</t>
  </si>
  <si>
    <t>S43 2JG</t>
  </si>
  <si>
    <t>Eastlea Community School</t>
  </si>
  <si>
    <t>West Ham</t>
  </si>
  <si>
    <t>E16 4NP</t>
  </si>
  <si>
    <t>Cotton End Forest School</t>
  </si>
  <si>
    <t>MK45 3AG</t>
  </si>
  <si>
    <t>Hanbury Primary School</t>
  </si>
  <si>
    <t>B70 9NT</t>
  </si>
  <si>
    <t>Stanmore Primary School</t>
  </si>
  <si>
    <t>Winchester</t>
  </si>
  <si>
    <t>SO22 4AJ</t>
  </si>
  <si>
    <t>Barham Church of England Primary School</t>
  </si>
  <si>
    <t>CT4 6NX</t>
  </si>
  <si>
    <t>Woodcote Primary School</t>
  </si>
  <si>
    <t>Croydon South</t>
  </si>
  <si>
    <t>CR5 2ED</t>
  </si>
  <si>
    <t>Waverton Community Primary School</t>
  </si>
  <si>
    <t>CH3 7QT</t>
  </si>
  <si>
    <t>Surrey Street Primary School</t>
  </si>
  <si>
    <t>LU1 3NJ</t>
  </si>
  <si>
    <t>Thomas Tallis School</t>
  </si>
  <si>
    <t>SE3 9PX</t>
  </si>
  <si>
    <t>Priory Infant School</t>
  </si>
  <si>
    <t>CT11 9XT</t>
  </si>
  <si>
    <t>Priory Lane Community School</t>
  </si>
  <si>
    <t>DN17 1HE</t>
  </si>
  <si>
    <t>South Walney Junior School</t>
  </si>
  <si>
    <t>LA14 3BG</t>
  </si>
  <si>
    <t>Mason Moor Primary School</t>
  </si>
  <si>
    <t>SO16 4AS</t>
  </si>
  <si>
    <t>De La Salle School</t>
  </si>
  <si>
    <t>Basildon and Billericay</t>
  </si>
  <si>
    <t>SS14 2LA</t>
  </si>
  <si>
    <t>Over Kellet Wilson's Endowed Church of England Primary School</t>
  </si>
  <si>
    <t>LA6 1BN</t>
  </si>
  <si>
    <t>St Michael's Church of England Primary School</t>
  </si>
  <si>
    <t>Holborn and St Pancras</t>
  </si>
  <si>
    <t>NW1 0JA</t>
  </si>
  <si>
    <t>Trinity Church of England Voluntary Aided Primary and Nursery School</t>
  </si>
  <si>
    <t>East Devon</t>
  </si>
  <si>
    <t>EX2 7GB</t>
  </si>
  <si>
    <t>Cranleigh Church of England Primary School</t>
  </si>
  <si>
    <t>GU6 7AN</t>
  </si>
  <si>
    <t>Our Lady's Catholic Primary School, Wellingborough</t>
  </si>
  <si>
    <t>Wellingborough</t>
  </si>
  <si>
    <t>NN8 2BE</t>
  </si>
  <si>
    <t>Blackfriars Academy</t>
  </si>
  <si>
    <t>ST5 2TF</t>
  </si>
  <si>
    <t>St John's Church of England Primary School, Radcliffe</t>
  </si>
  <si>
    <t>M26 1AW</t>
  </si>
  <si>
    <t>Bilton School</t>
  </si>
  <si>
    <t>Rugby</t>
  </si>
  <si>
    <t>CV22 7JT</t>
  </si>
  <si>
    <t>Foley Park Primary School and Nursery</t>
  </si>
  <si>
    <t>Wyre Forest</t>
  </si>
  <si>
    <t>DY11 7AW</t>
  </si>
  <si>
    <t>Hatfield Academy</t>
  </si>
  <si>
    <t>S5 6HY</t>
  </si>
  <si>
    <t>St Andrew's Church of England Primary School and Nursery</t>
  </si>
  <si>
    <t>OL12 9QA</t>
  </si>
  <si>
    <t>Grove Junior School</t>
  </si>
  <si>
    <t>BS48 4YZ</t>
  </si>
  <si>
    <t>Carlton Miniott Primary Academy</t>
  </si>
  <si>
    <t>YO7 4NJ</t>
  </si>
  <si>
    <t>Lees Primary School</t>
  </si>
  <si>
    <t>Keighley</t>
  </si>
  <si>
    <t>BD22 9DL</t>
  </si>
  <si>
    <t>Wapping High School</t>
  </si>
  <si>
    <t>E1 2DA</t>
  </si>
  <si>
    <t>Shakespeare Primary School</t>
  </si>
  <si>
    <t>PL5 3JU</t>
  </si>
  <si>
    <t>Fremington Primary School</t>
  </si>
  <si>
    <t>North Devon</t>
  </si>
  <si>
    <t>EX31 3DD</t>
  </si>
  <si>
    <t>Foxfield Primary School</t>
  </si>
  <si>
    <t>Greenwich and Woolwich</t>
  </si>
  <si>
    <t>SE18 7EX</t>
  </si>
  <si>
    <t>Wool Church of England Voluntary Aided Primary School</t>
  </si>
  <si>
    <t>South Dorset</t>
  </si>
  <si>
    <t>BH20 6BT</t>
  </si>
  <si>
    <t>Christ Church Primary School</t>
  </si>
  <si>
    <t>EN5 4NS</t>
  </si>
  <si>
    <t>Waingroves Primary School</t>
  </si>
  <si>
    <t>Amber Valley</t>
  </si>
  <si>
    <t>DE5 9TD</t>
  </si>
  <si>
    <t>The Henry Cort Community College</t>
  </si>
  <si>
    <t>Fareham</t>
  </si>
  <si>
    <t>PO15 6PH</t>
  </si>
  <si>
    <t>Westminster Community Primary School</t>
  </si>
  <si>
    <t>CH65 2ED</t>
  </si>
  <si>
    <t>All Saints' Catholic Voluntary Aided Primary School</t>
  </si>
  <si>
    <t>North West Durham</t>
  </si>
  <si>
    <t>DH7 0JG</t>
  </si>
  <si>
    <t>Balcombe CofE Controlled Primary School</t>
  </si>
  <si>
    <t>Horsham</t>
  </si>
  <si>
    <t>RH17 6HS</t>
  </si>
  <si>
    <t>Church Langley Community Primary School</t>
  </si>
  <si>
    <t>CM17 9TH</t>
  </si>
  <si>
    <t>Coleshill Heath School</t>
  </si>
  <si>
    <t>B37 7PY</t>
  </si>
  <si>
    <t>Field Junior School</t>
  </si>
  <si>
    <t>WD18 0AZ</t>
  </si>
  <si>
    <t>Fairholme Primary School</t>
  </si>
  <si>
    <t>TW14 8ET</t>
  </si>
  <si>
    <t>Fernhill School</t>
  </si>
  <si>
    <t>Aldershot</t>
  </si>
  <si>
    <t>GU14 9BY</t>
  </si>
  <si>
    <t>Deykin Avenue Junior and Infant School</t>
  </si>
  <si>
    <t>Birmingham, Perry Barr</t>
  </si>
  <si>
    <t>B6 7BU</t>
  </si>
  <si>
    <t>Bosham Primary School</t>
  </si>
  <si>
    <t>Chichester</t>
  </si>
  <si>
    <t>PO18 8QF</t>
  </si>
  <si>
    <t>Mill Field Primary School</t>
  </si>
  <si>
    <t>Leeds North East</t>
  </si>
  <si>
    <t>LS7 2DR</t>
  </si>
  <si>
    <t>New Delaval Primary School</t>
  </si>
  <si>
    <t>Blyth Valley</t>
  </si>
  <si>
    <t>NE24 4DA</t>
  </si>
  <si>
    <t xml:space="preserve">Pennyhill Primary School </t>
  </si>
  <si>
    <t>B71 3BU</t>
  </si>
  <si>
    <t>Manor Park School and Nursery</t>
  </si>
  <si>
    <t>Tatton</t>
  </si>
  <si>
    <t>WA16 8DB</t>
  </si>
  <si>
    <t>Mersham Primary School</t>
  </si>
  <si>
    <t>TN25 6NU</t>
  </si>
  <si>
    <t>Moulsecoomb Primary School</t>
  </si>
  <si>
    <t>Brighton, Kemptown</t>
  </si>
  <si>
    <t>BN2 4PA</t>
  </si>
  <si>
    <t>Offmore Primary School</t>
  </si>
  <si>
    <t>DY10 3HA</t>
  </si>
  <si>
    <t>Basildon C.E. Primary School</t>
  </si>
  <si>
    <t>RG8 8PD</t>
  </si>
  <si>
    <t>Bosley St Mary's CofE Primary School</t>
  </si>
  <si>
    <t>Macclesfield</t>
  </si>
  <si>
    <t>SK11 0NX</t>
  </si>
  <si>
    <t>Chipping Sodbury School</t>
  </si>
  <si>
    <t>Thornbury and Yate</t>
  </si>
  <si>
    <t>BS37 6EW</t>
  </si>
  <si>
    <t>Chelsea Academy</t>
  </si>
  <si>
    <t>SW10 0AB</t>
  </si>
  <si>
    <t>Cleaswell Hill School</t>
  </si>
  <si>
    <t>Wansbeck</t>
  </si>
  <si>
    <t>NE62 5DJ</t>
  </si>
  <si>
    <t>Orchard Manor School</t>
  </si>
  <si>
    <t>EX7 9SF</t>
  </si>
  <si>
    <t>Macmillan Academy</t>
  </si>
  <si>
    <t>TS5 4AG</t>
  </si>
  <si>
    <t>Luddenham School</t>
  </si>
  <si>
    <t>ME13 0TE</t>
  </si>
  <si>
    <t>Malcolm Sargent Primary School</t>
  </si>
  <si>
    <t>PE9 2SR</t>
  </si>
  <si>
    <t>Holywell School</t>
  </si>
  <si>
    <t>MK43 0JA</t>
  </si>
  <si>
    <t>NCEA Duke's Secondary School</t>
  </si>
  <si>
    <t>NE63 9FZ</t>
  </si>
  <si>
    <t>Gatehouse Primary Academy</t>
  </si>
  <si>
    <t>EX7 0LW</t>
  </si>
  <si>
    <t>Cardinal Hume Catholic School</t>
  </si>
  <si>
    <t>NE9 6RZ</t>
  </si>
  <si>
    <t>Great Yarmouth Primary Academy</t>
  </si>
  <si>
    <t>NR30 3DT</t>
  </si>
  <si>
    <t>Gusford Community Primary School</t>
  </si>
  <si>
    <t>IP2 9LQ</t>
  </si>
  <si>
    <t>Hartsdown Academy</t>
  </si>
  <si>
    <t>CT9 5RE</t>
  </si>
  <si>
    <t>Southfield Primary School</t>
  </si>
  <si>
    <t>South Northamptonshire</t>
  </si>
  <si>
    <t>NN13 6AU</t>
  </si>
  <si>
    <t>St Helen's Primary Academy</t>
  </si>
  <si>
    <t>Barnsley Central</t>
  </si>
  <si>
    <t>S71 2PS</t>
  </si>
  <si>
    <t>St Margaret Ward Catholic Academy</t>
  </si>
  <si>
    <t>Stoke-on-Trent North</t>
  </si>
  <si>
    <t>ST6 6LZ</t>
  </si>
  <si>
    <t>Othery Village School</t>
  </si>
  <si>
    <t>TA7 0PX</t>
  </si>
  <si>
    <t>Appleby Grammar School</t>
  </si>
  <si>
    <t>CA16 6XU</t>
  </si>
  <si>
    <t>Lime Academy Larkswood</t>
  </si>
  <si>
    <t>Chingford and Woodford Green</t>
  </si>
  <si>
    <t>E4 8ET</t>
  </si>
  <si>
    <t>St Nicholas of Tolentine Catholic Primary School</t>
  </si>
  <si>
    <t>BS5 0TJ</t>
  </si>
  <si>
    <t>Whirley Primary School</t>
  </si>
  <si>
    <t>SK10 3JL</t>
  </si>
  <si>
    <t>Wistaston Academy</t>
  </si>
  <si>
    <t>CW2 8QS</t>
  </si>
  <si>
    <t>Bugle School</t>
  </si>
  <si>
    <t>PL26 8PD</t>
  </si>
  <si>
    <t>The Centre School</t>
  </si>
  <si>
    <t>CB24 8UA</t>
  </si>
  <si>
    <t>Glebe School</t>
  </si>
  <si>
    <t>BR4 9AE</t>
  </si>
  <si>
    <t>Headley Park Primary School</t>
  </si>
  <si>
    <t>BS13 7QB</t>
  </si>
  <si>
    <t>The Fallibroome Academy</t>
  </si>
  <si>
    <t>SK10 4AF</t>
  </si>
  <si>
    <t>Bishop Heber High School</t>
  </si>
  <si>
    <t>SY14 8JD</t>
  </si>
  <si>
    <t>The Hackthorn Church of England Primary School</t>
  </si>
  <si>
    <t>LN2 3PF</t>
  </si>
  <si>
    <t>St Thomas's CofE Primary School</t>
  </si>
  <si>
    <t>Westmorland and Lonsdale</t>
  </si>
  <si>
    <t>LA9 5PP</t>
  </si>
  <si>
    <t>Allithwaite CofE Primary School</t>
  </si>
  <si>
    <t>LA11 7RD</t>
  </si>
  <si>
    <t>Cheswick Green Primary School</t>
  </si>
  <si>
    <t>B90 4HG</t>
  </si>
  <si>
    <t>Denfield Park Primary School</t>
  </si>
  <si>
    <t>NN10 0DA</t>
  </si>
  <si>
    <t>Edith Neville Primary School</t>
  </si>
  <si>
    <t>NW1 1DN</t>
  </si>
  <si>
    <t>Downsell Primary School</t>
  </si>
  <si>
    <t>Leyton and Wanstead</t>
  </si>
  <si>
    <t>E15 2BS</t>
  </si>
  <si>
    <t>Crosscrake CofE Primary School</t>
  </si>
  <si>
    <t>LA8 0LB</t>
  </si>
  <si>
    <t>Sacred Heart Catholic Primary School</t>
  </si>
  <si>
    <t>N7 8JN</t>
  </si>
  <si>
    <t>Ellesmere Port Christ Church CofE Primary School</t>
  </si>
  <si>
    <t>CH65 6TQ</t>
  </si>
  <si>
    <t>St Margaret's Lee CofE Primary School</t>
  </si>
  <si>
    <t>Lewisham East</t>
  </si>
  <si>
    <t>SE13 5SG</t>
  </si>
  <si>
    <t>St. Michael's C of E Primary School</t>
  </si>
  <si>
    <t>Sedgefield</t>
  </si>
  <si>
    <t>DL17 9AL</t>
  </si>
  <si>
    <t>St Margaret's CofE Primary School</t>
  </si>
  <si>
    <t>RH11 0AQ</t>
  </si>
  <si>
    <t>St Johns Walham Green Church of England Primary School</t>
  </si>
  <si>
    <t>SW6 6AS</t>
  </si>
  <si>
    <t>Chidham Parochial Primary School</t>
  </si>
  <si>
    <t>PO18 8TH</t>
  </si>
  <si>
    <t>St Clare's Catholic Primary School</t>
  </si>
  <si>
    <t>CH4 8HX</t>
  </si>
  <si>
    <t>Christ the King Catholic and Church of England Primary School</t>
  </si>
  <si>
    <t>Church of England/Roman Catholic</t>
  </si>
  <si>
    <t>SK11 7SF</t>
  </si>
  <si>
    <t>Duddon St Peter's CofE Primary School</t>
  </si>
  <si>
    <t>CW6 0EL</t>
  </si>
  <si>
    <t>Wherwell Primary School</t>
  </si>
  <si>
    <t>SP11 7JP</t>
  </si>
  <si>
    <t>Seaton Delaval First School</t>
  </si>
  <si>
    <t>NE25 0EP</t>
  </si>
  <si>
    <t>Westacre Middle School</t>
  </si>
  <si>
    <t>Mid Worcestershire</t>
  </si>
  <si>
    <t>WR9 0AA</t>
  </si>
  <si>
    <t>William Davis Primary School</t>
  </si>
  <si>
    <t>E2 6ET</t>
  </si>
  <si>
    <t>Stafford Junior School</t>
  </si>
  <si>
    <t>BN22 8UA</t>
  </si>
  <si>
    <t>St Andrew's Primary School</t>
  </si>
  <si>
    <t>DL14 6RY</t>
  </si>
  <si>
    <t>Rivacre Valley Primary School</t>
  </si>
  <si>
    <t>CH66 1LE</t>
  </si>
  <si>
    <t>Gunter Primary School</t>
  </si>
  <si>
    <t>B24 0RU</t>
  </si>
  <si>
    <t>Downsway Primary School</t>
  </si>
  <si>
    <t>RG31 6FE</t>
  </si>
  <si>
    <t>Carrwood Primary School</t>
  </si>
  <si>
    <t>BD4 0EQ</t>
  </si>
  <si>
    <t>Bridge Farm Primary School</t>
  </si>
  <si>
    <t>BS14 0LL</t>
  </si>
  <si>
    <t>Brook Community Primary School</t>
  </si>
  <si>
    <t>Folkestone and Hythe</t>
  </si>
  <si>
    <t>TN25 5PB</t>
  </si>
  <si>
    <t>Ashwell Primary School</t>
  </si>
  <si>
    <t>SG7 5QL</t>
  </si>
  <si>
    <t>Barnwell School</t>
  </si>
  <si>
    <t>SG2 9SW</t>
  </si>
  <si>
    <t>Beech Green Primary School</t>
  </si>
  <si>
    <t>GL2 4WD</t>
  </si>
  <si>
    <t>Bucklesham Primary School</t>
  </si>
  <si>
    <t>IP10 0AX</t>
  </si>
  <si>
    <t>Leighswood School</t>
  </si>
  <si>
    <t>Aldridge-Brownhills</t>
  </si>
  <si>
    <t>WS9 8HZ</t>
  </si>
  <si>
    <t>Harmans Water Primary School</t>
  </si>
  <si>
    <t>RG12 9NE</t>
  </si>
  <si>
    <t>St George Church of England Primary School</t>
  </si>
  <si>
    <t>BS1 5XJ</t>
  </si>
  <si>
    <t>Langford Budville Church of England Primary School</t>
  </si>
  <si>
    <t>TA21 0RD</t>
  </si>
  <si>
    <t>Breckon Hill Primary School</t>
  </si>
  <si>
    <t>TS4 2DS</t>
  </si>
  <si>
    <t>De Warenne Academy</t>
  </si>
  <si>
    <t>DN12 3JY</t>
  </si>
  <si>
    <t>Hooe Primary Academy</t>
  </si>
  <si>
    <t>PL9 9RG</t>
  </si>
  <si>
    <t>Pegasus Primary School</t>
  </si>
  <si>
    <t>B35 6PR</t>
  </si>
  <si>
    <t>Endsleigh Holy Child VC Academy</t>
  </si>
  <si>
    <t>Kingston upon Hull North</t>
  </si>
  <si>
    <t>HU6 7TE</t>
  </si>
  <si>
    <t>The Ferrars Academy</t>
  </si>
  <si>
    <t>LU4 0LL</t>
  </si>
  <si>
    <t>The Eastwood Academy</t>
  </si>
  <si>
    <t>Southend West</t>
  </si>
  <si>
    <t>SS9 5UU</t>
  </si>
  <si>
    <t>Ribston Hall High School</t>
  </si>
  <si>
    <t>Selective</t>
  </si>
  <si>
    <t>GL1 5LE</t>
  </si>
  <si>
    <t>The Willows Primary School</t>
  </si>
  <si>
    <t>SS14 2EX</t>
  </si>
  <si>
    <t>Washingborough Academy</t>
  </si>
  <si>
    <t>Sleaford and North Hykeham</t>
  </si>
  <si>
    <t>LN4 1BW</t>
  </si>
  <si>
    <t>St Simon of England Roman Catholic Primary School, Ashford</t>
  </si>
  <si>
    <t>TN23 4RB</t>
  </si>
  <si>
    <t>Twydall Primary School and Nursery</t>
  </si>
  <si>
    <t>Gillingham and Rainham</t>
  </si>
  <si>
    <t>ME8 6JS</t>
  </si>
  <si>
    <t>The CE Academy</t>
  </si>
  <si>
    <t>Northampton South</t>
  </si>
  <si>
    <t>NN1 3EX</t>
  </si>
  <si>
    <t xml:space="preserve">Uffculme Primary School </t>
  </si>
  <si>
    <t>EX15 3AY</t>
  </si>
  <si>
    <t>St Mary's Catholic Primary School (Maltby)</t>
  </si>
  <si>
    <t>S66 7JU</t>
  </si>
  <si>
    <t>Nunthorpe Primary Academy</t>
  </si>
  <si>
    <t>TS7 0LA</t>
  </si>
  <si>
    <t>St Catherine's Catholic Primary School, Wimborne</t>
  </si>
  <si>
    <t>BH21 2HN</t>
  </si>
  <si>
    <t>Wednesfield High Academy</t>
  </si>
  <si>
    <t>WV11 3ES</t>
  </si>
  <si>
    <t>Ormiston Denes Academy</t>
  </si>
  <si>
    <t>NR32 4AH</t>
  </si>
  <si>
    <t>Netherbrook Primary School</t>
  </si>
  <si>
    <t>DY2 9RZ</t>
  </si>
  <si>
    <t>Jeavons Wood Primary School</t>
  </si>
  <si>
    <t>CB23 6DZ</t>
  </si>
  <si>
    <t>London Enterprise Academy</t>
  </si>
  <si>
    <t>E1 1RD</t>
  </si>
  <si>
    <t>Minehead First School</t>
  </si>
  <si>
    <t>TA24 5RG</t>
  </si>
  <si>
    <t>Ashby School</t>
  </si>
  <si>
    <t>North West Leicestershire</t>
  </si>
  <si>
    <t>LE65 1DT</t>
  </si>
  <si>
    <t>Highgate Community Primary School</t>
  </si>
  <si>
    <t>LE12 7ND</t>
  </si>
  <si>
    <t>Cossington Church of England Primary School</t>
  </si>
  <si>
    <t>Charnwood</t>
  </si>
  <si>
    <t>LE7 4UU</t>
  </si>
  <si>
    <t>St Mary's Roman Catholic Primary School, Osbaldeston</t>
  </si>
  <si>
    <t>Ribble Valley</t>
  </si>
  <si>
    <t>BB2 7HX</t>
  </si>
  <si>
    <t>Trinity St Stephen CofE Aided First School</t>
  </si>
  <si>
    <t>Windsor</t>
  </si>
  <si>
    <t>SL4 5DF</t>
  </si>
  <si>
    <t>St Andrew's CofE Voluntary Aided Primary School, Totteridge</t>
  </si>
  <si>
    <t>N20 8NX</t>
  </si>
  <si>
    <t>Clearwell Church of England Primary School</t>
  </si>
  <si>
    <t>GL16 8LG</t>
  </si>
  <si>
    <t>Christ Church CofE (VA) Primary School and Nursery, Ware</t>
  </si>
  <si>
    <t>SG12 7BT</t>
  </si>
  <si>
    <t>Corpus Christi Catholic Primary School</t>
  </si>
  <si>
    <t>PO2 9AX</t>
  </si>
  <si>
    <t>Marnel Junior School</t>
  </si>
  <si>
    <t>RG24 9PT</t>
  </si>
  <si>
    <t>Marsh Green Primary School</t>
  </si>
  <si>
    <t>WN5 0EF</t>
  </si>
  <si>
    <t>St Bees Village Primary School</t>
  </si>
  <si>
    <t>CA27 0AA</t>
  </si>
  <si>
    <t>The South Hykeham Community Primary School</t>
  </si>
  <si>
    <t>LN6 9PG</t>
  </si>
  <si>
    <t>Rossington Tornedale Infant School</t>
  </si>
  <si>
    <t>DN11 0NQ</t>
  </si>
  <si>
    <t>Stillington Primary School</t>
  </si>
  <si>
    <t>YO61 1LA</t>
  </si>
  <si>
    <t>Christ The King Catholic School, Amesbury</t>
  </si>
  <si>
    <t>Salisbury</t>
  </si>
  <si>
    <t>SP4 7LX</t>
  </si>
  <si>
    <t>Whitleigh Community Primary School</t>
  </si>
  <si>
    <t>Front Street Community Primary School</t>
  </si>
  <si>
    <t>Blaydon</t>
  </si>
  <si>
    <t>NE16 4AY</t>
  </si>
  <si>
    <t>Galley Hill Primary School and Nursery</t>
  </si>
  <si>
    <t>Hemel Hempstead</t>
  </si>
  <si>
    <t>HP1 3JY</t>
  </si>
  <si>
    <t>Lady Lumley's School</t>
  </si>
  <si>
    <t>YO18 8NG</t>
  </si>
  <si>
    <t>Hythe Primary School</t>
  </si>
  <si>
    <t>New Forest East</t>
  </si>
  <si>
    <t>SO45 6BL</t>
  </si>
  <si>
    <t>Trinity Primary School</t>
  </si>
  <si>
    <t>HR4 0NU</t>
  </si>
  <si>
    <t>Turves Green Boys' School</t>
  </si>
  <si>
    <t>Birmingham, Northfield</t>
  </si>
  <si>
    <t>B31 4BS</t>
  </si>
  <si>
    <t>Arnhem Wharf Primary School</t>
  </si>
  <si>
    <t>Poplar and Limehouse</t>
  </si>
  <si>
    <t>E14 3RP</t>
  </si>
  <si>
    <t>Brunswick Park Primary School</t>
  </si>
  <si>
    <t>Camberwell and Peckham</t>
  </si>
  <si>
    <t>SE5 7QH</t>
  </si>
  <si>
    <t>Chartham Primary School</t>
  </si>
  <si>
    <t>CT4 7QN</t>
  </si>
  <si>
    <t>Cranford Primary School</t>
  </si>
  <si>
    <t>TW4 6LB</t>
  </si>
  <si>
    <t>Clitheroe Pendle Primary School</t>
  </si>
  <si>
    <t>BB7 2AL</t>
  </si>
  <si>
    <t>Astor Secondary School</t>
  </si>
  <si>
    <t>Dover</t>
  </si>
  <si>
    <t>CT17 0AS</t>
  </si>
  <si>
    <t>Bartley Green School</t>
  </si>
  <si>
    <t>B32 3QJ</t>
  </si>
  <si>
    <t>East Herrington Primary Academy</t>
  </si>
  <si>
    <t>SR3 3PR</t>
  </si>
  <si>
    <t>Easton Royal Academy</t>
  </si>
  <si>
    <t>Devizes</t>
  </si>
  <si>
    <t>SN9 5LZ</t>
  </si>
  <si>
    <t>Ripley St Thomas Church of England Academy</t>
  </si>
  <si>
    <t>LA1 4RS</t>
  </si>
  <si>
    <t>Ruskington Chestnut Street Church of England Academy</t>
  </si>
  <si>
    <t>NG34 9DL</t>
  </si>
  <si>
    <t>Umberleigh Primary Academy</t>
  </si>
  <si>
    <t>EX37 9AD</t>
  </si>
  <si>
    <t>Sprites Primary Academy</t>
  </si>
  <si>
    <t>IP2 0SA</t>
  </si>
  <si>
    <t>Hawkesley Church Primary Academy</t>
  </si>
  <si>
    <t>Church of England/Methodist</t>
  </si>
  <si>
    <t>B38 9TR</t>
  </si>
  <si>
    <t>Thurcroft Junior Academy</t>
  </si>
  <si>
    <t>S66 9DD</t>
  </si>
  <si>
    <t>Ramnoth Junior School</t>
  </si>
  <si>
    <t>PE13 2JB</t>
  </si>
  <si>
    <t>High Street Primary Academy</t>
  </si>
  <si>
    <t>Plymouth, Sutton and Devonport</t>
  </si>
  <si>
    <t>PL1 3SJ</t>
  </si>
  <si>
    <t>Noel-Baker Academy</t>
  </si>
  <si>
    <t>DE24 0BR</t>
  </si>
  <si>
    <t>The Edge Academy</t>
  </si>
  <si>
    <t>B31 2LQ</t>
  </si>
  <si>
    <t>The Brookfield School</t>
  </si>
  <si>
    <t>HR4 9NG</t>
  </si>
  <si>
    <t>Heathcote Primary School</t>
  </si>
  <si>
    <t>CV34 7AP</t>
  </si>
  <si>
    <t>Manchester Enterprise Academy Central</t>
  </si>
  <si>
    <t>M14 6PL</t>
  </si>
  <si>
    <t>City of London Academy Highbury Grove</t>
  </si>
  <si>
    <t>Islington North</t>
  </si>
  <si>
    <t>N5 2EQ</t>
  </si>
  <si>
    <t>St Paul's and All Hallows CofE Infant School</t>
  </si>
  <si>
    <t>Tottenham</t>
  </si>
  <si>
    <t>N17 0HH</t>
  </si>
  <si>
    <t>West Park Primary School</t>
  </si>
  <si>
    <t>TS26 0BU</t>
  </si>
  <si>
    <t>Hob Green Primary School</t>
  </si>
  <si>
    <t>DY9 9EX</t>
  </si>
  <si>
    <t>Richard De Clare Community Academy</t>
  </si>
  <si>
    <t>CO9 2JT</t>
  </si>
  <si>
    <t>The Dorcan Academy</t>
  </si>
  <si>
    <t>South Swindon</t>
  </si>
  <si>
    <t>SN3 5DA</t>
  </si>
  <si>
    <t>Boldon Nursery School</t>
  </si>
  <si>
    <t>NE35 9DG</t>
  </si>
  <si>
    <t>Stanton Under Bardon Community Primary School</t>
  </si>
  <si>
    <t>LE67 9TQ</t>
  </si>
  <si>
    <t>Humberstone Junior School</t>
  </si>
  <si>
    <t>Leicester East</t>
  </si>
  <si>
    <t>LE5 1AE</t>
  </si>
  <si>
    <t>Dover Christ Church Academy</t>
  </si>
  <si>
    <t>CT16 2EG</t>
  </si>
  <si>
    <t>Oakwood Primary Academy</t>
  </si>
  <si>
    <t>BN22 0SS</t>
  </si>
  <si>
    <t>Beacon Academy</t>
  </si>
  <si>
    <t>LE11 2NF</t>
  </si>
  <si>
    <t>Wesc Foundation School</t>
  </si>
  <si>
    <t>Non-Maintained Special School</t>
  </si>
  <si>
    <t>EX2 6HA</t>
  </si>
  <si>
    <t>North Herts Education Support Centre</t>
  </si>
  <si>
    <t>SG6 3LY</t>
  </si>
  <si>
    <t>Fleetwood High School</t>
  </si>
  <si>
    <t>FY7 8HE</t>
  </si>
  <si>
    <t>Wold Academy</t>
  </si>
  <si>
    <t>Kingston upon Hull West and Hessle</t>
  </si>
  <si>
    <t>HU5 5QG</t>
  </si>
  <si>
    <t>St Patrick's RC Primary School</t>
  </si>
  <si>
    <t>M4 5HF</t>
  </si>
  <si>
    <t>The Bishop's Church of England Primary Academy</t>
  </si>
  <si>
    <t>IP24 1EB</t>
  </si>
  <si>
    <t>Rugby Free Secondary School</t>
  </si>
  <si>
    <t>CV22 5PE</t>
  </si>
  <si>
    <t>St Mary's Cockerton Church of England Primary School</t>
  </si>
  <si>
    <t>DL3 9EX</t>
  </si>
  <si>
    <t>Dosthill Primary School</t>
  </si>
  <si>
    <t>Tamworth</t>
  </si>
  <si>
    <t>B77 1LQ</t>
  </si>
  <si>
    <t>Bacon's College</t>
  </si>
  <si>
    <t>Bermondsey and Old Southwark</t>
  </si>
  <si>
    <t>SE16 6AT</t>
  </si>
  <si>
    <t>Stubbin Wood School</t>
  </si>
  <si>
    <t>NG20 8QF</t>
  </si>
  <si>
    <t>Illogan School</t>
  </si>
  <si>
    <t>TR16 4SW</t>
  </si>
  <si>
    <t>Hulland CofE Primary School</t>
  </si>
  <si>
    <t>Derbyshire Dales</t>
  </si>
  <si>
    <t>DE6 3FS</t>
  </si>
  <si>
    <t>Oak Wood School</t>
  </si>
  <si>
    <t>Uxbridge and South Ruislip</t>
  </si>
  <si>
    <t>UB10 0EX</t>
  </si>
  <si>
    <t>St Sebastian's Catholic Primary School and Nursery</t>
  </si>
  <si>
    <t>Liverpool, Wavertree</t>
  </si>
  <si>
    <t>L7 0LH</t>
  </si>
  <si>
    <t>Holy Spirit Catholic Primary School</t>
  </si>
  <si>
    <t>L30 2NR</t>
  </si>
  <si>
    <t>Immanuel and St Andrew Church of England Primary School</t>
  </si>
  <si>
    <t>Streatham</t>
  </si>
  <si>
    <t>SW16 5SL</t>
  </si>
  <si>
    <t>Cracoe and Rylstone Voluntary Controlled Church of England Primary School</t>
  </si>
  <si>
    <t>Skipton and Ripon</t>
  </si>
  <si>
    <t>BD23 6LQ</t>
  </si>
  <si>
    <t>Christ Church CofE Primary School</t>
  </si>
  <si>
    <t>OL3 5RY</t>
  </si>
  <si>
    <t>Ripley Endowed Church of England School</t>
  </si>
  <si>
    <t>HG3 3AY</t>
  </si>
  <si>
    <t>St Ethelbert's RC Primary School</t>
  </si>
  <si>
    <t>BL3 5RL</t>
  </si>
  <si>
    <t>Whiteheath Junior School</t>
  </si>
  <si>
    <t>Ruislip, Northwood and Pinner</t>
  </si>
  <si>
    <t>HA4 7PR</t>
  </si>
  <si>
    <t>Leyland Methodist Infant School</t>
  </si>
  <si>
    <t>Methodist</t>
  </si>
  <si>
    <t>South Ribble</t>
  </si>
  <si>
    <t>PR25 3ET</t>
  </si>
  <si>
    <t>St. Mary's Catholic Primary School Euxton</t>
  </si>
  <si>
    <t>PR7 6JW</t>
  </si>
  <si>
    <t>Walton-Le-Dale High School</t>
  </si>
  <si>
    <t>PR5 6RN</t>
  </si>
  <si>
    <t>The De Montfort School</t>
  </si>
  <si>
    <t>WR11 1DQ</t>
  </si>
  <si>
    <t>Star Primary School</t>
  </si>
  <si>
    <t>E16 4NH</t>
  </si>
  <si>
    <t>Shilbottle Primary School</t>
  </si>
  <si>
    <t>NE66 2XQ</t>
  </si>
  <si>
    <t>Sidemoor First School and Nursery</t>
  </si>
  <si>
    <t>Bromsgrove</t>
  </si>
  <si>
    <t>B61 8QN</t>
  </si>
  <si>
    <t>Swallow Dell Primary and Nursery School</t>
  </si>
  <si>
    <t>AL7 3JP</t>
  </si>
  <si>
    <t>Marston Green Junior School</t>
  </si>
  <si>
    <t>B37 7BA</t>
  </si>
  <si>
    <t>Sopley Primary School</t>
  </si>
  <si>
    <t>New Forest West</t>
  </si>
  <si>
    <t>BH23 8ET</t>
  </si>
  <si>
    <t>North and South Cowton Community Primary School</t>
  </si>
  <si>
    <t>DL7 0HF</t>
  </si>
  <si>
    <t>East Farleigh Primary School</t>
  </si>
  <si>
    <t>ME15 0LY</t>
  </si>
  <si>
    <t>Halfway Junior School</t>
  </si>
  <si>
    <t>Sheffield South East</t>
  </si>
  <si>
    <t>S20 4TA</t>
  </si>
  <si>
    <t>Coppermill Primary School</t>
  </si>
  <si>
    <t>E17 6PB</t>
  </si>
  <si>
    <t>Cam Woodfield Infant School</t>
  </si>
  <si>
    <t>Stroud</t>
  </si>
  <si>
    <t>GL11 6JJ</t>
  </si>
  <si>
    <t>Donnington Wood Infant School and Nursery Centre</t>
  </si>
  <si>
    <t>TF2 8EP</t>
  </si>
  <si>
    <t>Ermington Primary School</t>
  </si>
  <si>
    <t>PL21 9NH</t>
  </si>
  <si>
    <t>Dale Community Primary School</t>
  </si>
  <si>
    <t>DE23 6NL</t>
  </si>
  <si>
    <t>Ferham Primary School</t>
  </si>
  <si>
    <t>S61 1AP</t>
  </si>
  <si>
    <t>Moseley Primary School</t>
  </si>
  <si>
    <t>Coventry North West</t>
  </si>
  <si>
    <t>CV6 1AB</t>
  </si>
  <si>
    <t>Park Hill Junior School</t>
  </si>
  <si>
    <t>CV8 2JJ</t>
  </si>
  <si>
    <t>Milton Park Primary School</t>
  </si>
  <si>
    <t>Portsmouth South</t>
  </si>
  <si>
    <t>PO4 8ET</t>
  </si>
  <si>
    <t>Hampton Hargate Primary School</t>
  </si>
  <si>
    <t>PE7 8BZ</t>
  </si>
  <si>
    <t>Henry Whipple Primary School</t>
  </si>
  <si>
    <t>Nottingham North</t>
  </si>
  <si>
    <t>NG5 5GH</t>
  </si>
  <si>
    <t>Langland Community School</t>
  </si>
  <si>
    <t>Milton Keynes South</t>
  </si>
  <si>
    <t>MK6 4HA</t>
  </si>
  <si>
    <t>Hillocks Primary and Nursery School</t>
  </si>
  <si>
    <t>NG17 4ND</t>
  </si>
  <si>
    <t>Garboldisham Church Primary School</t>
  </si>
  <si>
    <t>IP22 2SE</t>
  </si>
  <si>
    <t>Fullhurst Community College</t>
  </si>
  <si>
    <t>LE3 1AH</t>
  </si>
  <si>
    <t>St Patrick's Catholic Primary School</t>
  </si>
  <si>
    <t>WN1 3RZ</t>
  </si>
  <si>
    <t>The St Thomas the Apostle College</t>
  </si>
  <si>
    <t>SE15 2EB</t>
  </si>
  <si>
    <t>Childwall Sports &amp; Science Academy</t>
  </si>
  <si>
    <t>L15 6XZ</t>
  </si>
  <si>
    <t>St Mary's Voluntary Controlled Church of England Primary School</t>
  </si>
  <si>
    <t>TA6 7LX</t>
  </si>
  <si>
    <t>Millbrook Junior School</t>
  </si>
  <si>
    <t>Kettering</t>
  </si>
  <si>
    <t>NN15 5DP</t>
  </si>
  <si>
    <t>Ash Lea School</t>
  </si>
  <si>
    <t>Rushcliffe</t>
  </si>
  <si>
    <t>NG12 3PA</t>
  </si>
  <si>
    <t>Perseid School</t>
  </si>
  <si>
    <t>Mitcham and Morden</t>
  </si>
  <si>
    <t>SM4 5LT</t>
  </si>
  <si>
    <t>Talbot House Trust</t>
  </si>
  <si>
    <t>Newcastle upon Tyne North</t>
  </si>
  <si>
    <t>NE15 8HW</t>
  </si>
  <si>
    <t>Antingham and Southrepps Primary School</t>
  </si>
  <si>
    <t>North Norfolk</t>
  </si>
  <si>
    <t>NR11 8UG</t>
  </si>
  <si>
    <t>Belmore Primary Academy</t>
  </si>
  <si>
    <t>Hayes and Harlington</t>
  </si>
  <si>
    <t>UB4 9LF</t>
  </si>
  <si>
    <t>Littleport &amp; East Cambs Academy</t>
  </si>
  <si>
    <t>CB6 1EW</t>
  </si>
  <si>
    <t>Croft Academy</t>
  </si>
  <si>
    <t>Walsall North</t>
  </si>
  <si>
    <t>WS2 8JE</t>
  </si>
  <si>
    <t>Falmouth School</t>
  </si>
  <si>
    <t>Truro and Falmouth</t>
  </si>
  <si>
    <t>TR11 4LH</t>
  </si>
  <si>
    <t>The Gateway Academy</t>
  </si>
  <si>
    <t>RM16 4LU</t>
  </si>
  <si>
    <t>Stafford Leys Community Primary School</t>
  </si>
  <si>
    <t>LE3 3LJ</t>
  </si>
  <si>
    <t>St Patrick's Catholic College, A Voluntary Catholic Academy</t>
  </si>
  <si>
    <t>Stockton South</t>
  </si>
  <si>
    <t>TS17 9DE</t>
  </si>
  <si>
    <t>St Giles' and St George's Church of England Academy</t>
  </si>
  <si>
    <t>ST5 2NB</t>
  </si>
  <si>
    <t>Oldmixon Primary School</t>
  </si>
  <si>
    <t>BS24 9DA</t>
  </si>
  <si>
    <t>New Close Primary School</t>
  </si>
  <si>
    <t>South West Wiltshire</t>
  </si>
  <si>
    <t>BA12 9JJ</t>
  </si>
  <si>
    <t>Bury St Edmunds County Upper School</t>
  </si>
  <si>
    <t>IP32 6RF</t>
  </si>
  <si>
    <t>St Catherine's Roman Catholic School</t>
  </si>
  <si>
    <t>West Dorset</t>
  </si>
  <si>
    <t>DT6 3TR</t>
  </si>
  <si>
    <t>St Columb Major Academy</t>
  </si>
  <si>
    <t>TR9 6RW</t>
  </si>
  <si>
    <t>Cholsey Primary School</t>
  </si>
  <si>
    <t>Wantage</t>
  </si>
  <si>
    <t>OX10 9PP</t>
  </si>
  <si>
    <t>The Chauncy School</t>
  </si>
  <si>
    <t>SG12 0DP</t>
  </si>
  <si>
    <t>The Cotswold Academy</t>
  </si>
  <si>
    <t>GL54 2BD</t>
  </si>
  <si>
    <t>Horizon Primary Academy</t>
  </si>
  <si>
    <t>BR8 7BT</t>
  </si>
  <si>
    <t>Marden Vale CofE Academy</t>
  </si>
  <si>
    <t>SN11 9BD</t>
  </si>
  <si>
    <t>Crosshall Junior School</t>
  </si>
  <si>
    <t>Huntingdon</t>
  </si>
  <si>
    <t>PE19 7GG</t>
  </si>
  <si>
    <t>Strand Primary Academy</t>
  </si>
  <si>
    <t>Great Grimsby</t>
  </si>
  <si>
    <t>DN32 7BE</t>
  </si>
  <si>
    <t>Dinnington Community Primary School</t>
  </si>
  <si>
    <t>S25 2RE</t>
  </si>
  <si>
    <t>Pilgrims' Way Primary School</t>
  </si>
  <si>
    <t>CT1 1XU</t>
  </si>
  <si>
    <t>Unified Academy</t>
  </si>
  <si>
    <t>Mole Valley</t>
  </si>
  <si>
    <t>RH5 4DB</t>
  </si>
  <si>
    <t>St Mark's CofE Primary School</t>
  </si>
  <si>
    <t>WN5 9DS</t>
  </si>
  <si>
    <t>Galleywall Primary School</t>
  </si>
  <si>
    <t>SE16 3PB</t>
  </si>
  <si>
    <t>West Worcestershire</t>
  </si>
  <si>
    <t>WR10 1ET</t>
  </si>
  <si>
    <t>Rayner Stephens High School</t>
  </si>
  <si>
    <t>Stalybridge and Hyde</t>
  </si>
  <si>
    <t>SK16 5BL</t>
  </si>
  <si>
    <t>Easington CofE Primary Academy</t>
  </si>
  <si>
    <t>HU12 0TS</t>
  </si>
  <si>
    <t>De Havilland Primary School</t>
  </si>
  <si>
    <t>AL10 8TQ</t>
  </si>
  <si>
    <t>Forest Hills Primary School</t>
  </si>
  <si>
    <t>WS15 2PD</t>
  </si>
  <si>
    <t>Pamphill Church of England First School</t>
  </si>
  <si>
    <t>BH21 4EE</t>
  </si>
  <si>
    <t>Newbridge Short Stay Secondary School</t>
  </si>
  <si>
    <t>Academy Alternative Provision Sponsor Led</t>
  </si>
  <si>
    <t>WR5 1DS</t>
  </si>
  <si>
    <t>Amesbury Archer Primary School</t>
  </si>
  <si>
    <t>SP4 7XX</t>
  </si>
  <si>
    <t>Lyng Hall School</t>
  </si>
  <si>
    <t>CV2 3JS</t>
  </si>
  <si>
    <t>Daventry Hill School</t>
  </si>
  <si>
    <t>Daventry</t>
  </si>
  <si>
    <t>NN11 0QE</t>
  </si>
  <si>
    <t>Park Vale Academy</t>
  </si>
  <si>
    <t>NG5 9AZ</t>
  </si>
  <si>
    <t>Heartlands High School</t>
  </si>
  <si>
    <t>N22 7ST</t>
  </si>
  <si>
    <t>Canons High School</t>
  </si>
  <si>
    <t>HA8 6AN</t>
  </si>
  <si>
    <t>Netherfield Primary School</t>
  </si>
  <si>
    <t>Gedling</t>
  </si>
  <si>
    <t>NG4 2LR</t>
  </si>
  <si>
    <t>St Matthew's CofE Primary School</t>
  </si>
  <si>
    <t>Reigate</t>
  </si>
  <si>
    <t>RH1 1JF</t>
  </si>
  <si>
    <t>Washington Academy</t>
  </si>
  <si>
    <t>Washington and Sunderland West</t>
  </si>
  <si>
    <t>NE37 2AA</t>
  </si>
  <si>
    <t>Sexey's School</t>
  </si>
  <si>
    <t>BA10 0DF</t>
  </si>
  <si>
    <t>Cleves Primary School</t>
  </si>
  <si>
    <t>E6 1QP</t>
  </si>
  <si>
    <t>St Just Primary School</t>
  </si>
  <si>
    <t>St Ives</t>
  </si>
  <si>
    <t>TR19 7JU</t>
  </si>
  <si>
    <t>St Gregory the Great Catholic School</t>
  </si>
  <si>
    <t>Oxford East</t>
  </si>
  <si>
    <t>OX4 3DR</t>
  </si>
  <si>
    <t>Hillsgrove Primary School</t>
  </si>
  <si>
    <t>Bexleyheath and Crayford</t>
  </si>
  <si>
    <t>DA16 1DR</t>
  </si>
  <si>
    <t>The Ferrers School</t>
  </si>
  <si>
    <t>NN10 8LF</t>
  </si>
  <si>
    <t>The Halifax Academy</t>
  </si>
  <si>
    <t>Halifax</t>
  </si>
  <si>
    <t>HX2 0BA</t>
  </si>
  <si>
    <t>Kettering Science Academy</t>
  </si>
  <si>
    <t>NN15 7AA</t>
  </si>
  <si>
    <t>Copperfield Academy</t>
  </si>
  <si>
    <t>DA11 0RB</t>
  </si>
  <si>
    <t>Summercroft Primary School</t>
  </si>
  <si>
    <t>CM23 5BJ</t>
  </si>
  <si>
    <t>Charles Darwin School</t>
  </si>
  <si>
    <t>TN16 3AU</t>
  </si>
  <si>
    <t>Mill Water School</t>
  </si>
  <si>
    <t>EX9 7BJ</t>
  </si>
  <si>
    <t>St Mary's School and 6th Form College</t>
  </si>
  <si>
    <t>Inter- / non- denominational</t>
  </si>
  <si>
    <t>Bexhill and Battle</t>
  </si>
  <si>
    <t>TN40 2LU</t>
  </si>
  <si>
    <t>The Cherry Trees School</t>
  </si>
  <si>
    <t>E3 4EA</t>
  </si>
  <si>
    <t>Hunters Hill College</t>
  </si>
  <si>
    <t>B60 1QD</t>
  </si>
  <si>
    <t>Carisbrooke College</t>
  </si>
  <si>
    <t>PO30 5QU</t>
  </si>
  <si>
    <t>Morville CofE (Controlled) Primary School</t>
  </si>
  <si>
    <t>WV16 4RJ</t>
  </si>
  <si>
    <t>The Fen Rivers Academy</t>
  </si>
  <si>
    <t>PE30 2HU</t>
  </si>
  <si>
    <t>West Specialist Inclusive Learning Centre</t>
  </si>
  <si>
    <t>Leeds West</t>
  </si>
  <si>
    <t>LS28 6HL</t>
  </si>
  <si>
    <t>St Philip's Catholic Primary  School</t>
  </si>
  <si>
    <t>Leeds Central</t>
  </si>
  <si>
    <t>LS10 3SL</t>
  </si>
  <si>
    <t>Weaverthorpe Church of England Voluntary Controlled Primary School</t>
  </si>
  <si>
    <t>YO17 8ES</t>
  </si>
  <si>
    <t>Overbury CofE First School</t>
  </si>
  <si>
    <t>GL20 7NT</t>
  </si>
  <si>
    <t>Norham High School</t>
  </si>
  <si>
    <t>NE29 7BU</t>
  </si>
  <si>
    <t>St Wulstan's and St Edmund's Catholic Primary School and Nursery</t>
  </si>
  <si>
    <t>FY7 7JY</t>
  </si>
  <si>
    <t>Kingsthorpe Grove Primary School</t>
  </si>
  <si>
    <t>Northampton North</t>
  </si>
  <si>
    <t>NN2 7QL</t>
  </si>
  <si>
    <t>Headlands School</t>
  </si>
  <si>
    <t>YO16 6UR</t>
  </si>
  <si>
    <t>Ludham Primary School and Nursery</t>
  </si>
  <si>
    <t>NR29 5QN</t>
  </si>
  <si>
    <t>Ferndale Primary School</t>
  </si>
  <si>
    <t>B43 5QF</t>
  </si>
  <si>
    <t>Caddington Village School</t>
  </si>
  <si>
    <t>LU1 4JD</t>
  </si>
  <si>
    <t>Brookhouse Primary School</t>
  </si>
  <si>
    <t>BB1 6NY</t>
  </si>
  <si>
    <t>Abbey Primary School</t>
  </si>
  <si>
    <t>NG19 0AB</t>
  </si>
  <si>
    <t>Glenbrook Primary School</t>
  </si>
  <si>
    <t>SW4 8LD</t>
  </si>
  <si>
    <t>Emsworth Primary School</t>
  </si>
  <si>
    <t>PO10 7LX</t>
  </si>
  <si>
    <t>Ghyllgrove Primary School</t>
  </si>
  <si>
    <t>SS14 2BG</t>
  </si>
  <si>
    <t>Holdbrook Primary School and Nursery</t>
  </si>
  <si>
    <t>Broxbourne</t>
  </si>
  <si>
    <t>EN8 7QG</t>
  </si>
  <si>
    <t>Rushmore Primary School</t>
  </si>
  <si>
    <t>E5 0LE</t>
  </si>
  <si>
    <t>St George's Infant School and Nursery</t>
  </si>
  <si>
    <t>Colchester</t>
  </si>
  <si>
    <t>CO2 7RW</t>
  </si>
  <si>
    <t>The Priory School</t>
  </si>
  <si>
    <t>SG5 2UR</t>
  </si>
  <si>
    <t>The Roebuck School</t>
  </si>
  <si>
    <t>PR2 2BN</t>
  </si>
  <si>
    <t>Shield Road Primary School</t>
  </si>
  <si>
    <t>Filton and Bradley Stoke</t>
  </si>
  <si>
    <t>BS7 0RR</t>
  </si>
  <si>
    <t>West Melton Primary School</t>
  </si>
  <si>
    <t>S63 6NF</t>
  </si>
  <si>
    <t>Southmead School</t>
  </si>
  <si>
    <t>EX33 2BU</t>
  </si>
  <si>
    <t>Samlesbury Church of England School</t>
  </si>
  <si>
    <t>PR5 0UE</t>
  </si>
  <si>
    <t>Barnabas Oley CofE Primary School</t>
  </si>
  <si>
    <t>SG19 3AE</t>
  </si>
  <si>
    <t>Sutton Manor Community Primary School</t>
  </si>
  <si>
    <t>St Helens South and Whiston</t>
  </si>
  <si>
    <t>WA9 4AT</t>
  </si>
  <si>
    <t>Christ The King College</t>
  </si>
  <si>
    <t>PO30 5QT</t>
  </si>
  <si>
    <t>St Francis Catholic Primary School</t>
  </si>
  <si>
    <t>BS48 4PD</t>
  </si>
  <si>
    <t>Longhoughton Church of England Primary School</t>
  </si>
  <si>
    <t>NE66 3AJ</t>
  </si>
  <si>
    <t>St Gregory's Catholic Primary School</t>
  </si>
  <si>
    <t>Sefton Central</t>
  </si>
  <si>
    <t>L31 2LB</t>
  </si>
  <si>
    <t>Altham St James Church of England Primary School</t>
  </si>
  <si>
    <t>BB5 5UH</t>
  </si>
  <si>
    <t>St Bernadette's Catholic Primary School, Lancaster</t>
  </si>
  <si>
    <t>Our Lady Mother of the Saviour Catholic Primary School</t>
  </si>
  <si>
    <t>Weaver Vale</t>
  </si>
  <si>
    <t>WA7 2TP</t>
  </si>
  <si>
    <t>Whitstable and Seasalter Endowed Church of England Junior School</t>
  </si>
  <si>
    <t>CT5 1AY</t>
  </si>
  <si>
    <t>St Mary's Catholic Primary School</t>
  </si>
  <si>
    <t>Chippenham</t>
  </si>
  <si>
    <t>SN15 2AH</t>
  </si>
  <si>
    <t>St Gildas Catholic Primary School</t>
  </si>
  <si>
    <t>BA21 4EG</t>
  </si>
  <si>
    <t>Preston St Matthew's Church of England Primary School</t>
  </si>
  <si>
    <t>PR1 5XB</t>
  </si>
  <si>
    <t>Malorees Infant School</t>
  </si>
  <si>
    <t>NW6 7PB</t>
  </si>
  <si>
    <t>Upper Arley CofE VC Primary School</t>
  </si>
  <si>
    <t>DY12 1XA</t>
  </si>
  <si>
    <t>Dixons Trinity Academy</t>
  </si>
  <si>
    <t>BD5 0BE</t>
  </si>
  <si>
    <t>Copley Academy</t>
  </si>
  <si>
    <t>SK15 3RR</t>
  </si>
  <si>
    <t>Bay Leadership Academy</t>
  </si>
  <si>
    <t>LA3 1AB</t>
  </si>
  <si>
    <t>St Augustine's CofE Primary School</t>
  </si>
  <si>
    <t>Salford and Eccles</t>
  </si>
  <si>
    <t>M27 8UX</t>
  </si>
  <si>
    <t>South Bank Engineering UTC</t>
  </si>
  <si>
    <t>University Technical College</t>
  </si>
  <si>
    <t>SW2 1QS</t>
  </si>
  <si>
    <t>West Craven High School</t>
  </si>
  <si>
    <t>BB18 5TB</t>
  </si>
  <si>
    <t>Queensbury Academy</t>
  </si>
  <si>
    <t>BD13 2AS</t>
  </si>
  <si>
    <t>Wixams Tree Primary School</t>
  </si>
  <si>
    <t>MK42 6BA</t>
  </si>
  <si>
    <t>Wilton CofE Primary School</t>
  </si>
  <si>
    <t>SP2 0ES</t>
  </si>
  <si>
    <t>Market Drayton Infant &amp; Nursery School</t>
  </si>
  <si>
    <t>TF9 3BA</t>
  </si>
  <si>
    <t>Castle Batch Primary School Academy</t>
  </si>
  <si>
    <t>BS22 7FN</t>
  </si>
  <si>
    <t>Weston Village Primary School</t>
  </si>
  <si>
    <t>CW2 5LZ</t>
  </si>
  <si>
    <t>Ortu Hassenbrook Academy</t>
  </si>
  <si>
    <t>South Basildon and East Thurrock</t>
  </si>
  <si>
    <t>SS17 0NS</t>
  </si>
  <si>
    <t>Mount Hawke Academy</t>
  </si>
  <si>
    <t>TR4 8BA</t>
  </si>
  <si>
    <t>Spalding Grammar School</t>
  </si>
  <si>
    <t>PE11 2XH</t>
  </si>
  <si>
    <t>East Allington Primary School</t>
  </si>
  <si>
    <t>TQ9 7RE</t>
  </si>
  <si>
    <t>Aylesford School and Sixth Form College</t>
  </si>
  <si>
    <t>CV34 6XR</t>
  </si>
  <si>
    <t>Cranford Park Academy</t>
  </si>
  <si>
    <t>UB3 4LQ</t>
  </si>
  <si>
    <t>Oldbury Academy</t>
  </si>
  <si>
    <t>B68 8NE</t>
  </si>
  <si>
    <t>Heron Park Primary Academy</t>
  </si>
  <si>
    <t>BN22 9EE</t>
  </si>
  <si>
    <t>Dundry Church of England Primary School</t>
  </si>
  <si>
    <t>BS41 8JE</t>
  </si>
  <si>
    <t>Avanti Court Primary School</t>
  </si>
  <si>
    <t>Hindu</t>
  </si>
  <si>
    <t>Ilford North</t>
  </si>
  <si>
    <t>IG6 1LZ</t>
  </si>
  <si>
    <t>The Khalsa Academy Wolverhampton</t>
  </si>
  <si>
    <t>Sikh</t>
  </si>
  <si>
    <t>Wolverhampton South East</t>
  </si>
  <si>
    <t>WV4 6AP</t>
  </si>
  <si>
    <t>Minerva Primary School</t>
  </si>
  <si>
    <t>TA1 2BU</t>
  </si>
  <si>
    <t>S25 2QD</t>
  </si>
  <si>
    <t>Whitecotes Primary Academy</t>
  </si>
  <si>
    <t>S40 3HJ</t>
  </si>
  <si>
    <t>Bracebridge Heath St John's Primary Academy</t>
  </si>
  <si>
    <t>Lincoln</t>
  </si>
  <si>
    <t>LN4 2LD</t>
  </si>
  <si>
    <t>Bracebridge Infant and Nursery School</t>
  </si>
  <si>
    <t>LN5 8QG</t>
  </si>
  <si>
    <t>St Vincent's Catholic Primary School</t>
  </si>
  <si>
    <t>Barking</t>
  </si>
  <si>
    <t>RM8 2JN</t>
  </si>
  <si>
    <t>All Hallows CofE Primary School</t>
  </si>
  <si>
    <t>NG4 3JZ</t>
  </si>
  <si>
    <t>Guston Church of England Primary School</t>
  </si>
  <si>
    <t>CT15 5LR</t>
  </si>
  <si>
    <t>Temple Meadow Primary School</t>
  </si>
  <si>
    <t>Halesowen and Rowley Regis</t>
  </si>
  <si>
    <t>B64 6RH</t>
  </si>
  <si>
    <t>Nansen Primary School</t>
  </si>
  <si>
    <t>Castle Newnham School</t>
  </si>
  <si>
    <t>MK40 3EP</t>
  </si>
  <si>
    <t>St Mary's CofE Primary School, Deane</t>
  </si>
  <si>
    <t>Bolton West</t>
  </si>
  <si>
    <t>BL3 4QP</t>
  </si>
  <si>
    <t>Howbridge Infant School</t>
  </si>
  <si>
    <t>CM8 1DJ</t>
  </si>
  <si>
    <t>Hawksmoor School</t>
  </si>
  <si>
    <t>SE28 8AS</t>
  </si>
  <si>
    <t>Chalkhill Education Centre, Chalkhill Hospital</t>
  </si>
  <si>
    <t>Mid Sussex</t>
  </si>
  <si>
    <t>RH16 4NQ</t>
  </si>
  <si>
    <t>The Priory Centre</t>
  </si>
  <si>
    <t>WF2 8BB</t>
  </si>
  <si>
    <t>Stewart Fleming Primary School</t>
  </si>
  <si>
    <t>SE20 7YB</t>
  </si>
  <si>
    <t>Cordwalles Junior School</t>
  </si>
  <si>
    <t>GU15 4DR</t>
  </si>
  <si>
    <t>Co-op Academy Leeds</t>
  </si>
  <si>
    <t>LS9 7HD</t>
  </si>
  <si>
    <t>Springfield House Community Special School</t>
  </si>
  <si>
    <t>B93 0AJ</t>
  </si>
  <si>
    <t>Lansdowne Primary School</t>
  </si>
  <si>
    <t>ME10 3BH</t>
  </si>
  <si>
    <t>Hamilton Primary School</t>
  </si>
  <si>
    <t>CO3 3GB</t>
  </si>
  <si>
    <t>Osmotherley Primary School</t>
  </si>
  <si>
    <t>DL6 3BW</t>
  </si>
  <si>
    <t>Meadowside Primary School</t>
  </si>
  <si>
    <t>NN15 5QY</t>
  </si>
  <si>
    <t>Old Sarum Primary School</t>
  </si>
  <si>
    <t>SP4 6GH</t>
  </si>
  <si>
    <t>Hanover Primary School</t>
  </si>
  <si>
    <t>N1 8BD</t>
  </si>
  <si>
    <t>Moorhouse Primary School</t>
  </si>
  <si>
    <t>OL16 4DR</t>
  </si>
  <si>
    <t>London Meed Community Primary School</t>
  </si>
  <si>
    <t>RH15 9YQ</t>
  </si>
  <si>
    <t>Queen Mary Avenue Infant School</t>
  </si>
  <si>
    <t>Cleethorpes</t>
  </si>
  <si>
    <t>DN35 7SY</t>
  </si>
  <si>
    <t>Newton-le-Willows Primary School</t>
  </si>
  <si>
    <t>WA12 9UF</t>
  </si>
  <si>
    <t>Eastleigh</t>
  </si>
  <si>
    <t>SO50 5JL</t>
  </si>
  <si>
    <t>Farnborough Road Infant School</t>
  </si>
  <si>
    <t>Southport</t>
  </si>
  <si>
    <t>PR8 3DF</t>
  </si>
  <si>
    <t>Featherstone Wood Primary School</t>
  </si>
  <si>
    <t>SG2 9PP</t>
  </si>
  <si>
    <t>Katesgrove Primary School</t>
  </si>
  <si>
    <t>Reading East</t>
  </si>
  <si>
    <t>RG1 2NL</t>
  </si>
  <si>
    <t>Clarice Cliff Primary School</t>
  </si>
  <si>
    <t>ST4 3DP</t>
  </si>
  <si>
    <t>Gulworthy Primary School</t>
  </si>
  <si>
    <t>PL19 8JA</t>
  </si>
  <si>
    <t>Downham Market, Hillcrest Primary School</t>
  </si>
  <si>
    <t>PE38 9ND</t>
  </si>
  <si>
    <t>Alanbrooke School</t>
  </si>
  <si>
    <t>YO7 3SF</t>
  </si>
  <si>
    <t>Burleigh Primary School</t>
  </si>
  <si>
    <t>EN8 9DP</t>
  </si>
  <si>
    <t>Brackensdale Primary School</t>
  </si>
  <si>
    <t>Derby North</t>
  </si>
  <si>
    <t>DE22 4BS</t>
  </si>
  <si>
    <t>Long Marston VA Church of England Primary School</t>
  </si>
  <si>
    <t>South West Hertfordshire</t>
  </si>
  <si>
    <t>HP23 4QS</t>
  </si>
  <si>
    <t>St Margaret Mary's Catholic Infant School</t>
  </si>
  <si>
    <t>L14 0JG</t>
  </si>
  <si>
    <t>Middleton St Mary's Church of England Voluntary Controlled Primary School</t>
  </si>
  <si>
    <t>LS10 3SW</t>
  </si>
  <si>
    <t>Collingham Lady Elizabeth Hastings' Church of England Primary School</t>
  </si>
  <si>
    <t>LS22 5BS</t>
  </si>
  <si>
    <t>Stockwell Primary School</t>
  </si>
  <si>
    <t>Vauxhall</t>
  </si>
  <si>
    <t>SW9 9TG</t>
  </si>
  <si>
    <t>St Neot Community Primary School</t>
  </si>
  <si>
    <t>PL14 6NL</t>
  </si>
  <si>
    <t>Poulner Junior School</t>
  </si>
  <si>
    <t>BH24 3LA</t>
  </si>
  <si>
    <t>Roman Way First School</t>
  </si>
  <si>
    <t>Redditch</t>
  </si>
  <si>
    <t>B98 0LH</t>
  </si>
  <si>
    <t>St Monica Primary School</t>
  </si>
  <si>
    <t>SO19 8EZ</t>
  </si>
  <si>
    <t>Russell Scott Primary School</t>
  </si>
  <si>
    <t>Denton and Reddish</t>
  </si>
  <si>
    <t>M34 3LQ</t>
  </si>
  <si>
    <t>Witton Middle School</t>
  </si>
  <si>
    <t>WR9 8BD</t>
  </si>
  <si>
    <t>South Park Primary School</t>
  </si>
  <si>
    <t>Ilford South</t>
  </si>
  <si>
    <t>IG3 9HF</t>
  </si>
  <si>
    <t>The City of Leicester College</t>
  </si>
  <si>
    <t>LE5 6LN</t>
  </si>
  <si>
    <t>Southfields Primary School</t>
  </si>
  <si>
    <t>PE2 8PU</t>
  </si>
  <si>
    <t>Willowfield School</t>
  </si>
  <si>
    <t>E17 6ND</t>
  </si>
  <si>
    <t>The Woodlands Primary School</t>
  </si>
  <si>
    <t>DN6 7RG</t>
  </si>
  <si>
    <t>Water Mill Primary School</t>
  </si>
  <si>
    <t>Birmingham, Selly Oak</t>
  </si>
  <si>
    <t>B29 6TS</t>
  </si>
  <si>
    <t>Bamber Bridge St Aidan's Church of England Primary School</t>
  </si>
  <si>
    <t>PR5 6GX</t>
  </si>
  <si>
    <t>Our Lady's Catholic Primary School</t>
  </si>
  <si>
    <t>L34 6JJ</t>
  </si>
  <si>
    <t>Bretherton Endowed Church of England Voluntary Aided Primary School</t>
  </si>
  <si>
    <t>PR26 9AH</t>
  </si>
  <si>
    <t>Kirkburton Church of England Voluntary Aided First School</t>
  </si>
  <si>
    <t>HD8 0SG</t>
  </si>
  <si>
    <t>Hatherden Church of England Primary School</t>
  </si>
  <si>
    <t>SP11 0HT</t>
  </si>
  <si>
    <t>St Edmundsbury Church of England Voluntary Aided Primary School</t>
  </si>
  <si>
    <t>IP33 3BJ</t>
  </si>
  <si>
    <t>Charter Primary School</t>
  </si>
  <si>
    <t>Coventry South</t>
  </si>
  <si>
    <t>CV4 8DW</t>
  </si>
  <si>
    <t>Fen Drayton Primary School</t>
  </si>
  <si>
    <t>CB24 4SL</t>
  </si>
  <si>
    <t>Alfred Street Junior School, Rushden</t>
  </si>
  <si>
    <t>NN10 9YS</t>
  </si>
  <si>
    <t>Bedford Road Primary School</t>
  </si>
  <si>
    <t>MK42 8QH</t>
  </si>
  <si>
    <t>Blofield Primary School</t>
  </si>
  <si>
    <t>Broadland</t>
  </si>
  <si>
    <t>NR13 4RH</t>
  </si>
  <si>
    <t>Beaudesert Lower School</t>
  </si>
  <si>
    <t>LU7 3DX</t>
  </si>
  <si>
    <t>Keinton Mandeville Primary School</t>
  </si>
  <si>
    <t>TA11 6ES</t>
  </si>
  <si>
    <t>Oakfield Primary School</t>
  </si>
  <si>
    <t>DN16 3JF</t>
  </si>
  <si>
    <t>Haydock High School</t>
  </si>
  <si>
    <t>WA11 0JG</t>
  </si>
  <si>
    <t>Lodge Farm Primary School</t>
  </si>
  <si>
    <t>SG2 0HP</t>
  </si>
  <si>
    <t>Parklands Community Primary School</t>
  </si>
  <si>
    <t>PO19 3AG</t>
  </si>
  <si>
    <t>Old Hall Primary School</t>
  </si>
  <si>
    <t>BL8 4LU</t>
  </si>
  <si>
    <t>Ladypool Primary School</t>
  </si>
  <si>
    <t>B11 1QT</t>
  </si>
  <si>
    <t>Langham Village School</t>
  </si>
  <si>
    <t>NR25 7DG</t>
  </si>
  <si>
    <t>The Blyth Academy</t>
  </si>
  <si>
    <t>NE24 4JP</t>
  </si>
  <si>
    <t>Francis Barber Pupil Referral Unit</t>
  </si>
  <si>
    <t>Tooting</t>
  </si>
  <si>
    <t>SW17 8HE</t>
  </si>
  <si>
    <t>Court Fields School</t>
  </si>
  <si>
    <t>TA21 8SW</t>
  </si>
  <si>
    <t>The Cedars Primary School</t>
  </si>
  <si>
    <t>TW5 9RU</t>
  </si>
  <si>
    <t>Budehaven Community School</t>
  </si>
  <si>
    <t>North Cornwall</t>
  </si>
  <si>
    <t>EX23 8DQ</t>
  </si>
  <si>
    <t>Weston Hills CofE Primary School</t>
  </si>
  <si>
    <t>PE12 6DL</t>
  </si>
  <si>
    <t>Harcourt Primary School</t>
  </si>
  <si>
    <t>CT19 4NE</t>
  </si>
  <si>
    <t>Skipton Parish Church Church of England Voluntary Controlled Primary School</t>
  </si>
  <si>
    <t>BD23 2ES</t>
  </si>
  <si>
    <t>Whitfield Valley Primary Academy</t>
  </si>
  <si>
    <t>ST6 6TD</t>
  </si>
  <si>
    <t>Harry Roberts Nursery School</t>
  </si>
  <si>
    <t>E1 4PZ</t>
  </si>
  <si>
    <t>Box Church of England Primary School</t>
  </si>
  <si>
    <t>SN13 8NF</t>
  </si>
  <si>
    <t>St Veronica's Roman Catholic Primary School, Helmshore</t>
  </si>
  <si>
    <t>BB4 4EZ</t>
  </si>
  <si>
    <t>Caistor CofE and Methodist Primary School</t>
  </si>
  <si>
    <t>LN7 6LY</t>
  </si>
  <si>
    <t>Redmile Church of England Primary School</t>
  </si>
  <si>
    <t>NG13 0GL</t>
  </si>
  <si>
    <t>Rye Hills Academy</t>
  </si>
  <si>
    <t>TS10 2HN</t>
  </si>
  <si>
    <t>Bredbury Green Primary School</t>
  </si>
  <si>
    <t>SK6 3DG</t>
  </si>
  <si>
    <t>St John and St Francis Church School</t>
  </si>
  <si>
    <t>TA6 5BP</t>
  </si>
  <si>
    <t>Admiral Lord Nelson School</t>
  </si>
  <si>
    <t>PO3 5XT</t>
  </si>
  <si>
    <t>Hinchley Wood School</t>
  </si>
  <si>
    <t>Esher and Walton</t>
  </si>
  <si>
    <t>KT10 0AQ</t>
  </si>
  <si>
    <t>Sacred Heart Catholic High School</t>
  </si>
  <si>
    <t>NE4 9YH</t>
  </si>
  <si>
    <t>Tower Road Academy</t>
  </si>
  <si>
    <t>PE21 9PX</t>
  </si>
  <si>
    <t>Tuxford Academy</t>
  </si>
  <si>
    <t>NG22 0JH</t>
  </si>
  <si>
    <t>Twynham School</t>
  </si>
  <si>
    <t>BH23 1JF</t>
  </si>
  <si>
    <t>Harrow High School</t>
  </si>
  <si>
    <t>Harrow West</t>
  </si>
  <si>
    <t>HA1 2JG</t>
  </si>
  <si>
    <t>The Sutton Academy</t>
  </si>
  <si>
    <t>WA9 5AU</t>
  </si>
  <si>
    <t>The Weald CofE Primary School</t>
  </si>
  <si>
    <t>RH5 4QW</t>
  </si>
  <si>
    <t>Ranikhet Academy</t>
  </si>
  <si>
    <t>RG30 4ED</t>
  </si>
  <si>
    <t>Quarry Hill Academy</t>
  </si>
  <si>
    <t>RM17 5UT</t>
  </si>
  <si>
    <t>Harpfield Primary Academy</t>
  </si>
  <si>
    <t>Stoke-on-Trent Central</t>
  </si>
  <si>
    <t>ST4 6AP</t>
  </si>
  <si>
    <t>Calthorpe Teaching Academy</t>
  </si>
  <si>
    <t>B12 0TP</t>
  </si>
  <si>
    <t>South Marston Church of England Primary School</t>
  </si>
  <si>
    <t>SN3 4SH</t>
  </si>
  <si>
    <t>Whiston Willis Primary Academy</t>
  </si>
  <si>
    <t>L35 2XY</t>
  </si>
  <si>
    <t>The Gainsborough Academy</t>
  </si>
  <si>
    <t>DN21 1PB</t>
  </si>
  <si>
    <t>St Nicholas' CofE Middle School</t>
  </si>
  <si>
    <t>WR10 2ER</t>
  </si>
  <si>
    <t>Vale of Evesham School</t>
  </si>
  <si>
    <t>WR11 1BN</t>
  </si>
  <si>
    <t>The Prescot School</t>
  </si>
  <si>
    <t>L34 3NB</t>
  </si>
  <si>
    <t>St Mark's Church of England Primary School</t>
  </si>
  <si>
    <t>TS19 7HA</t>
  </si>
  <si>
    <t>St John's C of E Academy</t>
  </si>
  <si>
    <t>GL16 8DU</t>
  </si>
  <si>
    <t>St Mary's Catholic Primary School, Ipswich</t>
  </si>
  <si>
    <t>IP4 4EU</t>
  </si>
  <si>
    <t>Days Lane Primary School</t>
  </si>
  <si>
    <t>Old Bexley and Sidcup</t>
  </si>
  <si>
    <t>DA15 8JU</t>
  </si>
  <si>
    <t>St Thomas Church of England Primary School, Lydiate</t>
  </si>
  <si>
    <t>L31 0BP</t>
  </si>
  <si>
    <t>Melrose School</t>
  </si>
  <si>
    <t>CR4 3BE</t>
  </si>
  <si>
    <t>St Francis de Sales RC Junior School</t>
  </si>
  <si>
    <t>N17 8AZ</t>
  </si>
  <si>
    <t>St Joseph's Roman Catholic Voluntary Aided Primary School, Blackhall</t>
  </si>
  <si>
    <t>Easington</t>
  </si>
  <si>
    <t>TS27 4HE</t>
  </si>
  <si>
    <t>St Hilda's Church of England Primary School</t>
  </si>
  <si>
    <t>M25 1HA</t>
  </si>
  <si>
    <t>St Bernadette's Catholic Primary School</t>
  </si>
  <si>
    <t>WS8 6HX</t>
  </si>
  <si>
    <t>Saint Edmund Arrowsmith Catholic High School</t>
  </si>
  <si>
    <t>L35 2XG</t>
  </si>
  <si>
    <t>Eye CofE Primary School</t>
  </si>
  <si>
    <t>PE6 7TD</t>
  </si>
  <si>
    <t>St Thomas C of E Primary School, Halliwell</t>
  </si>
  <si>
    <t>BL1 3JB</t>
  </si>
  <si>
    <t>Michael Syddall Church of England Aided Primary School</t>
  </si>
  <si>
    <t>DL10 7LB</t>
  </si>
  <si>
    <t>Stalyhill Infant School</t>
  </si>
  <si>
    <t>SK15 2TR</t>
  </si>
  <si>
    <t>South Elmsall Carlton Junior and Infant School</t>
  </si>
  <si>
    <t>WF9 2QQ</t>
  </si>
  <si>
    <t>Winnall Primary School</t>
  </si>
  <si>
    <t>SO23 0NY</t>
  </si>
  <si>
    <t>Wallbrook Primary School</t>
  </si>
  <si>
    <t>WV14 8YP</t>
  </si>
  <si>
    <t>Rotherhithe Primary School</t>
  </si>
  <si>
    <t>SE16 2PL</t>
  </si>
  <si>
    <t>Lathom Junior School</t>
  </si>
  <si>
    <t>E6 2DU</t>
  </si>
  <si>
    <t>James Calvert Spence College</t>
  </si>
  <si>
    <t>NE65 0NG</t>
  </si>
  <si>
    <t>The Jenny Hammond Primary School</t>
  </si>
  <si>
    <t>E11 3JH</t>
  </si>
  <si>
    <t>New Cangle Community Primary School</t>
  </si>
  <si>
    <t>West Suffolk</t>
  </si>
  <si>
    <t>CB9 0DU</t>
  </si>
  <si>
    <t>Oswaldtwistle Moor End Primary School</t>
  </si>
  <si>
    <t>BB5 3JG</t>
  </si>
  <si>
    <t>Heycroft Primary School</t>
  </si>
  <si>
    <t>SS9 5SJ</t>
  </si>
  <si>
    <t>Mendell Primary School</t>
  </si>
  <si>
    <t>Wirral South</t>
  </si>
  <si>
    <t>CH62 7HN</t>
  </si>
  <si>
    <t>Northview Junior and Infant School</t>
  </si>
  <si>
    <t>Brent Central</t>
  </si>
  <si>
    <t>NW10 1RD</t>
  </si>
  <si>
    <t>John Burns Primary School</t>
  </si>
  <si>
    <t>Battersea</t>
  </si>
  <si>
    <t>SW11 5QR</t>
  </si>
  <si>
    <t>Fordingbridge Infant School</t>
  </si>
  <si>
    <t>SP6 1HJ</t>
  </si>
  <si>
    <t>Deptford Green School</t>
  </si>
  <si>
    <t>Lewisham, Deptford</t>
  </si>
  <si>
    <t>SE14 6AN</t>
  </si>
  <si>
    <t>Bushey and Oxhey Infant School</t>
  </si>
  <si>
    <t>WD23 2QH</t>
  </si>
  <si>
    <t>All Saints National Academy</t>
  </si>
  <si>
    <t>WS3 3LP</t>
  </si>
  <si>
    <t>Godmanchester Bridge Academy</t>
  </si>
  <si>
    <t>PE29 2NL</t>
  </si>
  <si>
    <t>Lightcliffe Academy</t>
  </si>
  <si>
    <t>Calder Valley</t>
  </si>
  <si>
    <t>HX3 8TL</t>
  </si>
  <si>
    <t>Granta School</t>
  </si>
  <si>
    <t>CB21 4NN</t>
  </si>
  <si>
    <t>Rosebank Primary School</t>
  </si>
  <si>
    <t>LS3 1JP</t>
  </si>
  <si>
    <t>Bengeworth CE Academy</t>
  </si>
  <si>
    <t>WR11 3EU</t>
  </si>
  <si>
    <t>Eden Park Primary &amp; Nursery School</t>
  </si>
  <si>
    <t>TQ5 9NH</t>
  </si>
  <si>
    <t>Prospect School</t>
  </si>
  <si>
    <t>RG30 4EX</t>
  </si>
  <si>
    <t>Sythwood Primary School</t>
  </si>
  <si>
    <t>GU21 3AX</t>
  </si>
  <si>
    <t>Felixstowe School</t>
  </si>
  <si>
    <t>IP11 9QR</t>
  </si>
  <si>
    <t>Broad Town Church of England Primary School</t>
  </si>
  <si>
    <t>SN4 7RE</t>
  </si>
  <si>
    <t>Low Furness CofE Primary School</t>
  </si>
  <si>
    <t>LA12 0TA</t>
  </si>
  <si>
    <t>Savile Town Church of England Voluntary Controlled Infant and Nursery School</t>
  </si>
  <si>
    <t>WF12 9LY</t>
  </si>
  <si>
    <t>Hetton-le-Hole Nursery School</t>
  </si>
  <si>
    <t>DH5 9DG</t>
  </si>
  <si>
    <t>Nechells Primary E-ACT Academy</t>
  </si>
  <si>
    <t>B7 5LB</t>
  </si>
  <si>
    <t>Huntcliff School</t>
  </si>
  <si>
    <t>TS12 1HJ</t>
  </si>
  <si>
    <t>Ridgeway School</t>
  </si>
  <si>
    <t>MK42 7EB</t>
  </si>
  <si>
    <t>Bournville Primary School</t>
  </si>
  <si>
    <t>BS23 3ST</t>
  </si>
  <si>
    <t>Thorns Collegiate Academy</t>
  </si>
  <si>
    <t>DY5 2NU</t>
  </si>
  <si>
    <t>Marlborough St Mary's CE Primary School</t>
  </si>
  <si>
    <t>SN8 4BX</t>
  </si>
  <si>
    <t>St John's Church of England Academy</t>
  </si>
  <si>
    <t>CV5 9HZ</t>
  </si>
  <si>
    <t>Holley Park Academy</t>
  </si>
  <si>
    <t>NE38 0LR</t>
  </si>
  <si>
    <t>Old Cleeve CofE School, Washford</t>
  </si>
  <si>
    <t>TA23 0PB</t>
  </si>
  <si>
    <t>Kingfisher School</t>
  </si>
  <si>
    <t>B98 0HF</t>
  </si>
  <si>
    <t>High Weald Academy</t>
  </si>
  <si>
    <t>TN17 2PJ</t>
  </si>
  <si>
    <t>Hillside High School</t>
  </si>
  <si>
    <t>L20 9NU</t>
  </si>
  <si>
    <t>Newquay Tretherras</t>
  </si>
  <si>
    <t>TR7 3BH</t>
  </si>
  <si>
    <t>Ss Simon &amp; Jude CofE Primary School, Bolton</t>
  </si>
  <si>
    <t>BL3 2DT</t>
  </si>
  <si>
    <t>King's Leadership Academy Hawthornes</t>
  </si>
  <si>
    <t>L20 6AQ</t>
  </si>
  <si>
    <t>Ivy Lane Primary School</t>
  </si>
  <si>
    <t>SN15 1HE</t>
  </si>
  <si>
    <t>Parker's Church of England Primary Academy</t>
  </si>
  <si>
    <t>Mid Norfolk</t>
  </si>
  <si>
    <t>IP25 7HP</t>
  </si>
  <si>
    <t>Central CofE Academy</t>
  </si>
  <si>
    <t>PO19 1DQ</t>
  </si>
  <si>
    <t>New Siblands School</t>
  </si>
  <si>
    <t>BS35 2JU</t>
  </si>
  <si>
    <t>Blackthorn Primary School</t>
  </si>
  <si>
    <t>NN3 8EP</t>
  </si>
  <si>
    <t>Birchfield Primary School</t>
  </si>
  <si>
    <t>B6 6AJ</t>
  </si>
  <si>
    <t>Hetton Lyons Primary School</t>
  </si>
  <si>
    <t>DH5 0AH</t>
  </si>
  <si>
    <t>Beech Hyde Primary School and Nursery</t>
  </si>
  <si>
    <t>AL4 8TP</t>
  </si>
  <si>
    <t>Casterton Primary Academy</t>
  </si>
  <si>
    <t>Burnley</t>
  </si>
  <si>
    <t>BB10 2PZ</t>
  </si>
  <si>
    <t>Bungay Primary School</t>
  </si>
  <si>
    <t>NR35 1HA</t>
  </si>
  <si>
    <t>Hennock Community Primary School</t>
  </si>
  <si>
    <t>TQ13 9QB</t>
  </si>
  <si>
    <t>Khalsa Secondary Academy</t>
  </si>
  <si>
    <t>Beaconsfield</t>
  </si>
  <si>
    <t>SL2 4QB</t>
  </si>
  <si>
    <t>Patchway Community School</t>
  </si>
  <si>
    <t>BS32 4AJ</t>
  </si>
  <si>
    <t>Nelson Primary School</t>
  </si>
  <si>
    <t>TW2 7BU</t>
  </si>
  <si>
    <t>Reddish Vale High School</t>
  </si>
  <si>
    <t>SK5 7HD</t>
  </si>
  <si>
    <t>Great Berry Primary School</t>
  </si>
  <si>
    <t>SS16 6SG</t>
  </si>
  <si>
    <t>St John Fisher Primary, A Catholic Voluntary Academy</t>
  </si>
  <si>
    <t>S12 4HJ</t>
  </si>
  <si>
    <t>St Helen's CE Primary School</t>
  </si>
  <si>
    <t>WF9 4EG</t>
  </si>
  <si>
    <t>Allenbourn Middle School</t>
  </si>
  <si>
    <t>BH21 1PL</t>
  </si>
  <si>
    <t>Our Lady of Walsingham Catholic Primary School</t>
  </si>
  <si>
    <t>NN17 1EE</t>
  </si>
  <si>
    <t>Stantonbury International</t>
  </si>
  <si>
    <t>Milton Keynes North</t>
  </si>
  <si>
    <t>MK14 6BN</t>
  </si>
  <si>
    <t>Katherine Semar Junior School</t>
  </si>
  <si>
    <t>CB11 4DU</t>
  </si>
  <si>
    <t>Highfields School</t>
  </si>
  <si>
    <t>WV4 4NT</t>
  </si>
  <si>
    <t>Five Acres High School</t>
  </si>
  <si>
    <t>GL16 7QW</t>
  </si>
  <si>
    <t>Bluecoat Meres Academy</t>
  </si>
  <si>
    <t>NG31 7PX</t>
  </si>
  <si>
    <t>Hadley Learning Community - Primary Phase</t>
  </si>
  <si>
    <t>TF1 5NU</t>
  </si>
  <si>
    <t>Park View Academy</t>
  </si>
  <si>
    <t>L36 2LL</t>
  </si>
  <si>
    <t>UTC Portsmouth</t>
  </si>
  <si>
    <t>PO2 9DU</t>
  </si>
  <si>
    <t>Link Secondary School</t>
  </si>
  <si>
    <t>Carshalton and Wallington</t>
  </si>
  <si>
    <t>CR0 4PD</t>
  </si>
  <si>
    <t>Stroud and Cotswold Alternative Provision School</t>
  </si>
  <si>
    <t>GL5 1JP</t>
  </si>
  <si>
    <t>Lowton Church of England High School</t>
  </si>
  <si>
    <t>Leigh</t>
  </si>
  <si>
    <t>WA3 1DU</t>
  </si>
  <si>
    <t>Merrill Academy</t>
  </si>
  <si>
    <t>DE24 0AN</t>
  </si>
  <si>
    <t>Dothill Primary School</t>
  </si>
  <si>
    <t>TF1 3JB</t>
  </si>
  <si>
    <t>Brook Green Centre for Learning</t>
  </si>
  <si>
    <t>PL5 4DZ</t>
  </si>
  <si>
    <t>Stretton St Matthew's CofE Primary School</t>
  </si>
  <si>
    <t>Warrington South</t>
  </si>
  <si>
    <t>WA4 4NT</t>
  </si>
  <si>
    <t>The Minster Nursery and Infant School</t>
  </si>
  <si>
    <t>CR0 4BH</t>
  </si>
  <si>
    <t>Pontesbury CofE Primary School</t>
  </si>
  <si>
    <t>Shrewsbury and Atcham</t>
  </si>
  <si>
    <t>SY5 0TF</t>
  </si>
  <si>
    <t>Chellaston Academy</t>
  </si>
  <si>
    <t>DE73 5UB</t>
  </si>
  <si>
    <t>Belmont Castle Academy</t>
  </si>
  <si>
    <t>RM17 5YN</t>
  </si>
  <si>
    <t>King Edward VII Academy</t>
  </si>
  <si>
    <t>PE30 2QB</t>
  </si>
  <si>
    <t>Woodfield</t>
  </si>
  <si>
    <t>CV4 7AB</t>
  </si>
  <si>
    <t>Knowle West Early Years Centre</t>
  </si>
  <si>
    <t>BS4 1NN</t>
  </si>
  <si>
    <t>Medina College</t>
  </si>
  <si>
    <t>PO30 2DX</t>
  </si>
  <si>
    <t>Maple Court Academy</t>
  </si>
  <si>
    <t>ST2 0QD</t>
  </si>
  <si>
    <t>Beaumont Primary School</t>
  </si>
  <si>
    <t>BL3 4RX</t>
  </si>
  <si>
    <t>Bradleys Both Community Primary School</t>
  </si>
  <si>
    <t>BD20 9EF</t>
  </si>
  <si>
    <t>Newsome High School</t>
  </si>
  <si>
    <t>Huddersfield</t>
  </si>
  <si>
    <t>HD4 6JN</t>
  </si>
  <si>
    <t>Holme Valley Primary School</t>
  </si>
  <si>
    <t>DN16 3SL</t>
  </si>
  <si>
    <t>Lordship Farm Primary School</t>
  </si>
  <si>
    <t>SG6 3UF</t>
  </si>
  <si>
    <t>Holne Chase Primary School</t>
  </si>
  <si>
    <t>MK3 5HP</t>
  </si>
  <si>
    <t>High Beeches Primary School</t>
  </si>
  <si>
    <t>AL5 5SD</t>
  </si>
  <si>
    <t>Hemsworth Grove Lea Primary School</t>
  </si>
  <si>
    <t>WF9 4BQ</t>
  </si>
  <si>
    <t>Monkleigh Primary School</t>
  </si>
  <si>
    <t>EX39 5JY</t>
  </si>
  <si>
    <t>Outwood Primary School</t>
  </si>
  <si>
    <t>Cheadle</t>
  </si>
  <si>
    <t>SK8 3ND</t>
  </si>
  <si>
    <t>New Milton Junior School</t>
  </si>
  <si>
    <t>BH25 6DS</t>
  </si>
  <si>
    <t>Walter Halls Primary and Early Years School</t>
  </si>
  <si>
    <t>NG3 5HS</t>
  </si>
  <si>
    <t>Wattville Primary School</t>
  </si>
  <si>
    <t>B21 0DP</t>
  </si>
  <si>
    <t>Holy Trinity Rosehill CofE Voluntary Aided Primary School</t>
  </si>
  <si>
    <t>TS19 7QU</t>
  </si>
  <si>
    <t>Kirkby and Great Broughton Church of England Voluntary Aided Primary School</t>
  </si>
  <si>
    <t>TS9 7AL</t>
  </si>
  <si>
    <t>St Columba's School</t>
  </si>
  <si>
    <t>LA14 3AD</t>
  </si>
  <si>
    <t>Gosport</t>
  </si>
  <si>
    <t>PO12 3NB</t>
  </si>
  <si>
    <t>St Joseph's Catholic Primary School, Lancaster</t>
  </si>
  <si>
    <t>LA1 2DU</t>
  </si>
  <si>
    <t>St Joseph's RC Primary School</t>
  </si>
  <si>
    <t>M5 3JP</t>
  </si>
  <si>
    <t>Holy Family Catholic Primary School</t>
  </si>
  <si>
    <t>L8 6QB</t>
  </si>
  <si>
    <t>Christ The King Catholic High School and Sixth Form Centre</t>
  </si>
  <si>
    <t>PR8 4EX</t>
  </si>
  <si>
    <t>Christ Church School</t>
  </si>
  <si>
    <t>NW1 4BD</t>
  </si>
  <si>
    <t>St Edmund's Catholic Primary School</t>
  </si>
  <si>
    <t>N9 7HJ</t>
  </si>
  <si>
    <t>Alec Reed Academy</t>
  </si>
  <si>
    <t>UB5 5LQ</t>
  </si>
  <si>
    <t>New Leaf Centre</t>
  </si>
  <si>
    <t>WS4 1NG</t>
  </si>
  <si>
    <t>The Harefield Academy</t>
  </si>
  <si>
    <t>UB9 6ET</t>
  </si>
  <si>
    <t>Myton School</t>
  </si>
  <si>
    <t>CV34 6PJ</t>
  </si>
  <si>
    <t>Aughton Junior Academy</t>
  </si>
  <si>
    <t>S26 3XQ</t>
  </si>
  <si>
    <t>St Andrews Church of England Primary School, Maghull</t>
  </si>
  <si>
    <t>L31 6DE</t>
  </si>
  <si>
    <t xml:space="preserve">Beddington Park Academy </t>
  </si>
  <si>
    <t>CR0 4UL</t>
  </si>
  <si>
    <t>Luxulyan School</t>
  </si>
  <si>
    <t>PL30 5EE</t>
  </si>
  <si>
    <t>Tudor Grange Samworth Academy, A church of England School</t>
  </si>
  <si>
    <t>LE2 6UA</t>
  </si>
  <si>
    <t>St Anthony's Roman Catholic Primary School</t>
  </si>
  <si>
    <t>Catholic</t>
  </si>
  <si>
    <t>SE20 8ES</t>
  </si>
  <si>
    <t>St Augustine's Catholic Academy</t>
  </si>
  <si>
    <t>ST3 7DF</t>
  </si>
  <si>
    <t>Haughton Academy</t>
  </si>
  <si>
    <t>DL1 2AN</t>
  </si>
  <si>
    <t>Harris Primary Academy Haling Park</t>
  </si>
  <si>
    <t>CR2 6HS</t>
  </si>
  <si>
    <t>The Sir Robert Woodard Academy</t>
  </si>
  <si>
    <t>East Worthing and Shoreham</t>
  </si>
  <si>
    <t>BN15 9QZ</t>
  </si>
  <si>
    <t>Offa's Mead Academy</t>
  </si>
  <si>
    <t>NP16 7DT</t>
  </si>
  <si>
    <t>Broughton Jewish Cassel Fox Primary School</t>
  </si>
  <si>
    <t>Jewish</t>
  </si>
  <si>
    <t>M7 4RT</t>
  </si>
  <si>
    <t>Clerkenwell Parochial CofE Primary School</t>
  </si>
  <si>
    <t>EC1R 1UN</t>
  </si>
  <si>
    <t>Coppice Valley Primary School</t>
  </si>
  <si>
    <t>HG1 2DN</t>
  </si>
  <si>
    <t>Kings Sutton Primary Academy</t>
  </si>
  <si>
    <t>OX17 3RT</t>
  </si>
  <si>
    <t>Whitley Academy</t>
  </si>
  <si>
    <t>CV3 4BD</t>
  </si>
  <si>
    <t>St Teresa's Catholic Primary Academy</t>
  </si>
  <si>
    <t>WV4 6AW</t>
  </si>
  <si>
    <t>West Derby School</t>
  </si>
  <si>
    <t>L13 7HQ</t>
  </si>
  <si>
    <t>Giffards Primary School</t>
  </si>
  <si>
    <t>SS17 7TG</t>
  </si>
  <si>
    <t>Pegasus Academy</t>
  </si>
  <si>
    <t>DY1 2DU</t>
  </si>
  <si>
    <t>Poole Grammar School</t>
  </si>
  <si>
    <t>BH17 9JU</t>
  </si>
  <si>
    <t>Prestolee Primary School</t>
  </si>
  <si>
    <t>M26 1HJ</t>
  </si>
  <si>
    <t>West Exe Nursery School</t>
  </si>
  <si>
    <t>EX4 1HL</t>
  </si>
  <si>
    <t>Lynsted and Norton Primary School</t>
  </si>
  <si>
    <t>ME9 0RL</t>
  </si>
  <si>
    <t>The Harbour School</t>
  </si>
  <si>
    <t>CB6 3RR</t>
  </si>
  <si>
    <t>Netherton Park Nursery School</t>
  </si>
  <si>
    <t>Dudley South</t>
  </si>
  <si>
    <t>DY2 9QF</t>
  </si>
  <si>
    <t>Fountaindale School</t>
  </si>
  <si>
    <t>NG18 5BA</t>
  </si>
  <si>
    <t>Studley Green Primary School</t>
  </si>
  <si>
    <t>BA14 9JQ</t>
  </si>
  <si>
    <t>Lathom High School : A Technology College</t>
  </si>
  <si>
    <t>West Lancashire</t>
  </si>
  <si>
    <t>WN8 6JN</t>
  </si>
  <si>
    <t>St Peter's CofE Primary School</t>
  </si>
  <si>
    <t>BB5 0NW</t>
  </si>
  <si>
    <t>Stickney Church of England Primary School</t>
  </si>
  <si>
    <t>PE22 8AX</t>
  </si>
  <si>
    <t>Windlestone School</t>
  </si>
  <si>
    <t>DL17 0HP</t>
  </si>
  <si>
    <t>Lyneham Primary School</t>
  </si>
  <si>
    <t>SN15 4QJ</t>
  </si>
  <si>
    <t>Jolesfield CofE Primary School</t>
  </si>
  <si>
    <t>Arundel and South Downs</t>
  </si>
  <si>
    <t>RH13 8JJ</t>
  </si>
  <si>
    <t>Hanson School</t>
  </si>
  <si>
    <t>BD2 1JP</t>
  </si>
  <si>
    <t>Ashton St Peter's VA C of E School</t>
  </si>
  <si>
    <t>LU6 1EW</t>
  </si>
  <si>
    <t>WA8 5DW</t>
  </si>
  <si>
    <t>St Ambrose Barlow RC High School</t>
  </si>
  <si>
    <t>M27 9QP</t>
  </si>
  <si>
    <t>St Mary and St Giles Church of England School</t>
  </si>
  <si>
    <t>MK11 1EF</t>
  </si>
  <si>
    <t>Our Lady and St Patrick's Catholic Primary School</t>
  </si>
  <si>
    <t>CA15 8HN</t>
  </si>
  <si>
    <t>Blessed John Duckett Roman Catholic Voluntary Aided Primary</t>
  </si>
  <si>
    <t>DL13 4AU</t>
  </si>
  <si>
    <t>St Pauls CofE VA Primary School</t>
  </si>
  <si>
    <t>CB2 1HJ</t>
  </si>
  <si>
    <t>Woodlands Community College</t>
  </si>
  <si>
    <t>SO18 5FW</t>
  </si>
  <si>
    <t>Savio Salesian College</t>
  </si>
  <si>
    <t>L30 2NA</t>
  </si>
  <si>
    <t>The Market Weighton School</t>
  </si>
  <si>
    <t>YO43 3JF</t>
  </si>
  <si>
    <t>Toner Avenue Primary School</t>
  </si>
  <si>
    <t>NE31 2LJ</t>
  </si>
  <si>
    <t>LS9 7NP</t>
  </si>
  <si>
    <t>Pot Kiln Primary School</t>
  </si>
  <si>
    <t>South Suffolk</t>
  </si>
  <si>
    <t>CO10 0DS</t>
  </si>
  <si>
    <t>Hillborough Infant School</t>
  </si>
  <si>
    <t>LU1 5EZ</t>
  </si>
  <si>
    <t>Middleton Primary and Nursery School</t>
  </si>
  <si>
    <t>Nottingham South</t>
  </si>
  <si>
    <t>NG8 1FG</t>
  </si>
  <si>
    <t>Meare Village Primary School</t>
  </si>
  <si>
    <t>BA6 9SP</t>
  </si>
  <si>
    <t>Huntingdon Primary School</t>
  </si>
  <si>
    <t>PE29 1AD</t>
  </si>
  <si>
    <t>Old Fletton Primary School</t>
  </si>
  <si>
    <t>PE2 9DR</t>
  </si>
  <si>
    <t>Stower Provost Community School</t>
  </si>
  <si>
    <t>SP8 5LX</t>
  </si>
  <si>
    <t>Bythams Primary School</t>
  </si>
  <si>
    <t>NG33 4PX</t>
  </si>
  <si>
    <t>Bourne Primary School</t>
  </si>
  <si>
    <t>BN22 8BD</t>
  </si>
  <si>
    <t>Alderman's Green Community Primary School</t>
  </si>
  <si>
    <t>CV2 1PP</t>
  </si>
  <si>
    <t>Flash Ley Primary School</t>
  </si>
  <si>
    <t>Stafford</t>
  </si>
  <si>
    <t>ST17 9DR</t>
  </si>
  <si>
    <t>Knowleswood Primary School</t>
  </si>
  <si>
    <t>BD4 9AE</t>
  </si>
  <si>
    <t>Copdock Primary School</t>
  </si>
  <si>
    <t>IP8 3HY</t>
  </si>
  <si>
    <t>Coppull Primary School and Nursery</t>
  </si>
  <si>
    <t>PR7 5AH</t>
  </si>
  <si>
    <t>King David Primary School</t>
  </si>
  <si>
    <t>L15 6WU</t>
  </si>
  <si>
    <t>St Paschal Baylon Catholic Primary School</t>
  </si>
  <si>
    <t>L16 2LN</t>
  </si>
  <si>
    <t>St Peter's CofE School</t>
  </si>
  <si>
    <t>Westminster North</t>
  </si>
  <si>
    <t>W9 2AN</t>
  </si>
  <si>
    <t>South Hetton Primary</t>
  </si>
  <si>
    <t>DH6 2TJ</t>
  </si>
  <si>
    <t>Oakwood Primary School</t>
  </si>
  <si>
    <t>Cheltenham</t>
  </si>
  <si>
    <t>GL52 5HD</t>
  </si>
  <si>
    <t>Briarwood School</t>
  </si>
  <si>
    <t>Bristol East</t>
  </si>
  <si>
    <t>BS16 4EA</t>
  </si>
  <si>
    <t>Wandsworth Hospital and Home Tuition Service</t>
  </si>
  <si>
    <t>SW17 7DJ</t>
  </si>
  <si>
    <t>Mark Hall Academy</t>
  </si>
  <si>
    <t>CM17 9LR</t>
  </si>
  <si>
    <t>Royal School for the Blind (Liverpool)</t>
  </si>
  <si>
    <t>L15 6TQ</t>
  </si>
  <si>
    <t>Somerset Nursery School and Children's Centre</t>
  </si>
  <si>
    <t>SW11 3ND</t>
  </si>
  <si>
    <t>Forest Moor School</t>
  </si>
  <si>
    <t>HG3 2RA</t>
  </si>
  <si>
    <t>Greenbank School</t>
  </si>
  <si>
    <t>CW8 1LD</t>
  </si>
  <si>
    <t>Grove Park School</t>
  </si>
  <si>
    <t>TN6 1BN</t>
  </si>
  <si>
    <t>Kingswood Secondary Academy</t>
  </si>
  <si>
    <t>NN18 9NS</t>
  </si>
  <si>
    <t>Langer Primary Academy</t>
  </si>
  <si>
    <t>IP11 2HL</t>
  </si>
  <si>
    <t>Oakway Academy</t>
  </si>
  <si>
    <t>NN8 4SD</t>
  </si>
  <si>
    <t>Theddlethorpe Primary School</t>
  </si>
  <si>
    <t>Louth and Horncastle</t>
  </si>
  <si>
    <t>LN12 1PB</t>
  </si>
  <si>
    <t>Cheviot Primary School</t>
  </si>
  <si>
    <t>NE5 4EB</t>
  </si>
  <si>
    <t>Winifred Holtby Academy</t>
  </si>
  <si>
    <t>HU7 4PW</t>
  </si>
  <si>
    <t>Jubilee Academy Mossley</t>
  </si>
  <si>
    <t>WS3 2SQ</t>
  </si>
  <si>
    <t>Victoria Academy</t>
  </si>
  <si>
    <t>LA14 5NE</t>
  </si>
  <si>
    <t>The Everitt Academy</t>
  </si>
  <si>
    <t>NR33 8AX</t>
  </si>
  <si>
    <t>Court-De-Wyck Church School</t>
  </si>
  <si>
    <t>BS49 4NF</t>
  </si>
  <si>
    <t>Kirkburton Middle School</t>
  </si>
  <si>
    <t>HD8 0TJ</t>
  </si>
  <si>
    <t>Tilbury Pioneer Academy</t>
  </si>
  <si>
    <t>RM18 8HJ</t>
  </si>
  <si>
    <t>Hall Park Academy</t>
  </si>
  <si>
    <t>NG16 3EA</t>
  </si>
  <si>
    <t>Ravens Academy</t>
  </si>
  <si>
    <t>CO16 8TZ</t>
  </si>
  <si>
    <t>St Bernard's High School</t>
  </si>
  <si>
    <t>Rochford and Southend East</t>
  </si>
  <si>
    <t>SS0 7JS</t>
  </si>
  <si>
    <t>Harefield Primary School</t>
  </si>
  <si>
    <t>SO18 5NZ</t>
  </si>
  <si>
    <t>The Polesworth School</t>
  </si>
  <si>
    <t>North Warwickshire</t>
  </si>
  <si>
    <t>B78 1QT</t>
  </si>
  <si>
    <t>Christopher Pickering Primary School</t>
  </si>
  <si>
    <t>HU4 7EB</t>
  </si>
  <si>
    <t>Hinckley Academy and John Cleveland Sixth Form Centre</t>
  </si>
  <si>
    <t>LE10 1LE</t>
  </si>
  <si>
    <t>Irlam and Cadishead Academy</t>
  </si>
  <si>
    <t>Worsley and Eccles South</t>
  </si>
  <si>
    <t>M44 5ZR</t>
  </si>
  <si>
    <t>Devonshire Primary Academy</t>
  </si>
  <si>
    <t>FY3 8AF</t>
  </si>
  <si>
    <t>St Paul's CofE Primary School N11</t>
  </si>
  <si>
    <t>N11 1NQ</t>
  </si>
  <si>
    <t>St James' RC Voluntary Aided Primary School</t>
  </si>
  <si>
    <t>NE31 2BP</t>
  </si>
  <si>
    <t>Mount St Mary's Catholic High School</t>
  </si>
  <si>
    <t>LS9 8LA</t>
  </si>
  <si>
    <t>Ravensden CofE VA Primary School</t>
  </si>
  <si>
    <t>MK44 2RW</t>
  </si>
  <si>
    <t>CH46 8UG</t>
  </si>
  <si>
    <t>Durweston CofE VA Primary School</t>
  </si>
  <si>
    <t>DT11 0QA</t>
  </si>
  <si>
    <t>St Andrew's Benn CofE (Voluntary Aided) Primary School</t>
  </si>
  <si>
    <t>CV21 3NX</t>
  </si>
  <si>
    <t>St Andrew's CofE Aided Primary School</t>
  </si>
  <si>
    <t>CH63 7NL</t>
  </si>
  <si>
    <t>Sharmans Cross Junior School</t>
  </si>
  <si>
    <t>B91 1PH</t>
  </si>
  <si>
    <t>Pool Hayes Primary School</t>
  </si>
  <si>
    <t>WV12 4RX</t>
  </si>
  <si>
    <t>Tottenhall Infant School</t>
  </si>
  <si>
    <t>Enfield, Southgate</t>
  </si>
  <si>
    <t>N13 6HX</t>
  </si>
  <si>
    <t>Tower Hill Primary School</t>
  </si>
  <si>
    <t>GU14 0BW</t>
  </si>
  <si>
    <t>St Peter's Church of England Primary School, Leeds</t>
  </si>
  <si>
    <t>LS9 7SG</t>
  </si>
  <si>
    <t>St Peter's CofE (A) Primary School</t>
  </si>
  <si>
    <t>Staffordshire Moorlands</t>
  </si>
  <si>
    <t>ST11 9EN</t>
  </si>
  <si>
    <t>Ashby-de-la-Zouch Church of England Primary School</t>
  </si>
  <si>
    <t>LE65 2LL</t>
  </si>
  <si>
    <t>Ashton Keynes Church of England Primary School</t>
  </si>
  <si>
    <t>SN6 6NZ</t>
  </si>
  <si>
    <t>Copnor Primary School</t>
  </si>
  <si>
    <t>PO3 5BZ</t>
  </si>
  <si>
    <t>Epping Primary School</t>
  </si>
  <si>
    <t>Epping Forest</t>
  </si>
  <si>
    <t>CM16 5DU</t>
  </si>
  <si>
    <t>Abbots Langley School</t>
  </si>
  <si>
    <t>WD5 0BQ</t>
  </si>
  <si>
    <t>Biddick Hall Infants' School</t>
  </si>
  <si>
    <t>South Shields</t>
  </si>
  <si>
    <t>NE34 9JD</t>
  </si>
  <si>
    <t>Bugbrooke Community Primary School</t>
  </si>
  <si>
    <t>NN7 3PA</t>
  </si>
  <si>
    <t>Cheswardine Primary and Nursery School</t>
  </si>
  <si>
    <t>TF9 2RU</t>
  </si>
  <si>
    <t>Riccall Community Primary School</t>
  </si>
  <si>
    <t>Selby and Ainsty</t>
  </si>
  <si>
    <t>YO19 6PF</t>
  </si>
  <si>
    <t>Longlevens Junior School</t>
  </si>
  <si>
    <t>Tewkesbury</t>
  </si>
  <si>
    <t>GL2 0AL</t>
  </si>
  <si>
    <t>Paget High School</t>
  </si>
  <si>
    <t>Burton</t>
  </si>
  <si>
    <t>DE14 3DR</t>
  </si>
  <si>
    <t>Lily Lane Primary School</t>
  </si>
  <si>
    <t>M40 9JP</t>
  </si>
  <si>
    <t>Hertford Infant and Nursery School</t>
  </si>
  <si>
    <t>BN1 7GF</t>
  </si>
  <si>
    <t>Harrop Fold School</t>
  </si>
  <si>
    <t>M28 0SY</t>
  </si>
  <si>
    <t>Heatherlands Primary School</t>
  </si>
  <si>
    <t>Poole</t>
  </si>
  <si>
    <t>BH12 2BG</t>
  </si>
  <si>
    <t>Compass Primary Academy</t>
  </si>
  <si>
    <t>NN15 7EA</t>
  </si>
  <si>
    <t>St Catherine's College</t>
  </si>
  <si>
    <t>BN23 7BL</t>
  </si>
  <si>
    <t>Harris Primary Academy Croydon</t>
  </si>
  <si>
    <t>Croydon North</t>
  </si>
  <si>
    <t>CR0 3JT</t>
  </si>
  <si>
    <t>St George's CofE Academy, Clun</t>
  </si>
  <si>
    <t>SY7 8JQ</t>
  </si>
  <si>
    <t>Penwortham Broad Oak Primary School</t>
  </si>
  <si>
    <t>PR1 9DE</t>
  </si>
  <si>
    <t>Forestdale Primary School</t>
  </si>
  <si>
    <t>B45 0JS</t>
  </si>
  <si>
    <t>Discovery Primary School</t>
  </si>
  <si>
    <t>SE28 0JN</t>
  </si>
  <si>
    <t>Birkenhead Park School</t>
  </si>
  <si>
    <t>Birkenhead</t>
  </si>
  <si>
    <t>CH43 4UY</t>
  </si>
  <si>
    <t>Fawood Children's Centre</t>
  </si>
  <si>
    <t>NW10 8DX</t>
  </si>
  <si>
    <t>Egerton High School</t>
  </si>
  <si>
    <t>M41 7FZ</t>
  </si>
  <si>
    <t>Sutton CofE VC Primary School</t>
  </si>
  <si>
    <t>CB6 2PU</t>
  </si>
  <si>
    <t>St John's Church of England Primary School</t>
  </si>
  <si>
    <t>PR9 8JH</t>
  </si>
  <si>
    <t>Oswaldtwistle Hippings Methodist Voluntary Controlled Primary School</t>
  </si>
  <si>
    <t>BB5 3BT</t>
  </si>
  <si>
    <t>Churchill Community College</t>
  </si>
  <si>
    <t>NE28 7TN</t>
  </si>
  <si>
    <t>St Luke's CofE Primary School</t>
  </si>
  <si>
    <t>M5 5JH</t>
  </si>
  <si>
    <t>Stockcross C.E. School</t>
  </si>
  <si>
    <t>RG20 8LD</t>
  </si>
  <si>
    <t>Petworth Cof E Primary School</t>
  </si>
  <si>
    <t>GU28 0EE</t>
  </si>
  <si>
    <t>Hindley High School</t>
  </si>
  <si>
    <t>WN2 4LG</t>
  </si>
  <si>
    <t>Chapel Green School</t>
  </si>
  <si>
    <t>NR17 1RF</t>
  </si>
  <si>
    <t>Pontefract Orchard Head Junior and Infant and Nursery School</t>
  </si>
  <si>
    <t>WF8 2NJ</t>
  </si>
  <si>
    <t>Eggar's School</t>
  </si>
  <si>
    <t>GU34 4EQ</t>
  </si>
  <si>
    <t>Sacred Heart Catholic Voluntary Academy</t>
  </si>
  <si>
    <t>HX6 1BL</t>
  </si>
  <si>
    <t>Robert Bakewell Primary School</t>
  </si>
  <si>
    <t>LE11 5UJ</t>
  </si>
  <si>
    <t>Tudor Grange Academy Redditch</t>
  </si>
  <si>
    <t>B98 7UH</t>
  </si>
  <si>
    <t>Takeley Primary School</t>
  </si>
  <si>
    <t>CM6 1YE</t>
  </si>
  <si>
    <t>Harworth CofE Academy</t>
  </si>
  <si>
    <t>Bassetlaw</t>
  </si>
  <si>
    <t>DN11 8JT</t>
  </si>
  <si>
    <t>Notley High School and Braintree Sixth Form</t>
  </si>
  <si>
    <t>CM7 1WY</t>
  </si>
  <si>
    <t>Hatfield Woodhouse Primary School</t>
  </si>
  <si>
    <t>DN7 6NH</t>
  </si>
  <si>
    <t>Purfleet Primary Academy</t>
  </si>
  <si>
    <t>RM19 1TA</t>
  </si>
  <si>
    <t>Hamstreet Primary Academy</t>
  </si>
  <si>
    <t>TN26 2EA</t>
  </si>
  <si>
    <t>Gurney Pease Academy</t>
  </si>
  <si>
    <t>DL1 2NG</t>
  </si>
  <si>
    <t>St Peter and St Paul Catholic Primary School</t>
  </si>
  <si>
    <t>BR5 2SR</t>
  </si>
  <si>
    <t>Colden Common Primary School</t>
  </si>
  <si>
    <t>SO50 6HW</t>
  </si>
  <si>
    <t>Cliddesden Primary School</t>
  </si>
  <si>
    <t>RG25 2QU</t>
  </si>
  <si>
    <t>Brampton Primary School</t>
  </si>
  <si>
    <t>S40 1DD</t>
  </si>
  <si>
    <t>Bagthorpe Primary School</t>
  </si>
  <si>
    <t>NG16 5HB</t>
  </si>
  <si>
    <t>Saints Peter and Paul Catholic High School</t>
  </si>
  <si>
    <t>WA8 7DW</t>
  </si>
  <si>
    <t>Wood Street Infant School</t>
  </si>
  <si>
    <t>GU3 3DA</t>
  </si>
  <si>
    <t>Smitham Primary School</t>
  </si>
  <si>
    <t>CR5 3DE</t>
  </si>
  <si>
    <t>Warren Wood Primary School</t>
  </si>
  <si>
    <t>SK2 5XU</t>
  </si>
  <si>
    <t>Salisbury Primary School</t>
  </si>
  <si>
    <t>WS10 8BQ</t>
  </si>
  <si>
    <t>Mary Exton Primary School</t>
  </si>
  <si>
    <t>SG4 0QA</t>
  </si>
  <si>
    <t>Winterbourne Nursery and Infants' School</t>
  </si>
  <si>
    <t>CR7 7QT</t>
  </si>
  <si>
    <t>Wimbish Primary School</t>
  </si>
  <si>
    <t>CB10 2XE</t>
  </si>
  <si>
    <t>St Osmund's Catholic Primary School</t>
  </si>
  <si>
    <t>SW13 9HQ</t>
  </si>
  <si>
    <t>Yesodey Hatorah Senior Girls School</t>
  </si>
  <si>
    <t>N16 6UB</t>
  </si>
  <si>
    <t>Stilton Church of England Primary Academy</t>
  </si>
  <si>
    <t>PE7 3RF</t>
  </si>
  <si>
    <t>College Park Infant School</t>
  </si>
  <si>
    <t>PO2 0LB</t>
  </si>
  <si>
    <t>Newton Flotman Church of England Primary Academy</t>
  </si>
  <si>
    <t>South Norfolk</t>
  </si>
  <si>
    <t>NR15 1PR</t>
  </si>
  <si>
    <t>Arboretum Primary School</t>
  </si>
  <si>
    <t>DE23 8GP</t>
  </si>
  <si>
    <t>The Charter School East Dulwich</t>
  </si>
  <si>
    <t>Dulwich and West Norwood</t>
  </si>
  <si>
    <t>SE22 8RB</t>
  </si>
  <si>
    <t>Bassenthwaite Primary School</t>
  </si>
  <si>
    <t>CA12 4QH</t>
  </si>
  <si>
    <t>Grange Park Primary School</t>
  </si>
  <si>
    <t>TF3 1ET</t>
  </si>
  <si>
    <t>Paxton Academy Sports And Science</t>
  </si>
  <si>
    <t>CR7 6AW</t>
  </si>
  <si>
    <t>de Vere Primary School</t>
  </si>
  <si>
    <t>CO9 3EA</t>
  </si>
  <si>
    <t>West Horndon Primary School</t>
  </si>
  <si>
    <t>Brentwood and Ongar</t>
  </si>
  <si>
    <t>CM13 3TR</t>
  </si>
  <si>
    <t>Brington Primary School</t>
  </si>
  <si>
    <t>NN7 4HX</t>
  </si>
  <si>
    <t>Bressingham Primary School</t>
  </si>
  <si>
    <t>IP22 2AR</t>
  </si>
  <si>
    <t>Great Abington Primary School</t>
  </si>
  <si>
    <t>CB21 6AE</t>
  </si>
  <si>
    <t>Fosse Primary School</t>
  </si>
  <si>
    <t>LE3 5EA</t>
  </si>
  <si>
    <t>White's Wood Academy</t>
  </si>
  <si>
    <t>DN21 1TJ</t>
  </si>
  <si>
    <t>Joyce Frankland Academy, Newport</t>
  </si>
  <si>
    <t>CB11 3TR</t>
  </si>
  <si>
    <t>Goldington Green Academy</t>
  </si>
  <si>
    <t>MK41 0DP</t>
  </si>
  <si>
    <t>Thurstable School Sports College and Sixth Form Centre</t>
  </si>
  <si>
    <t>CO5 0EW</t>
  </si>
  <si>
    <t>Houghton Regis Academy</t>
  </si>
  <si>
    <t>LU5 5PX</t>
  </si>
  <si>
    <t>Landau Forte Academy Moorhead</t>
  </si>
  <si>
    <t>Perins School</t>
  </si>
  <si>
    <t>SO24 9BS</t>
  </si>
  <si>
    <t>Fred Nicholson School</t>
  </si>
  <si>
    <t>NR19 1JB</t>
  </si>
  <si>
    <t>Wilstead Primary School</t>
  </si>
  <si>
    <t>MK45 3BX</t>
  </si>
  <si>
    <t>West Kirby Residential School</t>
  </si>
  <si>
    <t>CH48 5DH</t>
  </si>
  <si>
    <t>Mossbrook School</t>
  </si>
  <si>
    <t>S8 8JR</t>
  </si>
  <si>
    <t>Rebecca Cheetham Nursery and Children's Centre</t>
  </si>
  <si>
    <t>E15 3JT</t>
  </si>
  <si>
    <t>Cheam High School</t>
  </si>
  <si>
    <t>Sutton and Cheam</t>
  </si>
  <si>
    <t>SM3 8PW</t>
  </si>
  <si>
    <t>Hurworth Primary School</t>
  </si>
  <si>
    <t>DL2 2ET</t>
  </si>
  <si>
    <t>Andover Church of England Primary School</t>
  </si>
  <si>
    <t>SP10 1EP</t>
  </si>
  <si>
    <t>John Fletcher of Madeley Primary School</t>
  </si>
  <si>
    <t>TF7 5DL</t>
  </si>
  <si>
    <t>Stokesay Primary School</t>
  </si>
  <si>
    <t>SY7 9NW</t>
  </si>
  <si>
    <t>Grestone Academy</t>
  </si>
  <si>
    <t>B20 1ND</t>
  </si>
  <si>
    <t>Hewens Primary School</t>
  </si>
  <si>
    <t>UB4 8JP</t>
  </si>
  <si>
    <t>St Filumena's Catholic Primary School</t>
  </si>
  <si>
    <t>ST11 9EA</t>
  </si>
  <si>
    <t>Downshall Primary School</t>
  </si>
  <si>
    <t>IG3 8UG</t>
  </si>
  <si>
    <t>Hague Primary School</t>
  </si>
  <si>
    <t>E2 0BP</t>
  </si>
  <si>
    <t>Deepdale Community Primary School</t>
  </si>
  <si>
    <t>PR1 6TD</t>
  </si>
  <si>
    <t>Fairhaven Primary School</t>
  </si>
  <si>
    <t>DY8 5PY</t>
  </si>
  <si>
    <t>Broadlands Primary School</t>
  </si>
  <si>
    <t>HR1 1HY</t>
  </si>
  <si>
    <t>Kingston and Surbiton</t>
  </si>
  <si>
    <t>KT3 4LT</t>
  </si>
  <si>
    <t>Bridgewater Primary School</t>
  </si>
  <si>
    <t>M38 9WD</t>
  </si>
  <si>
    <t>Abercrombie Primary School</t>
  </si>
  <si>
    <t>S41 7QE</t>
  </si>
  <si>
    <t>Winwick CofE Primary School</t>
  </si>
  <si>
    <t>WA2 8LQ</t>
  </si>
  <si>
    <t>Ince CofE Primary School</t>
  </si>
  <si>
    <t>WN2 2AL</t>
  </si>
  <si>
    <t>St Barnabas' CofE Primary School</t>
  </si>
  <si>
    <t>Cities of London and Westminster</t>
  </si>
  <si>
    <t>SW1W 8PF</t>
  </si>
  <si>
    <t>Cardinal Heenan Catholic High School</t>
  </si>
  <si>
    <t>L12 9HZ</t>
  </si>
  <si>
    <t>St Bartholomew's CofE Primary School</t>
  </si>
  <si>
    <t>BN1 4GP</t>
  </si>
  <si>
    <t>Byron Primary School</t>
  </si>
  <si>
    <t>BD3 0AB</t>
  </si>
  <si>
    <t>Upland Primary School</t>
  </si>
  <si>
    <t>DA7 4DG</t>
  </si>
  <si>
    <t>Buttershaw Business &amp; Enterprise College Academy</t>
  </si>
  <si>
    <t>BD6 3PX</t>
  </si>
  <si>
    <t>The East Manchester Academy</t>
  </si>
  <si>
    <t>M11 3DS</t>
  </si>
  <si>
    <t>Our Lady of Lourdes Catholic School</t>
  </si>
  <si>
    <t>M31 4PJ</t>
  </si>
  <si>
    <t>Sevenoaks Primary School</t>
  </si>
  <si>
    <t>TN13 3LB</t>
  </si>
  <si>
    <t>Someries Infant School</t>
  </si>
  <si>
    <t>LU2 8AH</t>
  </si>
  <si>
    <t>Martins Wood Primary School</t>
  </si>
  <si>
    <t>SG1 5RT</t>
  </si>
  <si>
    <t>Barons Court Primary School and Nursery</t>
  </si>
  <si>
    <t>SS0 7PJ</t>
  </si>
  <si>
    <t>Fender Primary School</t>
  </si>
  <si>
    <t>CH49 8HB</t>
  </si>
  <si>
    <t>Broad Square Community Primary School</t>
  </si>
  <si>
    <t>L11 1BS</t>
  </si>
  <si>
    <t>Braishfield Primary School</t>
  </si>
  <si>
    <t>SO51 0QF</t>
  </si>
  <si>
    <t>Grove Vale Primary School</t>
  </si>
  <si>
    <t>B43 6AL</t>
  </si>
  <si>
    <t>Moorfield Community Primary School</t>
  </si>
  <si>
    <t>M44 6GX</t>
  </si>
  <si>
    <t>Oughtrington Community Primary School</t>
  </si>
  <si>
    <t>WA13 9EH</t>
  </si>
  <si>
    <t>Paddocks Primary School</t>
  </si>
  <si>
    <t>CB8 0DL</t>
  </si>
  <si>
    <t>Leagrave Primary School</t>
  </si>
  <si>
    <t>LU4 9ND</t>
  </si>
  <si>
    <t>St Thomas More High School</t>
  </si>
  <si>
    <t>SS0 0BW</t>
  </si>
  <si>
    <t>Eden Girls' School Coventry</t>
  </si>
  <si>
    <t>CV1 4FS</t>
  </si>
  <si>
    <t>Ormiston Bolingbroke Academy</t>
  </si>
  <si>
    <t>WA7 6EP</t>
  </si>
  <si>
    <t>Buckden CofE Primary School</t>
  </si>
  <si>
    <t>PE19 5TT</t>
  </si>
  <si>
    <t>Ashcroft High School</t>
  </si>
  <si>
    <t>LU2 9AG</t>
  </si>
  <si>
    <t>Threlkeld CofE Primary School</t>
  </si>
  <si>
    <t>CA12 4RX</t>
  </si>
  <si>
    <t>Newall Green High School</t>
  </si>
  <si>
    <t>M23 2SX</t>
  </si>
  <si>
    <t>Scarning Voluntary Controlled Primary School</t>
  </si>
  <si>
    <t>NR19 2PW</t>
  </si>
  <si>
    <t>Lindsworth School</t>
  </si>
  <si>
    <t>B30 3QA</t>
  </si>
  <si>
    <t>The Attic</t>
  </si>
  <si>
    <t>NR35 1JS</t>
  </si>
  <si>
    <t>1 September 2020 to 31 December 2020</t>
  </si>
  <si>
    <t>These data include all interim visits to state-funded schools from 29 September 2020, where a  letter to the school was published by 7 February 2021</t>
  </si>
  <si>
    <t>The number of pupils on roll, from the Get information about schools database which uses data from the school census in January 2020. Data may be missing for schools that were not operating at the time of the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</si>
</sst>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F800]dddd\,\ mmmm\ dd\,\ yyyy"/>
  </numFmts>
  <fonts count="57" x14ac:knownFonts="1">
    <font>
      <sz val="10"/>
      <color theme="1"/>
      <name val="Tahoma"/>
      <family val="2"/>
    </font>
    <font>
      <sz val="10"/>
      <color theme="1"/>
      <name val="Tahoma"/>
      <family val="2"/>
    </font>
    <font>
      <sz val="10"/>
      <name val="Tahoma"/>
      <family val="2"/>
    </font>
    <font>
      <b/>
      <sz val="10"/>
      <name val="Tahoma"/>
      <family val="2"/>
    </font>
    <font>
      <sz val="10"/>
      <name val="Tahoma"/>
      <family val="2"/>
    </font>
    <font>
      <u/>
      <sz val="10"/>
      <color indexed="12"/>
      <name val="Tahoma"/>
      <family val="2"/>
    </font>
    <font>
      <sz val="10"/>
      <color indexed="23"/>
      <name val="Tahoma"/>
      <family val="2"/>
    </font>
    <font>
      <sz val="10"/>
      <color indexed="8"/>
      <name val="Tahoma"/>
      <family val="2"/>
    </font>
    <font>
      <sz val="10"/>
      <name val="Arial"/>
      <family val="2"/>
    </font>
    <font>
      <u/>
      <sz val="10"/>
      <color theme="10"/>
      <name val="Arial"/>
      <family val="2"/>
    </font>
    <font>
      <u/>
      <sz val="10"/>
      <color theme="10"/>
      <name val="Tahoma"/>
      <family val="2"/>
    </font>
    <font>
      <b/>
      <u/>
      <sz val="10"/>
      <color theme="1"/>
      <name val="Tahoma"/>
      <family val="2"/>
    </font>
    <font>
      <b/>
      <sz val="12"/>
      <name val="Tahoma"/>
      <family val="2"/>
    </font>
    <font>
      <sz val="12"/>
      <name val="Tahoma"/>
      <family val="2"/>
    </font>
    <font>
      <u/>
      <sz val="12"/>
      <color indexed="12"/>
      <name val="Tahoma"/>
      <family val="2"/>
    </font>
    <font>
      <sz val="11"/>
      <color theme="1"/>
      <name val="Calibri"/>
      <family val="2"/>
      <scheme val="minor"/>
    </font>
    <font>
      <b/>
      <sz val="10"/>
      <color theme="1"/>
      <name val="Tahoma"/>
      <family val="2"/>
    </font>
    <font>
      <sz val="8"/>
      <name val="Tahoma"/>
      <family val="2"/>
    </font>
    <font>
      <b/>
      <sz val="1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2"/>
      <name val="Arial"/>
      <family val="2"/>
    </font>
    <font>
      <b/>
      <sz val="11"/>
      <color indexed="63"/>
      <name val="Calibri"/>
      <family val="2"/>
    </font>
    <font>
      <b/>
      <sz val="18"/>
      <color indexed="56"/>
      <name val="Cambria"/>
      <family val="2"/>
    </font>
    <font>
      <sz val="12"/>
      <color theme="1"/>
      <name val="Arial"/>
      <family val="2"/>
    </font>
    <font>
      <sz val="10"/>
      <name val="Courier"/>
      <family val="3"/>
    </font>
    <font>
      <i/>
      <sz val="10"/>
      <name val="Tahoma"/>
      <family val="2"/>
    </font>
    <font>
      <sz val="11"/>
      <color theme="1"/>
      <name val="Calibri"/>
      <family val="2"/>
    </font>
    <font>
      <sz val="10"/>
      <color theme="1"/>
      <name val="Verdana"/>
      <family val="2"/>
    </font>
    <font>
      <sz val="10"/>
      <name val="Arial"/>
      <family val="4"/>
    </font>
    <font>
      <u/>
      <sz val="10"/>
      <name val="Tahoma"/>
      <family val="2"/>
    </font>
    <font>
      <sz val="10"/>
      <color rgb="FFFF0000"/>
      <name val="Tahoma"/>
      <family val="2"/>
    </font>
    <font>
      <sz val="12"/>
      <color theme="1"/>
      <name val="Tahoma"/>
      <family val="2"/>
    </font>
    <font>
      <u/>
      <sz val="12"/>
      <color theme="10"/>
      <name val="Tahoma"/>
      <family val="2"/>
    </font>
    <font>
      <b/>
      <u/>
      <sz val="12"/>
      <name val="Tahoma"/>
      <family val="2"/>
    </font>
    <font>
      <sz val="12"/>
      <color rgb="FFFF0000"/>
      <name val="Tahoma"/>
      <family val="2"/>
    </font>
    <font>
      <u/>
      <sz val="12"/>
      <name val="Tahoma"/>
      <family val="2"/>
    </font>
    <font>
      <b/>
      <sz val="10"/>
      <color rgb="FFFF0000"/>
      <name val="Tahoma"/>
      <family val="2"/>
    </font>
    <font>
      <b/>
      <sz val="20"/>
      <color theme="0"/>
      <name val="Tahoma"/>
      <family val="2"/>
    </font>
    <font>
      <b/>
      <sz val="12"/>
      <color theme="1"/>
      <name val="Tahoma"/>
      <family val="2"/>
    </font>
    <font>
      <sz val="16"/>
      <color theme="1"/>
      <name val="Tahoma"/>
      <family val="2"/>
    </font>
    <font>
      <u/>
      <sz val="12"/>
      <color rgb="FF0070C0"/>
      <name val="Tahoma"/>
      <family val="2"/>
    </font>
    <font>
      <u/>
      <sz val="12"/>
      <color theme="4"/>
      <name val="Tahoma"/>
      <family val="2"/>
    </font>
  </fonts>
  <fills count="32">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rgb="FF518DD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medium">
        <color theme="0"/>
      </left>
      <right/>
      <top style="medium">
        <color theme="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style="thin">
        <color indexed="64"/>
      </bottom>
      <diagonal/>
    </border>
    <border>
      <left style="thin">
        <color theme="0"/>
      </left>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theme="1"/>
      </top>
      <bottom style="thin">
        <color theme="1"/>
      </bottom>
      <diagonal/>
    </border>
  </borders>
  <cellStyleXfs count="1194">
    <xf numFmtId="0" fontId="0" fillId="0" borderId="0"/>
    <xf numFmtId="0" fontId="2"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4" fillId="0" borderId="0"/>
    <xf numFmtId="0" fontId="1" fillId="0" borderId="0"/>
    <xf numFmtId="0" fontId="8"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6"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10" fillId="0" borderId="0" applyNumberForma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43" fontId="4" fillId="0" borderId="0" applyFont="0" applyFill="0" applyBorder="0" applyAlignment="0" applyProtection="0"/>
    <xf numFmtId="0" fontId="1" fillId="0" borderId="0"/>
    <xf numFmtId="0" fontId="1" fillId="0" borderId="0"/>
    <xf numFmtId="0" fontId="15"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4"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2" borderId="0" applyNumberFormat="0" applyBorder="0" applyAlignment="0" applyProtection="0"/>
    <xf numFmtId="0" fontId="21" fillId="6" borderId="0" applyNumberFormat="0" applyBorder="0" applyAlignment="0" applyProtection="0"/>
    <xf numFmtId="0" fontId="22" fillId="24" borderId="3" applyNumberFormat="0" applyAlignment="0" applyProtection="0"/>
    <xf numFmtId="0" fontId="23" fillId="25" borderId="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 fillId="0" borderId="0" applyNumberFormat="0" applyFill="0" applyBorder="0" applyAlignment="0" applyProtection="0"/>
    <xf numFmtId="0" fontId="34" fillId="11" borderId="3" applyNumberFormat="0" applyAlignment="0" applyProtection="0"/>
    <xf numFmtId="0" fontId="26" fillId="0" borderId="8" applyNumberFormat="0" applyFill="0" applyAlignment="0" applyProtection="0"/>
    <xf numFmtId="0" fontId="27" fillId="23" borderId="0" applyNumberFormat="0" applyBorder="0" applyAlignment="0" applyProtection="0"/>
    <xf numFmtId="0" fontId="8" fillId="0" borderId="0"/>
    <xf numFmtId="0" fontId="8" fillId="0" borderId="0"/>
    <xf numFmtId="0" fontId="15" fillId="0" borderId="0"/>
    <xf numFmtId="0" fontId="8" fillId="0" borderId="0"/>
    <xf numFmtId="0" fontId="8" fillId="0" borderId="0"/>
    <xf numFmtId="0" fontId="15" fillId="0" borderId="0"/>
    <xf numFmtId="0" fontId="8" fillId="0" borderId="0"/>
    <xf numFmtId="0" fontId="8" fillId="0" borderId="0"/>
    <xf numFmtId="0" fontId="15" fillId="0" borderId="0"/>
    <xf numFmtId="0" fontId="38" fillId="0" borderId="0"/>
    <xf numFmtId="0" fontId="15" fillId="0" borderId="0"/>
    <xf numFmtId="0" fontId="15" fillId="0" borderId="0"/>
    <xf numFmtId="0" fontId="8" fillId="0" borderId="0"/>
    <xf numFmtId="0" fontId="2" fillId="0" borderId="0"/>
    <xf numFmtId="0" fontId="38" fillId="0" borderId="0"/>
    <xf numFmtId="0" fontId="8" fillId="0" borderId="0"/>
    <xf numFmtId="0" fontId="35" fillId="0" borderId="0"/>
    <xf numFmtId="0" fontId="38" fillId="0" borderId="0"/>
    <xf numFmtId="0" fontId="1" fillId="0" borderId="0"/>
    <xf numFmtId="0" fontId="2" fillId="0" borderId="0"/>
    <xf numFmtId="0" fontId="8" fillId="0" borderId="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xf numFmtId="0" fontId="35" fillId="0" borderId="0"/>
    <xf numFmtId="0" fontId="2" fillId="0" borderId="0"/>
    <xf numFmtId="0" fontId="8" fillId="0" borderId="0"/>
    <xf numFmtId="0" fontId="38" fillId="0" borderId="0"/>
    <xf numFmtId="0" fontId="38" fillId="0" borderId="0"/>
    <xf numFmtId="0" fontId="8" fillId="0" borderId="0"/>
    <xf numFmtId="0" fontId="38" fillId="0" borderId="0"/>
    <xf numFmtId="0" fontId="8" fillId="0" borderId="0" applyNumberFormat="0" applyFont="0" applyFill="0" applyBorder="0" applyAlignment="0" applyProtection="0"/>
    <xf numFmtId="0" fontId="2" fillId="0" borderId="0"/>
    <xf numFmtId="0" fontId="8" fillId="0" borderId="0"/>
    <xf numFmtId="0" fontId="1" fillId="0" borderId="0"/>
    <xf numFmtId="0" fontId="8" fillId="0" borderId="0"/>
    <xf numFmtId="0" fontId="38" fillId="0" borderId="0"/>
    <xf numFmtId="0" fontId="2" fillId="0" borderId="0"/>
    <xf numFmtId="0" fontId="2" fillId="0" borderId="0"/>
    <xf numFmtId="0" fontId="2" fillId="0" borderId="0"/>
    <xf numFmtId="0" fontId="2" fillId="0" borderId="0"/>
    <xf numFmtId="0" fontId="15" fillId="0" borderId="0"/>
    <xf numFmtId="0" fontId="15" fillId="0" borderId="0"/>
    <xf numFmtId="0" fontId="2" fillId="0" borderId="0"/>
    <xf numFmtId="0" fontId="2" fillId="0" borderId="0"/>
    <xf numFmtId="0" fontId="8" fillId="0" borderId="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8" fillId="7" borderId="9" applyNumberFormat="0" applyFont="0" applyAlignment="0" applyProtection="0"/>
    <xf numFmtId="0" fontId="36" fillId="24"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xf numFmtId="0" fontId="39"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0" fontId="9" fillId="0" borderId="0" applyNumberFormat="0" applyFill="0" applyBorder="0" applyAlignment="0" applyProtection="0"/>
    <xf numFmtId="0" fontId="2" fillId="0" borderId="0"/>
    <xf numFmtId="0" fontId="1" fillId="0" borderId="0"/>
    <xf numFmtId="0" fontId="8" fillId="0" borderId="0"/>
    <xf numFmtId="0" fontId="15" fillId="0" borderId="0"/>
    <xf numFmtId="0" fontId="2" fillId="0" borderId="0"/>
    <xf numFmtId="0" fontId="41" fillId="0" borderId="0"/>
    <xf numFmtId="0" fontId="42" fillId="0" borderId="0"/>
    <xf numFmtId="0" fontId="15" fillId="0" borderId="0"/>
    <xf numFmtId="0" fontId="1" fillId="0" borderId="0"/>
    <xf numFmtId="0" fontId="1" fillId="0" borderId="0"/>
    <xf numFmtId="0" fontId="1" fillId="0" borderId="0"/>
    <xf numFmtId="9" fontId="1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35"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35" fillId="0" borderId="0"/>
    <xf numFmtId="0" fontId="3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5" fillId="0" borderId="0"/>
    <xf numFmtId="15" fontId="43" fillId="27" borderId="17">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applyNumberFormat="0" applyFill="0" applyBorder="0" applyAlignment="0" applyProtection="0"/>
    <xf numFmtId="0" fontId="2" fillId="0" borderId="0"/>
    <xf numFmtId="0" fontId="1" fillId="0" borderId="0"/>
    <xf numFmtId="0" fontId="1" fillId="0" borderId="0"/>
    <xf numFmtId="0" fontId="1" fillId="0" borderId="0"/>
    <xf numFmtId="0" fontId="8" fillId="0" borderId="0"/>
    <xf numFmtId="0" fontId="2" fillId="0" borderId="0"/>
    <xf numFmtId="0" fontId="2" fillId="0" borderId="0"/>
    <xf numFmtId="0" fontId="1" fillId="0" borderId="0"/>
    <xf numFmtId="0" fontId="1" fillId="0" borderId="0"/>
    <xf numFmtId="0" fontId="1" fillId="0" borderId="0"/>
    <xf numFmtId="0" fontId="1" fillId="0" borderId="0"/>
    <xf numFmtId="0" fontId="42" fillId="0" borderId="0"/>
    <xf numFmtId="0" fontId="1" fillId="0" borderId="0"/>
    <xf numFmtId="0" fontId="1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0"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139">
    <xf numFmtId="0" fontId="0" fillId="0" borderId="0" xfId="0"/>
    <xf numFmtId="0" fontId="11" fillId="3" borderId="2" xfId="0" applyFont="1" applyFill="1" applyBorder="1"/>
    <xf numFmtId="0" fontId="0" fillId="0" borderId="0" xfId="0" applyAlignment="1">
      <alignment horizontal="left" indent="1"/>
    </xf>
    <xf numFmtId="0" fontId="0" fillId="0" borderId="0" xfId="0" applyAlignment="1">
      <alignment horizontal="left"/>
    </xf>
    <xf numFmtId="1" fontId="0" fillId="0" borderId="0" xfId="0" applyNumberFormat="1"/>
    <xf numFmtId="0" fontId="0" fillId="0" borderId="0" xfId="0" applyAlignment="1">
      <alignment shrinkToFit="1"/>
    </xf>
    <xf numFmtId="0" fontId="0" fillId="0" borderId="0" xfId="0" applyNumberFormat="1"/>
    <xf numFmtId="0" fontId="0" fillId="0" borderId="0" xfId="0" pivotButton="1"/>
    <xf numFmtId="0" fontId="11" fillId="3" borderId="0" xfId="0" applyFont="1" applyFill="1" applyBorder="1"/>
    <xf numFmtId="14" fontId="0" fillId="0" borderId="0" xfId="0" applyNumberFormat="1"/>
    <xf numFmtId="0" fontId="5" fillId="0" borderId="0" xfId="57" applyAlignment="1" applyProtection="1"/>
    <xf numFmtId="0" fontId="3" fillId="0" borderId="18" xfId="0" applyFont="1" applyBorder="1" applyAlignment="1">
      <alignment horizontal="right" vertical="center" wrapText="1"/>
    </xf>
    <xf numFmtId="0" fontId="0" fillId="0" borderId="0" xfId="0"/>
    <xf numFmtId="0" fontId="3" fillId="26" borderId="0" xfId="62" applyFont="1" applyFill="1" applyAlignment="1" applyProtection="1">
      <alignment vertical="center"/>
      <protection locked="0" hidden="1"/>
    </xf>
    <xf numFmtId="0" fontId="18" fillId="26" borderId="0" xfId="62" applyFont="1" applyFill="1" applyAlignment="1" applyProtection="1">
      <alignment vertical="center"/>
      <protection locked="0" hidden="1"/>
    </xf>
    <xf numFmtId="0" fontId="17" fillId="26" borderId="16" xfId="0" applyFont="1" applyFill="1" applyBorder="1" applyAlignment="1" applyProtection="1">
      <alignment horizontal="left" vertical="center"/>
      <protection locked="0" hidden="1"/>
    </xf>
    <xf numFmtId="0" fontId="3" fillId="26" borderId="0" xfId="62" applyFont="1" applyFill="1" applyAlignment="1" applyProtection="1">
      <alignment horizontal="right"/>
      <protection hidden="1"/>
    </xf>
    <xf numFmtId="49" fontId="3" fillId="26" borderId="0" xfId="62" applyNumberFormat="1" applyFont="1" applyFill="1" applyAlignment="1" applyProtection="1">
      <protection hidden="1"/>
    </xf>
    <xf numFmtId="49" fontId="2" fillId="26" borderId="0" xfId="218" applyNumberFormat="1" applyFont="1" applyFill="1" applyAlignment="1" applyProtection="1">
      <protection hidden="1"/>
    </xf>
    <xf numFmtId="49" fontId="3" fillId="26" borderId="0" xfId="218" applyNumberFormat="1" applyFont="1" applyFill="1" applyAlignment="1" applyProtection="1">
      <protection hidden="1"/>
    </xf>
    <xf numFmtId="0" fontId="2" fillId="26" borderId="0" xfId="62" applyFont="1" applyFill="1" applyAlignment="1" applyProtection="1">
      <alignment vertical="center"/>
      <protection locked="0" hidden="1"/>
    </xf>
    <xf numFmtId="0" fontId="3" fillId="0" borderId="18" xfId="0" applyFont="1" applyBorder="1" applyAlignment="1">
      <alignment vertical="center" wrapText="1"/>
    </xf>
    <xf numFmtId="0" fontId="2" fillId="26" borderId="12" xfId="62" applyFont="1" applyFill="1" applyBorder="1" applyProtection="1">
      <protection locked="0" hidden="1"/>
    </xf>
    <xf numFmtId="0" fontId="2" fillId="26" borderId="0" xfId="62" applyFont="1" applyFill="1" applyAlignment="1" applyProtection="1">
      <alignment horizontal="right"/>
      <protection hidden="1"/>
    </xf>
    <xf numFmtId="0" fontId="2" fillId="0" borderId="14" xfId="0" applyFont="1" applyBorder="1" applyAlignment="1" applyProtection="1">
      <alignment vertical="top"/>
      <protection hidden="1"/>
    </xf>
    <xf numFmtId="3" fontId="3" fillId="3" borderId="13" xfId="0" applyNumberFormat="1" applyFont="1" applyFill="1" applyBorder="1" applyAlignment="1" applyProtection="1">
      <alignment vertical="top"/>
      <protection hidden="1"/>
    </xf>
    <xf numFmtId="49" fontId="2" fillId="0" borderId="0" xfId="62" applyNumberFormat="1" applyFont="1" applyAlignment="1" applyProtection="1">
      <protection hidden="1"/>
    </xf>
    <xf numFmtId="3" fontId="2" fillId="3" borderId="13" xfId="0" applyNumberFormat="1" applyFont="1" applyFill="1" applyBorder="1" applyAlignment="1" applyProtection="1">
      <alignment vertical="top"/>
      <protection hidden="1"/>
    </xf>
    <xf numFmtId="49" fontId="2" fillId="26" borderId="0" xfId="62" applyNumberFormat="1" applyFont="1" applyFill="1" applyAlignment="1" applyProtection="1">
      <protection hidden="1"/>
    </xf>
    <xf numFmtId="49" fontId="2" fillId="3" borderId="0" xfId="62" applyNumberFormat="1" applyFont="1" applyFill="1" applyAlignment="1" applyProtection="1">
      <protection hidden="1"/>
    </xf>
    <xf numFmtId="0" fontId="2" fillId="26" borderId="0" xfId="253" applyFont="1" applyFill="1" applyAlignment="1" applyProtection="1">
      <protection hidden="1"/>
    </xf>
    <xf numFmtId="0" fontId="44" fillId="0" borderId="15" xfId="0" applyFont="1" applyBorder="1" applyAlignment="1">
      <alignment vertical="top"/>
    </xf>
    <xf numFmtId="0" fontId="40" fillId="0" borderId="13" xfId="0" applyFont="1" applyBorder="1" applyAlignment="1">
      <alignment horizontal="right" vertical="top"/>
    </xf>
    <xf numFmtId="0" fontId="0" fillId="0" borderId="0" xfId="0" applyBorder="1"/>
    <xf numFmtId="0" fontId="3" fillId="0" borderId="0" xfId="0" applyFont="1" applyBorder="1" applyAlignment="1">
      <alignment vertical="center" wrapText="1"/>
    </xf>
    <xf numFmtId="0" fontId="17" fillId="3" borderId="0" xfId="62" applyFont="1" applyFill="1" applyBorder="1" applyAlignment="1" applyProtection="1">
      <alignment vertical="center" wrapText="1"/>
      <protection locked="0" hidden="1"/>
    </xf>
    <xf numFmtId="0" fontId="2" fillId="0" borderId="0" xfId="0" applyFont="1" applyBorder="1" applyAlignment="1">
      <alignment vertical="top"/>
    </xf>
    <xf numFmtId="0" fontId="13" fillId="3" borderId="0" xfId="0" applyFont="1" applyFill="1" applyAlignment="1" applyProtection="1">
      <alignment horizontal="left" vertical="top"/>
      <protection hidden="1"/>
    </xf>
    <xf numFmtId="0" fontId="46" fillId="0" borderId="0" xfId="0" applyFont="1" applyFill="1" applyAlignment="1" applyProtection="1">
      <alignment horizontal="left" vertical="top" wrapText="1"/>
      <protection hidden="1"/>
    </xf>
    <xf numFmtId="0" fontId="13" fillId="3" borderId="0" xfId="0" applyFont="1" applyFill="1" applyProtection="1">
      <protection hidden="1"/>
    </xf>
    <xf numFmtId="0" fontId="49" fillId="0" borderId="0" xfId="0" applyFont="1" applyFill="1" applyProtection="1">
      <protection hidden="1"/>
    </xf>
    <xf numFmtId="0" fontId="14" fillId="26" borderId="0" xfId="57" applyFont="1" applyFill="1" applyAlignment="1" applyProtection="1">
      <alignment vertical="center"/>
      <protection hidden="1"/>
    </xf>
    <xf numFmtId="0" fontId="13" fillId="0" borderId="0" xfId="0" applyFont="1" applyFill="1" applyAlignment="1" applyProtection="1">
      <alignment vertical="center"/>
      <protection hidden="1"/>
    </xf>
    <xf numFmtId="0" fontId="45" fillId="0" borderId="0" xfId="0" applyFont="1" applyFill="1" applyProtection="1">
      <protection hidden="1"/>
    </xf>
    <xf numFmtId="0" fontId="13" fillId="26" borderId="0" xfId="0" applyFont="1" applyFill="1" applyProtection="1">
      <protection hidden="1"/>
    </xf>
    <xf numFmtId="0" fontId="46" fillId="0" borderId="0" xfId="0" applyFont="1" applyFill="1" applyAlignment="1" applyProtection="1">
      <alignment vertical="top"/>
      <protection hidden="1"/>
    </xf>
    <xf numFmtId="0" fontId="45" fillId="0" borderId="0" xfId="44" applyFont="1" applyFill="1" applyBorder="1" applyAlignment="1" applyProtection="1">
      <alignment horizontal="left"/>
      <protection hidden="1"/>
    </xf>
    <xf numFmtId="0" fontId="3" fillId="3" borderId="0" xfId="0" applyFont="1" applyFill="1" applyBorder="1" applyAlignment="1">
      <alignment wrapText="1"/>
    </xf>
    <xf numFmtId="0" fontId="13" fillId="3" borderId="0" xfId="0" applyFont="1" applyFill="1" applyAlignment="1" applyProtection="1">
      <alignment vertical="top"/>
      <protection hidden="1"/>
    </xf>
    <xf numFmtId="0" fontId="0" fillId="0" borderId="0" xfId="0" applyFill="1" applyProtection="1">
      <protection hidden="1"/>
    </xf>
    <xf numFmtId="0" fontId="3" fillId="0" borderId="0" xfId="19" applyFont="1" applyFill="1" applyBorder="1" applyAlignment="1">
      <alignment wrapText="1"/>
    </xf>
    <xf numFmtId="0" fontId="50" fillId="26" borderId="0" xfId="57" applyFont="1" applyFill="1" applyAlignment="1" applyProtection="1">
      <alignment vertical="top" wrapText="1"/>
      <protection hidden="1"/>
    </xf>
    <xf numFmtId="0" fontId="46" fillId="0" borderId="0" xfId="0" quotePrefix="1" applyFont="1" applyFill="1" applyAlignment="1" applyProtection="1">
      <alignment vertical="top"/>
      <protection hidden="1"/>
    </xf>
    <xf numFmtId="0" fontId="12" fillId="3" borderId="0" xfId="0" applyFont="1" applyFill="1" applyProtection="1">
      <protection hidden="1"/>
    </xf>
    <xf numFmtId="0" fontId="13" fillId="0" borderId="0" xfId="0" applyFont="1" applyFill="1" applyAlignment="1" applyProtection="1">
      <alignment wrapText="1"/>
      <protection hidden="1"/>
    </xf>
    <xf numFmtId="0" fontId="45" fillId="0" borderId="0" xfId="0" applyFont="1"/>
    <xf numFmtId="0" fontId="13" fillId="0" borderId="0" xfId="0" applyFont="1" applyFill="1" applyProtection="1">
      <protection hidden="1"/>
    </xf>
    <xf numFmtId="0" fontId="45" fillId="0" borderId="0" xfId="0" applyFont="1" applyFill="1" applyBorder="1" applyAlignment="1" applyProtection="1">
      <alignment vertical="top"/>
      <protection hidden="1"/>
    </xf>
    <xf numFmtId="0" fontId="13" fillId="26" borderId="0" xfId="0" applyFont="1" applyFill="1" applyAlignment="1" applyProtection="1">
      <alignment vertical="center"/>
      <protection hidden="1"/>
    </xf>
    <xf numFmtId="0" fontId="0" fillId="0" borderId="0" xfId="0"/>
    <xf numFmtId="0" fontId="13" fillId="26" borderId="0" xfId="57" applyFont="1" applyFill="1" applyAlignment="1" applyProtection="1">
      <alignment vertical="top"/>
      <protection hidden="1"/>
    </xf>
    <xf numFmtId="0" fontId="0" fillId="0" borderId="0" xfId="0" applyProtection="1">
      <protection hidden="1"/>
    </xf>
    <xf numFmtId="0" fontId="46" fillId="3" borderId="0" xfId="0" applyFont="1" applyFill="1" applyAlignment="1" applyProtection="1">
      <alignment vertical="top"/>
      <protection hidden="1"/>
    </xf>
    <xf numFmtId="0" fontId="13" fillId="0" borderId="0" xfId="0" applyFont="1" applyFill="1" applyAlignment="1" applyProtection="1">
      <alignment vertical="top" wrapText="1"/>
      <protection hidden="1"/>
    </xf>
    <xf numFmtId="0" fontId="13" fillId="3" borderId="0" xfId="0" applyFont="1" applyFill="1" applyAlignment="1" applyProtection="1">
      <alignment vertical="center" wrapText="1"/>
      <protection hidden="1"/>
    </xf>
    <xf numFmtId="0" fontId="51" fillId="0" borderId="0" xfId="0" applyFont="1" applyFill="1" applyBorder="1" applyAlignment="1" applyProtection="1">
      <alignment vertical="top"/>
      <protection hidden="1"/>
    </xf>
    <xf numFmtId="0" fontId="13" fillId="3" borderId="0" xfId="0" applyFont="1" applyFill="1" applyAlignment="1" applyProtection="1">
      <alignment vertical="top" wrapText="1"/>
      <protection hidden="1"/>
    </xf>
    <xf numFmtId="0" fontId="49" fillId="0" borderId="0" xfId="0" applyFont="1" applyFill="1" applyAlignment="1" applyProtection="1">
      <alignment vertical="top"/>
      <protection hidden="1"/>
    </xf>
    <xf numFmtId="0" fontId="45" fillId="0" borderId="0" xfId="0" applyFont="1" applyFill="1" applyBorder="1" applyAlignment="1" applyProtection="1">
      <protection hidden="1"/>
    </xf>
    <xf numFmtId="0" fontId="46" fillId="0" borderId="0" xfId="0" applyFont="1" applyFill="1" applyAlignment="1" applyProtection="1">
      <alignment vertical="center"/>
      <protection hidden="1"/>
    </xf>
    <xf numFmtId="14" fontId="3" fillId="0" borderId="0" xfId="19" applyNumberFormat="1" applyFont="1" applyFill="1" applyBorder="1" applyAlignment="1">
      <alignment wrapText="1"/>
    </xf>
    <xf numFmtId="0" fontId="13" fillId="3" borderId="0" xfId="0" applyFont="1" applyFill="1" applyAlignment="1" applyProtection="1">
      <alignment horizontal="left" vertical="top" wrapText="1"/>
      <protection hidden="1"/>
    </xf>
    <xf numFmtId="0" fontId="45" fillId="3" borderId="0" xfId="0" applyFont="1" applyFill="1" applyBorder="1" applyAlignment="1" applyProtection="1">
      <protection hidden="1"/>
    </xf>
    <xf numFmtId="0" fontId="48" fillId="26" borderId="0" xfId="57" applyFont="1" applyFill="1" applyAlignment="1" applyProtection="1">
      <alignment vertical="top" wrapText="1"/>
      <protection hidden="1"/>
    </xf>
    <xf numFmtId="14" fontId="2" fillId="0" borderId="0" xfId="44" applyNumberFormat="1" applyFont="1" applyFill="1" applyBorder="1" applyAlignment="1" applyProtection="1">
      <alignment horizontal="left"/>
      <protection hidden="1"/>
    </xf>
    <xf numFmtId="0" fontId="46" fillId="3" borderId="0" xfId="0" applyFont="1" applyFill="1" applyAlignment="1" applyProtection="1">
      <alignment horizontal="left" vertical="top" wrapText="1"/>
      <protection hidden="1"/>
    </xf>
    <xf numFmtId="0" fontId="46" fillId="0" borderId="0" xfId="0" applyFont="1" applyFill="1" applyAlignment="1" applyProtection="1">
      <alignment vertical="top" wrapText="1"/>
      <protection hidden="1"/>
    </xf>
    <xf numFmtId="0" fontId="13" fillId="0" borderId="0" xfId="0" applyFont="1" applyFill="1" applyAlignment="1" applyProtection="1">
      <alignment vertical="top"/>
      <protection hidden="1"/>
    </xf>
    <xf numFmtId="0" fontId="13" fillId="0" borderId="0" xfId="0" quotePrefix="1" applyFont="1" applyFill="1" applyAlignment="1" applyProtection="1">
      <alignment vertical="top"/>
      <protection hidden="1"/>
    </xf>
    <xf numFmtId="0" fontId="49" fillId="26" borderId="0" xfId="0" applyFont="1" applyFill="1" applyProtection="1">
      <protection hidden="1"/>
    </xf>
    <xf numFmtId="0" fontId="13" fillId="0" borderId="0" xfId="0" applyFont="1" applyAlignment="1" applyProtection="1">
      <alignment vertical="top"/>
      <protection hidden="1"/>
    </xf>
    <xf numFmtId="0" fontId="2" fillId="0" borderId="0" xfId="0" applyFont="1" applyFill="1" applyBorder="1" applyAlignment="1" applyProtection="1">
      <alignment horizontal="left"/>
      <protection hidden="1"/>
    </xf>
    <xf numFmtId="0" fontId="16" fillId="0" borderId="0" xfId="0" applyFont="1" applyFill="1" applyBorder="1" applyAlignment="1" applyProtection="1">
      <alignment vertical="top"/>
      <protection hidden="1"/>
    </xf>
    <xf numFmtId="0" fontId="3" fillId="0" borderId="0" xfId="0" applyFont="1" applyFill="1" applyBorder="1" applyAlignment="1">
      <alignment wrapText="1"/>
    </xf>
    <xf numFmtId="0" fontId="46" fillId="3" borderId="0" xfId="0" applyFont="1" applyFill="1" applyAlignment="1" applyProtection="1">
      <alignment vertical="top" wrapText="1"/>
      <protection hidden="1"/>
    </xf>
    <xf numFmtId="0" fontId="12" fillId="26" borderId="0" xfId="0" applyFont="1" applyFill="1" applyProtection="1">
      <protection hidden="1"/>
    </xf>
    <xf numFmtId="0" fontId="2" fillId="0" borderId="0" xfId="44" applyFont="1" applyFill="1" applyBorder="1" applyAlignment="1" applyProtection="1">
      <protection hidden="1"/>
    </xf>
    <xf numFmtId="0" fontId="13" fillId="0" borderId="0" xfId="0" applyFont="1" applyFill="1" applyAlignment="1" applyProtection="1">
      <alignment vertical="center" wrapText="1"/>
      <protection hidden="1"/>
    </xf>
    <xf numFmtId="0" fontId="2" fillId="0" borderId="0" xfId="44" applyFont="1" applyFill="1" applyBorder="1" applyAlignment="1" applyProtection="1">
      <alignment horizontal="left"/>
      <protection hidden="1"/>
    </xf>
    <xf numFmtId="0" fontId="0" fillId="0" borderId="0" xfId="0" applyFont="1" applyAlignment="1" applyProtection="1">
      <protection hidden="1"/>
    </xf>
    <xf numFmtId="0" fontId="0" fillId="0" borderId="0" xfId="0"/>
    <xf numFmtId="0" fontId="0" fillId="0" borderId="0" xfId="0"/>
    <xf numFmtId="0" fontId="0" fillId="0" borderId="0" xfId="0"/>
    <xf numFmtId="0" fontId="0" fillId="0" borderId="13" xfId="0" applyBorder="1" applyAlignment="1">
      <alignment vertical="top"/>
    </xf>
    <xf numFmtId="0" fontId="0" fillId="0" borderId="23" xfId="0" applyBorder="1"/>
    <xf numFmtId="0" fontId="0" fillId="0" borderId="21" xfId="0" applyBorder="1" applyAlignment="1">
      <alignment horizontal="left" vertical="center"/>
    </xf>
    <xf numFmtId="0" fontId="0" fillId="0" borderId="13" xfId="0" applyBorder="1" applyAlignment="1">
      <alignment horizontal="left" vertical="center"/>
    </xf>
    <xf numFmtId="0" fontId="46" fillId="0" borderId="17" xfId="0" applyFont="1" applyBorder="1" applyAlignment="1">
      <alignment horizontal="left" vertical="center"/>
    </xf>
    <xf numFmtId="0" fontId="46" fillId="0" borderId="17" xfId="0" applyFont="1" applyBorder="1" applyAlignment="1">
      <alignment horizontal="left" vertical="center" wrapText="1"/>
    </xf>
    <xf numFmtId="0" fontId="47" fillId="0" borderId="17" xfId="22" applyFont="1" applyBorder="1" applyAlignment="1">
      <alignment horizontal="left" vertical="center"/>
    </xf>
    <xf numFmtId="0" fontId="45" fillId="0" borderId="13" xfId="0" applyFont="1" applyBorder="1" applyAlignment="1">
      <alignment vertical="top"/>
    </xf>
    <xf numFmtId="0" fontId="13" fillId="26" borderId="22" xfId="232" applyFont="1" applyFill="1" applyBorder="1" applyProtection="1">
      <protection locked="0" hidden="1"/>
    </xf>
    <xf numFmtId="0" fontId="46" fillId="0" borderId="24" xfId="0" applyFont="1" applyBorder="1" applyAlignment="1">
      <alignment horizontal="left" vertical="center"/>
    </xf>
    <xf numFmtId="0" fontId="47" fillId="0" borderId="27" xfId="22" applyFont="1" applyBorder="1" applyAlignment="1">
      <alignment horizontal="left" vertical="center"/>
    </xf>
    <xf numFmtId="0" fontId="46" fillId="3" borderId="19" xfId="0" applyFont="1" applyFill="1" applyBorder="1" applyAlignment="1">
      <alignment vertical="center"/>
    </xf>
    <xf numFmtId="0" fontId="0" fillId="3" borderId="20" xfId="0" applyFill="1" applyBorder="1" applyAlignment="1">
      <alignment vertical="center"/>
    </xf>
    <xf numFmtId="0" fontId="46" fillId="3" borderId="25" xfId="0" applyFont="1" applyFill="1" applyBorder="1" applyAlignment="1">
      <alignment vertical="center"/>
    </xf>
    <xf numFmtId="0" fontId="46" fillId="3" borderId="26" xfId="0" applyFont="1" applyFill="1" applyBorder="1" applyAlignment="1">
      <alignment vertical="center"/>
    </xf>
    <xf numFmtId="0" fontId="46" fillId="3" borderId="25" xfId="0" applyFont="1" applyFill="1" applyBorder="1" applyAlignment="1">
      <alignment horizontal="left" wrapText="1"/>
    </xf>
    <xf numFmtId="0" fontId="46" fillId="0" borderId="25" xfId="0" applyFont="1" applyBorder="1" applyAlignment="1">
      <alignment horizontal="left" vertical="center"/>
    </xf>
    <xf numFmtId="0" fontId="47" fillId="0" borderId="25" xfId="22" applyFont="1" applyBorder="1" applyAlignment="1">
      <alignment horizontal="left" vertical="center"/>
    </xf>
    <xf numFmtId="0" fontId="46" fillId="0" borderId="18" xfId="0" applyFont="1" applyBorder="1" applyAlignment="1">
      <alignment horizontal="left" vertical="center"/>
    </xf>
    <xf numFmtId="0" fontId="46" fillId="0" borderId="28" xfId="0" applyFont="1" applyBorder="1" applyAlignment="1">
      <alignment horizontal="left" vertical="center"/>
    </xf>
    <xf numFmtId="0" fontId="13" fillId="0" borderId="17" xfId="1" applyFont="1" applyFill="1" applyBorder="1" applyAlignment="1" applyProtection="1">
      <alignment horizontal="left" vertical="center" wrapText="1" shrinkToFit="1"/>
      <protection hidden="1"/>
    </xf>
    <xf numFmtId="0" fontId="46" fillId="0" borderId="19" xfId="0" applyFont="1" applyBorder="1" applyAlignment="1">
      <alignment horizontal="centerContinuous" vertical="center" wrapText="1"/>
    </xf>
    <xf numFmtId="0" fontId="0" fillId="0" borderId="20" xfId="0" applyBorder="1" applyAlignment="1">
      <alignment horizontal="centerContinuous" vertical="center"/>
    </xf>
    <xf numFmtId="0" fontId="0" fillId="26" borderId="0" xfId="0" applyFill="1" applyProtection="1">
      <protection hidden="1"/>
    </xf>
    <xf numFmtId="0" fontId="46" fillId="0" borderId="13" xfId="0" applyFont="1" applyBorder="1" applyAlignment="1">
      <alignment vertical="top"/>
    </xf>
    <xf numFmtId="0" fontId="46" fillId="0" borderId="0" xfId="0" applyFont="1"/>
    <xf numFmtId="14" fontId="53" fillId="29" borderId="0" xfId="0" applyNumberFormat="1" applyFont="1" applyFill="1"/>
    <xf numFmtId="14" fontId="53" fillId="30" borderId="0" xfId="0" applyNumberFormat="1" applyFont="1" applyFill="1"/>
    <xf numFmtId="0" fontId="46" fillId="31" borderId="0" xfId="0" applyNumberFormat="1" applyFont="1" applyFill="1" applyAlignment="1">
      <alignment horizontal="center"/>
    </xf>
    <xf numFmtId="0" fontId="54" fillId="0" borderId="0" xfId="0" applyFont="1" applyAlignment="1">
      <alignment vertical="top" wrapText="1"/>
    </xf>
    <xf numFmtId="0" fontId="46" fillId="0" borderId="0" xfId="0" applyFont="1" applyFill="1"/>
    <xf numFmtId="14" fontId="53" fillId="0" borderId="0" xfId="0" applyNumberFormat="1" applyFont="1" applyFill="1"/>
    <xf numFmtId="0" fontId="0" fillId="0" borderId="0" xfId="0" applyFill="1"/>
    <xf numFmtId="0" fontId="3" fillId="0" borderId="0" xfId="19" applyFont="1" applyFill="1" applyBorder="1" applyAlignment="1">
      <alignment horizontal="left" wrapText="1"/>
    </xf>
    <xf numFmtId="0" fontId="47" fillId="0" borderId="25" xfId="22" applyFont="1" applyBorder="1" applyAlignment="1">
      <alignment horizontal="left" vertical="center" wrapText="1"/>
    </xf>
    <xf numFmtId="0" fontId="55" fillId="0" borderId="17" xfId="57" applyFont="1" applyFill="1" applyBorder="1" applyAlignment="1" applyProtection="1">
      <alignment horizontal="left" vertical="center" wrapText="1" shrinkToFit="1"/>
      <protection hidden="1"/>
    </xf>
    <xf numFmtId="0" fontId="52" fillId="28" borderId="30" xfId="0" applyFont="1" applyFill="1" applyBorder="1" applyAlignment="1" applyProtection="1">
      <alignment vertical="center"/>
      <protection hidden="1"/>
    </xf>
    <xf numFmtId="0" fontId="52" fillId="28" borderId="30" xfId="0" applyFont="1" applyFill="1" applyBorder="1" applyAlignment="1" applyProtection="1">
      <alignment vertical="center" wrapText="1"/>
      <protection hidden="1"/>
    </xf>
    <xf numFmtId="0" fontId="13" fillId="0" borderId="30" xfId="1" applyFont="1" applyBorder="1" applyAlignment="1" applyProtection="1">
      <alignment vertical="center" shrinkToFit="1"/>
      <protection hidden="1"/>
    </xf>
    <xf numFmtId="164" fontId="13" fillId="0" borderId="30" xfId="1" applyNumberFormat="1" applyFont="1" applyBorder="1" applyAlignment="1" applyProtection="1">
      <alignment horizontal="left" vertical="center" shrinkToFit="1"/>
      <protection hidden="1"/>
    </xf>
    <xf numFmtId="0" fontId="13" fillId="0" borderId="29" xfId="1" applyFont="1" applyBorder="1" applyAlignment="1" applyProtection="1">
      <alignment vertical="center" shrinkToFit="1"/>
      <protection hidden="1"/>
    </xf>
    <xf numFmtId="0" fontId="56" fillId="26" borderId="0" xfId="57" applyFont="1" applyFill="1" applyAlignment="1" applyProtection="1">
      <alignment vertical="top"/>
      <protection hidden="1"/>
    </xf>
    <xf numFmtId="0" fontId="12" fillId="0" borderId="29" xfId="1" applyFont="1" applyBorder="1" applyAlignment="1" applyProtection="1">
      <alignment vertical="center" shrinkToFit="1"/>
      <protection hidden="1"/>
    </xf>
    <xf numFmtId="0" fontId="0" fillId="0" borderId="0" xfId="0" applyAlignment="1">
      <alignment wrapText="1"/>
    </xf>
    <xf numFmtId="0" fontId="0" fillId="0" borderId="0" xfId="0" applyAlignment="1"/>
    <xf numFmtId="0" fontId="54" fillId="0" borderId="0" xfId="0" applyFont="1" applyAlignment="1">
      <alignment horizontal="left" vertical="center" wrapText="1"/>
    </xf>
  </cellXfs>
  <cellStyles count="1194">
    <cellStyle name=" 1" xfId="63" xr:uid="{00000000-0005-0000-0000-000000000000}"/>
    <cellStyle name=" 2" xfId="64" xr:uid="{00000000-0005-0000-0000-000001000000}"/>
    <cellStyle name=" 3" xfId="65" xr:uid="{00000000-0005-0000-0000-000002000000}"/>
    <cellStyle name="]_x000d__x000a_Zoomed=1_x000d__x000a_Row=0_x000d__x000a_Column=0_x000d__x000a_Height=0_x000d__x000a_Width=0_x000d__x000a_FontName=FoxFont_x000d__x000a_FontStyle=0_x000d__x000a_FontSize=9_x000d__x000a_PrtFontName=FoxPrin" xfId="66" xr:uid="{00000000-0005-0000-0000-000003000000}"/>
    <cellStyle name="]_x000d__x000a_Zoomed=1_x000d__x000a_Row=0_x000d__x000a_Column=0_x000d__x000a_Height=0_x000d__x000a_Width=0_x000d__x000a_FontName=FoxFont_x000d__x000a_FontStyle=0_x000d__x000a_FontSize=9_x000d__x000a_PrtFontName=FoxPrin 2" xfId="67" xr:uid="{00000000-0005-0000-0000-000004000000}"/>
    <cellStyle name="]_x000d__x000a_Zoomed=1_x000d__x000a_Row=0_x000d__x000a_Column=0_x000d__x000a_Height=0_x000d__x000a_Width=0_x000d__x000a_FontName=FoxFont_x000d__x000a_FontStyle=0_x000d__x000a_FontSize=9_x000d__x000a_PrtFontName=FoxPrin 2 2" xfId="68" xr:uid="{00000000-0005-0000-0000-000005000000}"/>
    <cellStyle name="]_x000d__x000a_Zoomed=1_x000d__x000a_Row=0_x000d__x000a_Column=0_x000d__x000a_Height=0_x000d__x000a_Width=0_x000d__x000a_FontName=FoxFont_x000d__x000a_FontStyle=0_x000d__x000a_FontSize=9_x000d__x000a_PrtFontName=FoxPrin 3" xfId="69" xr:uid="{00000000-0005-0000-0000-000006000000}"/>
    <cellStyle name="]_x000d__x000a_Zoomed=1_x000d__x000a_Row=0_x000d__x000a_Column=0_x000d__x000a_Height=0_x000d__x000a_Width=0_x000d__x000a_FontName=FoxFont_x000d__x000a_FontStyle=0_x000d__x000a_FontSize=9_x000d__x000a_PrtFontName=FoxPrin 3 2" xfId="70"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71"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72" xr:uid="{00000000-0005-0000-0000-000009000000}"/>
    <cellStyle name="20% - Accent1 2" xfId="73" xr:uid="{00000000-0005-0000-0000-00000A000000}"/>
    <cellStyle name="20% - Accent1 2 2" xfId="74" xr:uid="{00000000-0005-0000-0000-00000B000000}"/>
    <cellStyle name="20% - Accent2 2" xfId="75" xr:uid="{00000000-0005-0000-0000-00000C000000}"/>
    <cellStyle name="20% - Accent2 2 2" xfId="76" xr:uid="{00000000-0005-0000-0000-00000D000000}"/>
    <cellStyle name="20% - Accent3 2" xfId="77" xr:uid="{00000000-0005-0000-0000-00000E000000}"/>
    <cellStyle name="20% - Accent3 2 2" xfId="78" xr:uid="{00000000-0005-0000-0000-00000F000000}"/>
    <cellStyle name="20% - Accent4 2" xfId="79" xr:uid="{00000000-0005-0000-0000-000010000000}"/>
    <cellStyle name="20% - Accent4 2 2" xfId="80" xr:uid="{00000000-0005-0000-0000-000011000000}"/>
    <cellStyle name="20% - Accent5 2" xfId="81" xr:uid="{00000000-0005-0000-0000-000012000000}"/>
    <cellStyle name="20% - Accent5 2 2" xfId="82" xr:uid="{00000000-0005-0000-0000-000013000000}"/>
    <cellStyle name="20% - Accent6 2" xfId="83" xr:uid="{00000000-0005-0000-0000-000014000000}"/>
    <cellStyle name="20% - Accent6 2 2" xfId="84" xr:uid="{00000000-0005-0000-0000-000015000000}"/>
    <cellStyle name="40% - Accent1 2" xfId="85" xr:uid="{00000000-0005-0000-0000-000016000000}"/>
    <cellStyle name="40% - Accent1 2 2" xfId="86" xr:uid="{00000000-0005-0000-0000-000017000000}"/>
    <cellStyle name="40% - Accent2 2" xfId="87" xr:uid="{00000000-0005-0000-0000-000018000000}"/>
    <cellStyle name="40% - Accent2 2 2" xfId="88" xr:uid="{00000000-0005-0000-0000-000019000000}"/>
    <cellStyle name="40% - Accent3 2" xfId="89" xr:uid="{00000000-0005-0000-0000-00001A000000}"/>
    <cellStyle name="40% - Accent3 2 2" xfId="90" xr:uid="{00000000-0005-0000-0000-00001B000000}"/>
    <cellStyle name="40% - Accent4 2" xfId="91" xr:uid="{00000000-0005-0000-0000-00001C000000}"/>
    <cellStyle name="40% - Accent4 2 2" xfId="92" xr:uid="{00000000-0005-0000-0000-00001D000000}"/>
    <cellStyle name="40% - Accent5 2" xfId="93" xr:uid="{00000000-0005-0000-0000-00001E000000}"/>
    <cellStyle name="40% - Accent5 2 2" xfId="94" xr:uid="{00000000-0005-0000-0000-00001F000000}"/>
    <cellStyle name="40% - Accent6 2" xfId="95" xr:uid="{00000000-0005-0000-0000-000020000000}"/>
    <cellStyle name="40% - Accent6 2 2" xfId="96" xr:uid="{00000000-0005-0000-0000-000021000000}"/>
    <cellStyle name="60% - Accent1 2" xfId="97" xr:uid="{00000000-0005-0000-0000-000022000000}"/>
    <cellStyle name="60% - Accent2 2" xfId="98" xr:uid="{00000000-0005-0000-0000-000023000000}"/>
    <cellStyle name="60% - Accent3 2" xfId="99" xr:uid="{00000000-0005-0000-0000-000024000000}"/>
    <cellStyle name="60% - Accent4 2" xfId="100" xr:uid="{00000000-0005-0000-0000-000025000000}"/>
    <cellStyle name="60% - Accent5 2" xfId="101" xr:uid="{00000000-0005-0000-0000-000026000000}"/>
    <cellStyle name="60% - Accent6 2" xfId="102" xr:uid="{00000000-0005-0000-0000-000027000000}"/>
    <cellStyle name="Accent1 2" xfId="103" xr:uid="{00000000-0005-0000-0000-000028000000}"/>
    <cellStyle name="Accent2 2" xfId="104" xr:uid="{00000000-0005-0000-0000-000029000000}"/>
    <cellStyle name="Accent3 2" xfId="105" xr:uid="{00000000-0005-0000-0000-00002A000000}"/>
    <cellStyle name="Accent4 2" xfId="106" xr:uid="{00000000-0005-0000-0000-00002B000000}"/>
    <cellStyle name="Accent5 2" xfId="107" xr:uid="{00000000-0005-0000-0000-00002C000000}"/>
    <cellStyle name="Accent6 2" xfId="108" xr:uid="{00000000-0005-0000-0000-00002D000000}"/>
    <cellStyle name="Bad 2" xfId="109" xr:uid="{00000000-0005-0000-0000-00002E000000}"/>
    <cellStyle name="Calculation 2" xfId="110" xr:uid="{00000000-0005-0000-0000-00002F000000}"/>
    <cellStyle name="Check Cell 2" xfId="111" xr:uid="{00000000-0005-0000-0000-000030000000}"/>
    <cellStyle name="Comma 10" xfId="295" xr:uid="{00000000-0005-0000-0000-000032000000}"/>
    <cellStyle name="Comma 10 2" xfId="602" xr:uid="{00000000-0005-0000-0000-000032000000}"/>
    <cellStyle name="Comma 10 2 2" xfId="1030" xr:uid="{00000000-0005-0000-0000-000032000000}"/>
    <cellStyle name="Comma 10 3" xfId="816" xr:uid="{00000000-0005-0000-0000-000032000000}"/>
    <cellStyle name="Comma 11" xfId="329" xr:uid="{00000000-0005-0000-0000-000033000000}"/>
    <cellStyle name="Comma 11 2" xfId="636" xr:uid="{00000000-0005-0000-0000-000033000000}"/>
    <cellStyle name="Comma 11 2 2" xfId="1064" xr:uid="{00000000-0005-0000-0000-000033000000}"/>
    <cellStyle name="Comma 11 3" xfId="850" xr:uid="{00000000-0005-0000-0000-000033000000}"/>
    <cellStyle name="Comma 12" xfId="363" xr:uid="{00000000-0005-0000-0000-000034000000}"/>
    <cellStyle name="Comma 12 2" xfId="670" xr:uid="{00000000-0005-0000-0000-000034000000}"/>
    <cellStyle name="Comma 12 2 2" xfId="1098" xr:uid="{00000000-0005-0000-0000-000034000000}"/>
    <cellStyle name="Comma 12 3" xfId="884" xr:uid="{00000000-0005-0000-0000-000034000000}"/>
    <cellStyle name="Comma 13" xfId="568" xr:uid="{00000000-0005-0000-0000-000021020000}"/>
    <cellStyle name="Comma 13 2" xfId="996" xr:uid="{00000000-0005-0000-0000-000021020000}"/>
    <cellStyle name="Comma 14" xfId="261" xr:uid="{00000000-0005-0000-0000-00009E000000}"/>
    <cellStyle name="Comma 15" xfId="782" xr:uid="{00000000-0005-0000-0000-00002D030000}"/>
    <cellStyle name="Comma 2" xfId="2" xr:uid="{00000000-0005-0000-0000-000000000000}"/>
    <cellStyle name="Comma 2 10" xfId="553" xr:uid="{00000000-0005-0000-0000-000035000000}"/>
    <cellStyle name="Comma 2 10 2" xfId="981" xr:uid="{00000000-0005-0000-0000-000035000000}"/>
    <cellStyle name="Comma 2 11" xfId="113" xr:uid="{00000000-0005-0000-0000-000035000000}"/>
    <cellStyle name="Comma 2 12" xfId="767" xr:uid="{00000000-0005-0000-0000-000035000000}"/>
    <cellStyle name="Comma 2 2" xfId="25" xr:uid="{00000000-0005-0000-0000-000001000000}"/>
    <cellStyle name="Comma 2 2 2" xfId="53" xr:uid="{00000000-0005-0000-0000-000001000000}"/>
    <cellStyle name="Comma 2 2 2 2" xfId="304" xr:uid="{00000000-0005-0000-0000-000038000000}"/>
    <cellStyle name="Comma 2 2 2 2 2" xfId="611" xr:uid="{00000000-0005-0000-0000-000038000000}"/>
    <cellStyle name="Comma 2 2 2 2 2 2" xfId="1039" xr:uid="{00000000-0005-0000-0000-000038000000}"/>
    <cellStyle name="Comma 2 2 2 2 3" xfId="825" xr:uid="{00000000-0005-0000-0000-000038000000}"/>
    <cellStyle name="Comma 2 2 2 3" xfId="338" xr:uid="{00000000-0005-0000-0000-000039000000}"/>
    <cellStyle name="Comma 2 2 2 3 2" xfId="645" xr:uid="{00000000-0005-0000-0000-000039000000}"/>
    <cellStyle name="Comma 2 2 2 3 2 2" xfId="1073" xr:uid="{00000000-0005-0000-0000-000039000000}"/>
    <cellStyle name="Comma 2 2 2 3 3" xfId="859" xr:uid="{00000000-0005-0000-0000-000039000000}"/>
    <cellStyle name="Comma 2 2 2 4" xfId="372" xr:uid="{00000000-0005-0000-0000-00003A000000}"/>
    <cellStyle name="Comma 2 2 2 4 2" xfId="679" xr:uid="{00000000-0005-0000-0000-00003A000000}"/>
    <cellStyle name="Comma 2 2 2 4 2 2" xfId="1107" xr:uid="{00000000-0005-0000-0000-00003A000000}"/>
    <cellStyle name="Comma 2 2 2 4 3" xfId="893" xr:uid="{00000000-0005-0000-0000-00003A000000}"/>
    <cellStyle name="Comma 2 2 2 5" xfId="438" xr:uid="{00000000-0005-0000-0000-00003B000000}"/>
    <cellStyle name="Comma 2 2 2 5 2" xfId="717" xr:uid="{00000000-0005-0000-0000-00003B000000}"/>
    <cellStyle name="Comma 2 2 2 5 2 2" xfId="1145" xr:uid="{00000000-0005-0000-0000-00003B000000}"/>
    <cellStyle name="Comma 2 2 2 5 3" xfId="931" xr:uid="{00000000-0005-0000-0000-00003B000000}"/>
    <cellStyle name="Comma 2 2 2 6" xfId="577" xr:uid="{00000000-0005-0000-0000-000037000000}"/>
    <cellStyle name="Comma 2 2 2 6 2" xfId="1005" xr:uid="{00000000-0005-0000-0000-000037000000}"/>
    <cellStyle name="Comma 2 2 2 7" xfId="270" xr:uid="{00000000-0005-0000-0000-000037000000}"/>
    <cellStyle name="Comma 2 2 2 8" xfId="791" xr:uid="{00000000-0005-0000-0000-000037000000}"/>
    <cellStyle name="Comma 2 2 3" xfId="55" xr:uid="{00000000-0005-0000-0000-000001000000}"/>
    <cellStyle name="Comma 2 2 3 2" xfId="460" xr:uid="{00000000-0005-0000-0000-00003D000000}"/>
    <cellStyle name="Comma 2 2 3 2 2" xfId="736" xr:uid="{00000000-0005-0000-0000-00003D000000}"/>
    <cellStyle name="Comma 2 2 3 2 2 2" xfId="1164" xr:uid="{00000000-0005-0000-0000-00003D000000}"/>
    <cellStyle name="Comma 2 2 3 2 3" xfId="950" xr:uid="{00000000-0005-0000-0000-00003D000000}"/>
    <cellStyle name="Comma 2 2 3 3" xfId="594" xr:uid="{00000000-0005-0000-0000-00003C000000}"/>
    <cellStyle name="Comma 2 2 3 3 2" xfId="1022" xr:uid="{00000000-0005-0000-0000-00003C000000}"/>
    <cellStyle name="Comma 2 2 3 4" xfId="287" xr:uid="{00000000-0005-0000-0000-00003C000000}"/>
    <cellStyle name="Comma 2 2 3 5" xfId="808" xr:uid="{00000000-0005-0000-0000-00003C000000}"/>
    <cellStyle name="Comma 2 2 4" xfId="58" xr:uid="{00000000-0005-0000-0000-000001000000}"/>
    <cellStyle name="Comma 2 2 4 2" xfId="474" xr:uid="{00000000-0005-0000-0000-00003F000000}"/>
    <cellStyle name="Comma 2 2 4 2 2" xfId="746" xr:uid="{00000000-0005-0000-0000-00003F000000}"/>
    <cellStyle name="Comma 2 2 4 2 2 2" xfId="1174" xr:uid="{00000000-0005-0000-0000-00003F000000}"/>
    <cellStyle name="Comma 2 2 4 2 3" xfId="960" xr:uid="{00000000-0005-0000-0000-00003F000000}"/>
    <cellStyle name="Comma 2 2 4 3" xfId="628" xr:uid="{00000000-0005-0000-0000-00003E000000}"/>
    <cellStyle name="Comma 2 2 4 3 2" xfId="1056" xr:uid="{00000000-0005-0000-0000-00003E000000}"/>
    <cellStyle name="Comma 2 2 4 4" xfId="321" xr:uid="{00000000-0005-0000-0000-00003E000000}"/>
    <cellStyle name="Comma 2 2 4 5" xfId="842" xr:uid="{00000000-0005-0000-0000-00003E000000}"/>
    <cellStyle name="Comma 2 2 5" xfId="355" xr:uid="{00000000-0005-0000-0000-000040000000}"/>
    <cellStyle name="Comma 2 2 5 2" xfId="662" xr:uid="{00000000-0005-0000-0000-000040000000}"/>
    <cellStyle name="Comma 2 2 5 2 2" xfId="1090" xr:uid="{00000000-0005-0000-0000-000040000000}"/>
    <cellStyle name="Comma 2 2 5 3" xfId="876" xr:uid="{00000000-0005-0000-0000-000040000000}"/>
    <cellStyle name="Comma 2 2 6" xfId="404" xr:uid="{00000000-0005-0000-0000-000041000000}"/>
    <cellStyle name="Comma 2 2 6 2" xfId="698" xr:uid="{00000000-0005-0000-0000-000041000000}"/>
    <cellStyle name="Comma 2 2 6 2 2" xfId="1126" xr:uid="{00000000-0005-0000-0000-000041000000}"/>
    <cellStyle name="Comma 2 2 6 3" xfId="912" xr:uid="{00000000-0005-0000-0000-000041000000}"/>
    <cellStyle name="Comma 2 2 7" xfId="560" xr:uid="{00000000-0005-0000-0000-000036000000}"/>
    <cellStyle name="Comma 2 2 7 2" xfId="988" xr:uid="{00000000-0005-0000-0000-000036000000}"/>
    <cellStyle name="Comma 2 2 8" xfId="220" xr:uid="{00000000-0005-0000-0000-000036000000}"/>
    <cellStyle name="Comma 2 2 9" xfId="774" xr:uid="{00000000-0005-0000-0000-000036000000}"/>
    <cellStyle name="Comma 2 3" xfId="52" xr:uid="{00000000-0005-0000-0000-000000000000}"/>
    <cellStyle name="Comma 2 3 2" xfId="277" xr:uid="{00000000-0005-0000-0000-000043000000}"/>
    <cellStyle name="Comma 2 3 2 2" xfId="311" xr:uid="{00000000-0005-0000-0000-000044000000}"/>
    <cellStyle name="Comma 2 3 2 2 2" xfId="518" xr:uid="{00000000-0005-0000-0000-000045000000}"/>
    <cellStyle name="Comma 2 3 2 2 2 2" xfId="762" xr:uid="{00000000-0005-0000-0000-000045000000}"/>
    <cellStyle name="Comma 2 3 2 2 2 2 2" xfId="1190" xr:uid="{00000000-0005-0000-0000-000045000000}"/>
    <cellStyle name="Comma 2 3 2 2 2 3" xfId="976" xr:uid="{00000000-0005-0000-0000-000045000000}"/>
    <cellStyle name="Comma 2 3 2 2 3" xfId="618" xr:uid="{00000000-0005-0000-0000-000044000000}"/>
    <cellStyle name="Comma 2 3 2 2 3 2" xfId="1046" xr:uid="{00000000-0005-0000-0000-000044000000}"/>
    <cellStyle name="Comma 2 3 2 2 4" xfId="832" xr:uid="{00000000-0005-0000-0000-000044000000}"/>
    <cellStyle name="Comma 2 3 2 3" xfId="345" xr:uid="{00000000-0005-0000-0000-000046000000}"/>
    <cellStyle name="Comma 2 3 2 3 2" xfId="652" xr:uid="{00000000-0005-0000-0000-000046000000}"/>
    <cellStyle name="Comma 2 3 2 3 2 2" xfId="1080" xr:uid="{00000000-0005-0000-0000-000046000000}"/>
    <cellStyle name="Comma 2 3 2 3 3" xfId="866" xr:uid="{00000000-0005-0000-0000-000046000000}"/>
    <cellStyle name="Comma 2 3 2 4" xfId="379" xr:uid="{00000000-0005-0000-0000-000047000000}"/>
    <cellStyle name="Comma 2 3 2 4 2" xfId="686" xr:uid="{00000000-0005-0000-0000-000047000000}"/>
    <cellStyle name="Comma 2 3 2 4 2 2" xfId="1114" xr:uid="{00000000-0005-0000-0000-000047000000}"/>
    <cellStyle name="Comma 2 3 2 4 3" xfId="900" xr:uid="{00000000-0005-0000-0000-000047000000}"/>
    <cellStyle name="Comma 2 3 2 5" xfId="431" xr:uid="{00000000-0005-0000-0000-000048000000}"/>
    <cellStyle name="Comma 2 3 2 5 2" xfId="710" xr:uid="{00000000-0005-0000-0000-000048000000}"/>
    <cellStyle name="Comma 2 3 2 5 2 2" xfId="1138" xr:uid="{00000000-0005-0000-0000-000048000000}"/>
    <cellStyle name="Comma 2 3 2 5 3" xfId="924" xr:uid="{00000000-0005-0000-0000-000048000000}"/>
    <cellStyle name="Comma 2 3 2 6" xfId="584" xr:uid="{00000000-0005-0000-0000-000043000000}"/>
    <cellStyle name="Comma 2 3 2 6 2" xfId="1012" xr:uid="{00000000-0005-0000-0000-000043000000}"/>
    <cellStyle name="Comma 2 3 2 7" xfId="798" xr:uid="{00000000-0005-0000-0000-000043000000}"/>
    <cellStyle name="Comma 2 3 3" xfId="294" xr:uid="{00000000-0005-0000-0000-000049000000}"/>
    <cellStyle name="Comma 2 3 3 2" xfId="453" xr:uid="{00000000-0005-0000-0000-00004A000000}"/>
    <cellStyle name="Comma 2 3 3 2 2" xfId="729" xr:uid="{00000000-0005-0000-0000-00004A000000}"/>
    <cellStyle name="Comma 2 3 3 2 2 2" xfId="1157" xr:uid="{00000000-0005-0000-0000-00004A000000}"/>
    <cellStyle name="Comma 2 3 3 2 3" xfId="943" xr:uid="{00000000-0005-0000-0000-00004A000000}"/>
    <cellStyle name="Comma 2 3 3 3" xfId="601" xr:uid="{00000000-0005-0000-0000-000049000000}"/>
    <cellStyle name="Comma 2 3 3 3 2" xfId="1029" xr:uid="{00000000-0005-0000-0000-000049000000}"/>
    <cellStyle name="Comma 2 3 3 4" xfId="815" xr:uid="{00000000-0005-0000-0000-000049000000}"/>
    <cellStyle name="Comma 2 3 4" xfId="328" xr:uid="{00000000-0005-0000-0000-00004B000000}"/>
    <cellStyle name="Comma 2 3 4 2" xfId="475" xr:uid="{00000000-0005-0000-0000-00004C000000}"/>
    <cellStyle name="Comma 2 3 4 2 2" xfId="747" xr:uid="{00000000-0005-0000-0000-00004C000000}"/>
    <cellStyle name="Comma 2 3 4 2 2 2" xfId="1175" xr:uid="{00000000-0005-0000-0000-00004C000000}"/>
    <cellStyle name="Comma 2 3 4 2 3" xfId="961" xr:uid="{00000000-0005-0000-0000-00004C000000}"/>
    <cellStyle name="Comma 2 3 4 3" xfId="635" xr:uid="{00000000-0005-0000-0000-00004B000000}"/>
    <cellStyle name="Comma 2 3 4 3 2" xfId="1063" xr:uid="{00000000-0005-0000-0000-00004B000000}"/>
    <cellStyle name="Comma 2 3 4 4" xfId="849" xr:uid="{00000000-0005-0000-0000-00004B000000}"/>
    <cellStyle name="Comma 2 3 5" xfId="362" xr:uid="{00000000-0005-0000-0000-00004D000000}"/>
    <cellStyle name="Comma 2 3 5 2" xfId="669" xr:uid="{00000000-0005-0000-0000-00004D000000}"/>
    <cellStyle name="Comma 2 3 5 2 2" xfId="1097" xr:uid="{00000000-0005-0000-0000-00004D000000}"/>
    <cellStyle name="Comma 2 3 5 3" xfId="883" xr:uid="{00000000-0005-0000-0000-00004D000000}"/>
    <cellStyle name="Comma 2 3 6" xfId="385" xr:uid="{00000000-0005-0000-0000-00004E000000}"/>
    <cellStyle name="Comma 2 3 6 2" xfId="691" xr:uid="{00000000-0005-0000-0000-00004E000000}"/>
    <cellStyle name="Comma 2 3 6 2 2" xfId="1119" xr:uid="{00000000-0005-0000-0000-00004E000000}"/>
    <cellStyle name="Comma 2 3 6 3" xfId="905" xr:uid="{00000000-0005-0000-0000-00004E000000}"/>
    <cellStyle name="Comma 2 3 7" xfId="567" xr:uid="{00000000-0005-0000-0000-000042000000}"/>
    <cellStyle name="Comma 2 3 7 2" xfId="995" xr:uid="{00000000-0005-0000-0000-000042000000}"/>
    <cellStyle name="Comma 2 3 8" xfId="247" xr:uid="{00000000-0005-0000-0000-000042000000}"/>
    <cellStyle name="Comma 2 3 9" xfId="781" xr:uid="{00000000-0005-0000-0000-000042000000}"/>
    <cellStyle name="Comma 2 4" xfId="54" xr:uid="{00000000-0005-0000-0000-000000000000}"/>
    <cellStyle name="Comma 2 4 2" xfId="297" xr:uid="{00000000-0005-0000-0000-000050000000}"/>
    <cellStyle name="Comma 2 4 2 2" xfId="446" xr:uid="{00000000-0005-0000-0000-000051000000}"/>
    <cellStyle name="Comma 2 4 2 2 2" xfId="725" xr:uid="{00000000-0005-0000-0000-000051000000}"/>
    <cellStyle name="Comma 2 4 2 2 2 2" xfId="1153" xr:uid="{00000000-0005-0000-0000-000051000000}"/>
    <cellStyle name="Comma 2 4 2 2 3" xfId="939" xr:uid="{00000000-0005-0000-0000-000051000000}"/>
    <cellStyle name="Comma 2 4 2 3" xfId="604" xr:uid="{00000000-0005-0000-0000-000050000000}"/>
    <cellStyle name="Comma 2 4 2 3 2" xfId="1032" xr:uid="{00000000-0005-0000-0000-000050000000}"/>
    <cellStyle name="Comma 2 4 2 4" xfId="818" xr:uid="{00000000-0005-0000-0000-000050000000}"/>
    <cellStyle name="Comma 2 4 3" xfId="331" xr:uid="{00000000-0005-0000-0000-000052000000}"/>
    <cellStyle name="Comma 2 4 3 2" xfId="468" xr:uid="{00000000-0005-0000-0000-000053000000}"/>
    <cellStyle name="Comma 2 4 3 2 2" xfId="744" xr:uid="{00000000-0005-0000-0000-000053000000}"/>
    <cellStyle name="Comma 2 4 3 2 2 2" xfId="1172" xr:uid="{00000000-0005-0000-0000-000053000000}"/>
    <cellStyle name="Comma 2 4 3 2 3" xfId="958" xr:uid="{00000000-0005-0000-0000-000053000000}"/>
    <cellStyle name="Comma 2 4 3 3" xfId="638" xr:uid="{00000000-0005-0000-0000-000052000000}"/>
    <cellStyle name="Comma 2 4 3 3 2" xfId="1066" xr:uid="{00000000-0005-0000-0000-000052000000}"/>
    <cellStyle name="Comma 2 4 3 4" xfId="852" xr:uid="{00000000-0005-0000-0000-000052000000}"/>
    <cellStyle name="Comma 2 4 4" xfId="365" xr:uid="{00000000-0005-0000-0000-000054000000}"/>
    <cellStyle name="Comma 2 4 4 2" xfId="672" xr:uid="{00000000-0005-0000-0000-000054000000}"/>
    <cellStyle name="Comma 2 4 4 2 2" xfId="1100" xr:uid="{00000000-0005-0000-0000-000054000000}"/>
    <cellStyle name="Comma 2 4 4 3" xfId="886" xr:uid="{00000000-0005-0000-0000-000054000000}"/>
    <cellStyle name="Comma 2 4 5" xfId="415" xr:uid="{00000000-0005-0000-0000-000055000000}"/>
    <cellStyle name="Comma 2 4 5 2" xfId="706" xr:uid="{00000000-0005-0000-0000-000055000000}"/>
    <cellStyle name="Comma 2 4 5 2 2" xfId="1134" xr:uid="{00000000-0005-0000-0000-000055000000}"/>
    <cellStyle name="Comma 2 4 5 3" xfId="920" xr:uid="{00000000-0005-0000-0000-000055000000}"/>
    <cellStyle name="Comma 2 4 6" xfId="570" xr:uid="{00000000-0005-0000-0000-00004F000000}"/>
    <cellStyle name="Comma 2 4 6 2" xfId="998" xr:uid="{00000000-0005-0000-0000-00004F000000}"/>
    <cellStyle name="Comma 2 4 7" xfId="263" xr:uid="{00000000-0005-0000-0000-00004F000000}"/>
    <cellStyle name="Comma 2 4 8" xfId="784" xr:uid="{00000000-0005-0000-0000-00004F000000}"/>
    <cellStyle name="Comma 2 5" xfId="56" xr:uid="{00000000-0005-0000-0000-000000000000}"/>
    <cellStyle name="Comma 2 5 2" xfId="428" xr:uid="{00000000-0005-0000-0000-000057000000}"/>
    <cellStyle name="Comma 2 5 2 2" xfId="707" xr:uid="{00000000-0005-0000-0000-000057000000}"/>
    <cellStyle name="Comma 2 5 2 2 2" xfId="1135" xr:uid="{00000000-0005-0000-0000-000057000000}"/>
    <cellStyle name="Comma 2 5 2 3" xfId="921" xr:uid="{00000000-0005-0000-0000-000057000000}"/>
    <cellStyle name="Comma 2 5 3" xfId="587" xr:uid="{00000000-0005-0000-0000-000056000000}"/>
    <cellStyle name="Comma 2 5 3 2" xfId="1015" xr:uid="{00000000-0005-0000-0000-000056000000}"/>
    <cellStyle name="Comma 2 5 4" xfId="280" xr:uid="{00000000-0005-0000-0000-000056000000}"/>
    <cellStyle name="Comma 2 5 5" xfId="801" xr:uid="{00000000-0005-0000-0000-000056000000}"/>
    <cellStyle name="Comma 2 6" xfId="314" xr:uid="{00000000-0005-0000-0000-000058000000}"/>
    <cellStyle name="Comma 2 6 2" xfId="450" xr:uid="{00000000-0005-0000-0000-000059000000}"/>
    <cellStyle name="Comma 2 6 2 2" xfId="726" xr:uid="{00000000-0005-0000-0000-000059000000}"/>
    <cellStyle name="Comma 2 6 2 2 2" xfId="1154" xr:uid="{00000000-0005-0000-0000-000059000000}"/>
    <cellStyle name="Comma 2 6 2 3" xfId="940" xr:uid="{00000000-0005-0000-0000-000059000000}"/>
    <cellStyle name="Comma 2 6 3" xfId="621" xr:uid="{00000000-0005-0000-0000-000058000000}"/>
    <cellStyle name="Comma 2 6 3 2" xfId="1049" xr:uid="{00000000-0005-0000-0000-000058000000}"/>
    <cellStyle name="Comma 2 6 4" xfId="835" xr:uid="{00000000-0005-0000-0000-000058000000}"/>
    <cellStyle name="Comma 2 7" xfId="348" xr:uid="{00000000-0005-0000-0000-00005A000000}"/>
    <cellStyle name="Comma 2 7 2" xfId="473" xr:uid="{00000000-0005-0000-0000-00005B000000}"/>
    <cellStyle name="Comma 2 7 2 2" xfId="745" xr:uid="{00000000-0005-0000-0000-00005B000000}"/>
    <cellStyle name="Comma 2 7 2 2 2" xfId="1173" xr:uid="{00000000-0005-0000-0000-00005B000000}"/>
    <cellStyle name="Comma 2 7 2 3" xfId="959" xr:uid="{00000000-0005-0000-0000-00005B000000}"/>
    <cellStyle name="Comma 2 7 3" xfId="655" xr:uid="{00000000-0005-0000-0000-00005A000000}"/>
    <cellStyle name="Comma 2 7 3 2" xfId="1083" xr:uid="{00000000-0005-0000-0000-00005A000000}"/>
    <cellStyle name="Comma 2 7 4" xfId="869" xr:uid="{00000000-0005-0000-0000-00005A000000}"/>
    <cellStyle name="Comma 2 8" xfId="539" xr:uid="{00000000-0005-0000-0000-00005C000000}"/>
    <cellStyle name="Comma 2 8 2" xfId="765" xr:uid="{00000000-0005-0000-0000-00005C000000}"/>
    <cellStyle name="Comma 2 8 2 2" xfId="1193" xr:uid="{00000000-0005-0000-0000-00005C000000}"/>
    <cellStyle name="Comma 2 8 3" xfId="979" xr:uid="{00000000-0005-0000-0000-00005C000000}"/>
    <cellStyle name="Comma 2 9" xfId="382" xr:uid="{00000000-0005-0000-0000-00005D000000}"/>
    <cellStyle name="Comma 2 9 2" xfId="688" xr:uid="{00000000-0005-0000-0000-00005D000000}"/>
    <cellStyle name="Comma 2 9 2 2" xfId="1116" xr:uid="{00000000-0005-0000-0000-00005D000000}"/>
    <cellStyle name="Comma 2 9 3" xfId="902" xr:uid="{00000000-0005-0000-0000-00005D000000}"/>
    <cellStyle name="Comma 3" xfId="114" xr:uid="{00000000-0005-0000-0000-00005E000000}"/>
    <cellStyle name="Comma 3 2" xfId="221" xr:uid="{00000000-0005-0000-0000-00005F000000}"/>
    <cellStyle name="Comma 3 2 2" xfId="271" xr:uid="{00000000-0005-0000-0000-000060000000}"/>
    <cellStyle name="Comma 3 2 2 2" xfId="305" xr:uid="{00000000-0005-0000-0000-000061000000}"/>
    <cellStyle name="Comma 3 2 2 2 2" xfId="612" xr:uid="{00000000-0005-0000-0000-000061000000}"/>
    <cellStyle name="Comma 3 2 2 2 2 2" xfId="1040" xr:uid="{00000000-0005-0000-0000-000061000000}"/>
    <cellStyle name="Comma 3 2 2 2 3" xfId="826" xr:uid="{00000000-0005-0000-0000-000061000000}"/>
    <cellStyle name="Comma 3 2 2 3" xfId="339" xr:uid="{00000000-0005-0000-0000-000062000000}"/>
    <cellStyle name="Comma 3 2 2 3 2" xfId="646" xr:uid="{00000000-0005-0000-0000-000062000000}"/>
    <cellStyle name="Comma 3 2 2 3 2 2" xfId="1074" xr:uid="{00000000-0005-0000-0000-000062000000}"/>
    <cellStyle name="Comma 3 2 2 3 3" xfId="860" xr:uid="{00000000-0005-0000-0000-000062000000}"/>
    <cellStyle name="Comma 3 2 2 4" xfId="373" xr:uid="{00000000-0005-0000-0000-000063000000}"/>
    <cellStyle name="Comma 3 2 2 4 2" xfId="680" xr:uid="{00000000-0005-0000-0000-000063000000}"/>
    <cellStyle name="Comma 3 2 2 4 2 2" xfId="1108" xr:uid="{00000000-0005-0000-0000-000063000000}"/>
    <cellStyle name="Comma 3 2 2 4 3" xfId="894" xr:uid="{00000000-0005-0000-0000-000063000000}"/>
    <cellStyle name="Comma 3 2 2 5" xfId="439" xr:uid="{00000000-0005-0000-0000-000064000000}"/>
    <cellStyle name="Comma 3 2 2 5 2" xfId="718" xr:uid="{00000000-0005-0000-0000-000064000000}"/>
    <cellStyle name="Comma 3 2 2 5 2 2" xfId="1146" xr:uid="{00000000-0005-0000-0000-000064000000}"/>
    <cellStyle name="Comma 3 2 2 5 3" xfId="932" xr:uid="{00000000-0005-0000-0000-000064000000}"/>
    <cellStyle name="Comma 3 2 2 6" xfId="578" xr:uid="{00000000-0005-0000-0000-000060000000}"/>
    <cellStyle name="Comma 3 2 2 6 2" xfId="1006" xr:uid="{00000000-0005-0000-0000-000060000000}"/>
    <cellStyle name="Comma 3 2 2 7" xfId="792" xr:uid="{00000000-0005-0000-0000-000060000000}"/>
    <cellStyle name="Comma 3 2 3" xfId="288" xr:uid="{00000000-0005-0000-0000-000065000000}"/>
    <cellStyle name="Comma 3 2 3 2" xfId="461" xr:uid="{00000000-0005-0000-0000-000066000000}"/>
    <cellStyle name="Comma 3 2 3 2 2" xfId="737" xr:uid="{00000000-0005-0000-0000-000066000000}"/>
    <cellStyle name="Comma 3 2 3 2 2 2" xfId="1165" xr:uid="{00000000-0005-0000-0000-000066000000}"/>
    <cellStyle name="Comma 3 2 3 2 3" xfId="951" xr:uid="{00000000-0005-0000-0000-000066000000}"/>
    <cellStyle name="Comma 3 2 3 3" xfId="595" xr:uid="{00000000-0005-0000-0000-000065000000}"/>
    <cellStyle name="Comma 3 2 3 3 2" xfId="1023" xr:uid="{00000000-0005-0000-0000-000065000000}"/>
    <cellStyle name="Comma 3 2 3 4" xfId="809" xr:uid="{00000000-0005-0000-0000-000065000000}"/>
    <cellStyle name="Comma 3 2 4" xfId="322" xr:uid="{00000000-0005-0000-0000-000067000000}"/>
    <cellStyle name="Comma 3 2 4 2" xfId="477" xr:uid="{00000000-0005-0000-0000-000068000000}"/>
    <cellStyle name="Comma 3 2 4 2 2" xfId="749" xr:uid="{00000000-0005-0000-0000-000068000000}"/>
    <cellStyle name="Comma 3 2 4 2 2 2" xfId="1177" xr:uid="{00000000-0005-0000-0000-000068000000}"/>
    <cellStyle name="Comma 3 2 4 2 3" xfId="963" xr:uid="{00000000-0005-0000-0000-000068000000}"/>
    <cellStyle name="Comma 3 2 4 3" xfId="629" xr:uid="{00000000-0005-0000-0000-000067000000}"/>
    <cellStyle name="Comma 3 2 4 3 2" xfId="1057" xr:uid="{00000000-0005-0000-0000-000067000000}"/>
    <cellStyle name="Comma 3 2 4 4" xfId="843" xr:uid="{00000000-0005-0000-0000-000067000000}"/>
    <cellStyle name="Comma 3 2 5" xfId="356" xr:uid="{00000000-0005-0000-0000-000069000000}"/>
    <cellStyle name="Comma 3 2 5 2" xfId="663" xr:uid="{00000000-0005-0000-0000-000069000000}"/>
    <cellStyle name="Comma 3 2 5 2 2" xfId="1091" xr:uid="{00000000-0005-0000-0000-000069000000}"/>
    <cellStyle name="Comma 3 2 5 3" xfId="877" xr:uid="{00000000-0005-0000-0000-000069000000}"/>
    <cellStyle name="Comma 3 2 6" xfId="405" xr:uid="{00000000-0005-0000-0000-00006A000000}"/>
    <cellStyle name="Comma 3 2 6 2" xfId="699" xr:uid="{00000000-0005-0000-0000-00006A000000}"/>
    <cellStyle name="Comma 3 2 6 2 2" xfId="1127" xr:uid="{00000000-0005-0000-0000-00006A000000}"/>
    <cellStyle name="Comma 3 2 6 3" xfId="913" xr:uid="{00000000-0005-0000-0000-00006A000000}"/>
    <cellStyle name="Comma 3 2 7" xfId="561" xr:uid="{00000000-0005-0000-0000-00005F000000}"/>
    <cellStyle name="Comma 3 2 7 2" xfId="989" xr:uid="{00000000-0005-0000-0000-00005F000000}"/>
    <cellStyle name="Comma 3 2 8" xfId="775" xr:uid="{00000000-0005-0000-0000-00005F000000}"/>
    <cellStyle name="Comma 3 3" xfId="264" xr:uid="{00000000-0005-0000-0000-00006B000000}"/>
    <cellStyle name="Comma 3 3 2" xfId="298" xr:uid="{00000000-0005-0000-0000-00006C000000}"/>
    <cellStyle name="Comma 3 3 2 2" xfId="432" xr:uid="{00000000-0005-0000-0000-00006D000000}"/>
    <cellStyle name="Comma 3 3 2 2 2" xfId="711" xr:uid="{00000000-0005-0000-0000-00006D000000}"/>
    <cellStyle name="Comma 3 3 2 2 2 2" xfId="1139" xr:uid="{00000000-0005-0000-0000-00006D000000}"/>
    <cellStyle name="Comma 3 3 2 2 3" xfId="925" xr:uid="{00000000-0005-0000-0000-00006D000000}"/>
    <cellStyle name="Comma 3 3 2 3" xfId="605" xr:uid="{00000000-0005-0000-0000-00006C000000}"/>
    <cellStyle name="Comma 3 3 2 3 2" xfId="1033" xr:uid="{00000000-0005-0000-0000-00006C000000}"/>
    <cellStyle name="Comma 3 3 2 4" xfId="819" xr:uid="{00000000-0005-0000-0000-00006C000000}"/>
    <cellStyle name="Comma 3 3 3" xfId="332" xr:uid="{00000000-0005-0000-0000-00006E000000}"/>
    <cellStyle name="Comma 3 3 3 2" xfId="454" xr:uid="{00000000-0005-0000-0000-00006F000000}"/>
    <cellStyle name="Comma 3 3 3 2 2" xfId="730" xr:uid="{00000000-0005-0000-0000-00006F000000}"/>
    <cellStyle name="Comma 3 3 3 2 2 2" xfId="1158" xr:uid="{00000000-0005-0000-0000-00006F000000}"/>
    <cellStyle name="Comma 3 3 3 2 3" xfId="944" xr:uid="{00000000-0005-0000-0000-00006F000000}"/>
    <cellStyle name="Comma 3 3 3 3" xfId="639" xr:uid="{00000000-0005-0000-0000-00006E000000}"/>
    <cellStyle name="Comma 3 3 3 3 2" xfId="1067" xr:uid="{00000000-0005-0000-0000-00006E000000}"/>
    <cellStyle name="Comma 3 3 3 4" xfId="853" xr:uid="{00000000-0005-0000-0000-00006E000000}"/>
    <cellStyle name="Comma 3 3 4" xfId="366" xr:uid="{00000000-0005-0000-0000-000070000000}"/>
    <cellStyle name="Comma 3 3 4 2" xfId="673" xr:uid="{00000000-0005-0000-0000-000070000000}"/>
    <cellStyle name="Comma 3 3 4 2 2" xfId="1101" xr:uid="{00000000-0005-0000-0000-000070000000}"/>
    <cellStyle name="Comma 3 3 4 3" xfId="887" xr:uid="{00000000-0005-0000-0000-000070000000}"/>
    <cellStyle name="Comma 3 3 5" xfId="386" xr:uid="{00000000-0005-0000-0000-000071000000}"/>
    <cellStyle name="Comma 3 3 5 2" xfId="692" xr:uid="{00000000-0005-0000-0000-000071000000}"/>
    <cellStyle name="Comma 3 3 5 2 2" xfId="1120" xr:uid="{00000000-0005-0000-0000-000071000000}"/>
    <cellStyle name="Comma 3 3 5 3" xfId="906" xr:uid="{00000000-0005-0000-0000-000071000000}"/>
    <cellStyle name="Comma 3 3 6" xfId="571" xr:uid="{00000000-0005-0000-0000-00006B000000}"/>
    <cellStyle name="Comma 3 3 6 2" xfId="999" xr:uid="{00000000-0005-0000-0000-00006B000000}"/>
    <cellStyle name="Comma 3 3 7" xfId="785" xr:uid="{00000000-0005-0000-0000-00006B000000}"/>
    <cellStyle name="Comma 3 4" xfId="281" xr:uid="{00000000-0005-0000-0000-000072000000}"/>
    <cellStyle name="Comma 3 4 2" xfId="429" xr:uid="{00000000-0005-0000-0000-000073000000}"/>
    <cellStyle name="Comma 3 4 2 2" xfId="708" xr:uid="{00000000-0005-0000-0000-000073000000}"/>
    <cellStyle name="Comma 3 4 2 2 2" xfId="1136" xr:uid="{00000000-0005-0000-0000-000073000000}"/>
    <cellStyle name="Comma 3 4 2 3" xfId="922" xr:uid="{00000000-0005-0000-0000-000073000000}"/>
    <cellStyle name="Comma 3 4 3" xfId="588" xr:uid="{00000000-0005-0000-0000-000072000000}"/>
    <cellStyle name="Comma 3 4 3 2" xfId="1016" xr:uid="{00000000-0005-0000-0000-000072000000}"/>
    <cellStyle name="Comma 3 4 4" xfId="802" xr:uid="{00000000-0005-0000-0000-000072000000}"/>
    <cellStyle name="Comma 3 5" xfId="315" xr:uid="{00000000-0005-0000-0000-000074000000}"/>
    <cellStyle name="Comma 3 5 2" xfId="451" xr:uid="{00000000-0005-0000-0000-000075000000}"/>
    <cellStyle name="Comma 3 5 2 2" xfId="727" xr:uid="{00000000-0005-0000-0000-000075000000}"/>
    <cellStyle name="Comma 3 5 2 2 2" xfId="1155" xr:uid="{00000000-0005-0000-0000-000075000000}"/>
    <cellStyle name="Comma 3 5 2 3" xfId="941" xr:uid="{00000000-0005-0000-0000-000075000000}"/>
    <cellStyle name="Comma 3 5 3" xfId="622" xr:uid="{00000000-0005-0000-0000-000074000000}"/>
    <cellStyle name="Comma 3 5 3 2" xfId="1050" xr:uid="{00000000-0005-0000-0000-000074000000}"/>
    <cellStyle name="Comma 3 5 4" xfId="836" xr:uid="{00000000-0005-0000-0000-000074000000}"/>
    <cellStyle name="Comma 3 6" xfId="349" xr:uid="{00000000-0005-0000-0000-000076000000}"/>
    <cellStyle name="Comma 3 6 2" xfId="476" xr:uid="{00000000-0005-0000-0000-000077000000}"/>
    <cellStyle name="Comma 3 6 2 2" xfId="748" xr:uid="{00000000-0005-0000-0000-000077000000}"/>
    <cellStyle name="Comma 3 6 2 2 2" xfId="1176" xr:uid="{00000000-0005-0000-0000-000077000000}"/>
    <cellStyle name="Comma 3 6 2 3" xfId="962" xr:uid="{00000000-0005-0000-0000-000077000000}"/>
    <cellStyle name="Comma 3 6 3" xfId="656" xr:uid="{00000000-0005-0000-0000-000076000000}"/>
    <cellStyle name="Comma 3 6 3 2" xfId="1084" xr:uid="{00000000-0005-0000-0000-000076000000}"/>
    <cellStyle name="Comma 3 6 4" xfId="870" xr:uid="{00000000-0005-0000-0000-000076000000}"/>
    <cellStyle name="Comma 3 7" xfId="383" xr:uid="{00000000-0005-0000-0000-000078000000}"/>
    <cellStyle name="Comma 3 7 2" xfId="689" xr:uid="{00000000-0005-0000-0000-000078000000}"/>
    <cellStyle name="Comma 3 7 2 2" xfId="1117" xr:uid="{00000000-0005-0000-0000-000078000000}"/>
    <cellStyle name="Comma 3 7 3" xfId="903" xr:uid="{00000000-0005-0000-0000-000078000000}"/>
    <cellStyle name="Comma 3 8" xfId="554" xr:uid="{00000000-0005-0000-0000-00005E000000}"/>
    <cellStyle name="Comma 3 8 2" xfId="982" xr:uid="{00000000-0005-0000-0000-00005E000000}"/>
    <cellStyle name="Comma 3 9" xfId="768" xr:uid="{00000000-0005-0000-0000-00005E000000}"/>
    <cellStyle name="Comma 4" xfId="115" xr:uid="{00000000-0005-0000-0000-000079000000}"/>
    <cellStyle name="Comma 4 10" xfId="769" xr:uid="{00000000-0005-0000-0000-000079000000}"/>
    <cellStyle name="Comma 4 2" xfId="116" xr:uid="{00000000-0005-0000-0000-00007A000000}"/>
    <cellStyle name="Comma 4 2 2" xfId="223" xr:uid="{00000000-0005-0000-0000-00007B000000}"/>
    <cellStyle name="Comma 4 2 2 2" xfId="273" xr:uid="{00000000-0005-0000-0000-00007C000000}"/>
    <cellStyle name="Comma 4 2 2 2 2" xfId="307" xr:uid="{00000000-0005-0000-0000-00007D000000}"/>
    <cellStyle name="Comma 4 2 2 2 2 2" xfId="614" xr:uid="{00000000-0005-0000-0000-00007D000000}"/>
    <cellStyle name="Comma 4 2 2 2 2 2 2" xfId="1042" xr:uid="{00000000-0005-0000-0000-00007D000000}"/>
    <cellStyle name="Comma 4 2 2 2 2 3" xfId="828" xr:uid="{00000000-0005-0000-0000-00007D000000}"/>
    <cellStyle name="Comma 4 2 2 2 3" xfId="341" xr:uid="{00000000-0005-0000-0000-00007E000000}"/>
    <cellStyle name="Comma 4 2 2 2 3 2" xfId="648" xr:uid="{00000000-0005-0000-0000-00007E000000}"/>
    <cellStyle name="Comma 4 2 2 2 3 2 2" xfId="1076" xr:uid="{00000000-0005-0000-0000-00007E000000}"/>
    <cellStyle name="Comma 4 2 2 2 3 3" xfId="862" xr:uid="{00000000-0005-0000-0000-00007E000000}"/>
    <cellStyle name="Comma 4 2 2 2 4" xfId="375" xr:uid="{00000000-0005-0000-0000-00007F000000}"/>
    <cellStyle name="Comma 4 2 2 2 4 2" xfId="682" xr:uid="{00000000-0005-0000-0000-00007F000000}"/>
    <cellStyle name="Comma 4 2 2 2 4 2 2" xfId="1110" xr:uid="{00000000-0005-0000-0000-00007F000000}"/>
    <cellStyle name="Comma 4 2 2 2 4 3" xfId="896" xr:uid="{00000000-0005-0000-0000-00007F000000}"/>
    <cellStyle name="Comma 4 2 2 2 5" xfId="441" xr:uid="{00000000-0005-0000-0000-000080000000}"/>
    <cellStyle name="Comma 4 2 2 2 5 2" xfId="720" xr:uid="{00000000-0005-0000-0000-000080000000}"/>
    <cellStyle name="Comma 4 2 2 2 5 2 2" xfId="1148" xr:uid="{00000000-0005-0000-0000-000080000000}"/>
    <cellStyle name="Comma 4 2 2 2 5 3" xfId="934" xr:uid="{00000000-0005-0000-0000-000080000000}"/>
    <cellStyle name="Comma 4 2 2 2 6" xfId="580" xr:uid="{00000000-0005-0000-0000-00007C000000}"/>
    <cellStyle name="Comma 4 2 2 2 6 2" xfId="1008" xr:uid="{00000000-0005-0000-0000-00007C000000}"/>
    <cellStyle name="Comma 4 2 2 2 7" xfId="794" xr:uid="{00000000-0005-0000-0000-00007C000000}"/>
    <cellStyle name="Comma 4 2 2 3" xfId="290" xr:uid="{00000000-0005-0000-0000-000081000000}"/>
    <cellStyle name="Comma 4 2 2 3 2" xfId="463" xr:uid="{00000000-0005-0000-0000-000082000000}"/>
    <cellStyle name="Comma 4 2 2 3 2 2" xfId="739" xr:uid="{00000000-0005-0000-0000-000082000000}"/>
    <cellStyle name="Comma 4 2 2 3 2 2 2" xfId="1167" xr:uid="{00000000-0005-0000-0000-000082000000}"/>
    <cellStyle name="Comma 4 2 2 3 2 3" xfId="953" xr:uid="{00000000-0005-0000-0000-000082000000}"/>
    <cellStyle name="Comma 4 2 2 3 3" xfId="597" xr:uid="{00000000-0005-0000-0000-000081000000}"/>
    <cellStyle name="Comma 4 2 2 3 3 2" xfId="1025" xr:uid="{00000000-0005-0000-0000-000081000000}"/>
    <cellStyle name="Comma 4 2 2 3 4" xfId="811" xr:uid="{00000000-0005-0000-0000-000081000000}"/>
    <cellStyle name="Comma 4 2 2 4" xfId="324" xr:uid="{00000000-0005-0000-0000-000083000000}"/>
    <cellStyle name="Comma 4 2 2 4 2" xfId="480" xr:uid="{00000000-0005-0000-0000-000084000000}"/>
    <cellStyle name="Comma 4 2 2 4 2 2" xfId="752" xr:uid="{00000000-0005-0000-0000-000084000000}"/>
    <cellStyle name="Comma 4 2 2 4 2 2 2" xfId="1180" xr:uid="{00000000-0005-0000-0000-000084000000}"/>
    <cellStyle name="Comma 4 2 2 4 2 3" xfId="966" xr:uid="{00000000-0005-0000-0000-000084000000}"/>
    <cellStyle name="Comma 4 2 2 4 3" xfId="631" xr:uid="{00000000-0005-0000-0000-000083000000}"/>
    <cellStyle name="Comma 4 2 2 4 3 2" xfId="1059" xr:uid="{00000000-0005-0000-0000-000083000000}"/>
    <cellStyle name="Comma 4 2 2 4 4" xfId="845" xr:uid="{00000000-0005-0000-0000-000083000000}"/>
    <cellStyle name="Comma 4 2 2 5" xfId="358" xr:uid="{00000000-0005-0000-0000-000085000000}"/>
    <cellStyle name="Comma 4 2 2 5 2" xfId="665" xr:uid="{00000000-0005-0000-0000-000085000000}"/>
    <cellStyle name="Comma 4 2 2 5 2 2" xfId="1093" xr:uid="{00000000-0005-0000-0000-000085000000}"/>
    <cellStyle name="Comma 4 2 2 5 3" xfId="879" xr:uid="{00000000-0005-0000-0000-000085000000}"/>
    <cellStyle name="Comma 4 2 2 6" xfId="407" xr:uid="{00000000-0005-0000-0000-000086000000}"/>
    <cellStyle name="Comma 4 2 2 6 2" xfId="701" xr:uid="{00000000-0005-0000-0000-000086000000}"/>
    <cellStyle name="Comma 4 2 2 6 2 2" xfId="1129" xr:uid="{00000000-0005-0000-0000-000086000000}"/>
    <cellStyle name="Comma 4 2 2 6 3" xfId="915" xr:uid="{00000000-0005-0000-0000-000086000000}"/>
    <cellStyle name="Comma 4 2 2 7" xfId="563" xr:uid="{00000000-0005-0000-0000-00007B000000}"/>
    <cellStyle name="Comma 4 2 2 7 2" xfId="991" xr:uid="{00000000-0005-0000-0000-00007B000000}"/>
    <cellStyle name="Comma 4 2 2 8" xfId="777" xr:uid="{00000000-0005-0000-0000-00007B000000}"/>
    <cellStyle name="Comma 4 2 3" xfId="266" xr:uid="{00000000-0005-0000-0000-000087000000}"/>
    <cellStyle name="Comma 4 2 3 2" xfId="300" xr:uid="{00000000-0005-0000-0000-000088000000}"/>
    <cellStyle name="Comma 4 2 3 2 2" xfId="607" xr:uid="{00000000-0005-0000-0000-000088000000}"/>
    <cellStyle name="Comma 4 2 3 2 2 2" xfId="1035" xr:uid="{00000000-0005-0000-0000-000088000000}"/>
    <cellStyle name="Comma 4 2 3 2 3" xfId="821" xr:uid="{00000000-0005-0000-0000-000088000000}"/>
    <cellStyle name="Comma 4 2 3 3" xfId="334" xr:uid="{00000000-0005-0000-0000-000089000000}"/>
    <cellStyle name="Comma 4 2 3 3 2" xfId="641" xr:uid="{00000000-0005-0000-0000-000089000000}"/>
    <cellStyle name="Comma 4 2 3 3 2 2" xfId="1069" xr:uid="{00000000-0005-0000-0000-000089000000}"/>
    <cellStyle name="Comma 4 2 3 3 3" xfId="855" xr:uid="{00000000-0005-0000-0000-000089000000}"/>
    <cellStyle name="Comma 4 2 3 4" xfId="368" xr:uid="{00000000-0005-0000-0000-00008A000000}"/>
    <cellStyle name="Comma 4 2 3 4 2" xfId="675" xr:uid="{00000000-0005-0000-0000-00008A000000}"/>
    <cellStyle name="Comma 4 2 3 4 2 2" xfId="1103" xr:uid="{00000000-0005-0000-0000-00008A000000}"/>
    <cellStyle name="Comma 4 2 3 4 3" xfId="889" xr:uid="{00000000-0005-0000-0000-00008A000000}"/>
    <cellStyle name="Comma 4 2 3 5" xfId="434" xr:uid="{00000000-0005-0000-0000-00008B000000}"/>
    <cellStyle name="Comma 4 2 3 5 2" xfId="713" xr:uid="{00000000-0005-0000-0000-00008B000000}"/>
    <cellStyle name="Comma 4 2 3 5 2 2" xfId="1141" xr:uid="{00000000-0005-0000-0000-00008B000000}"/>
    <cellStyle name="Comma 4 2 3 5 3" xfId="927" xr:uid="{00000000-0005-0000-0000-00008B000000}"/>
    <cellStyle name="Comma 4 2 3 6" xfId="573" xr:uid="{00000000-0005-0000-0000-000087000000}"/>
    <cellStyle name="Comma 4 2 3 6 2" xfId="1001" xr:uid="{00000000-0005-0000-0000-000087000000}"/>
    <cellStyle name="Comma 4 2 3 7" xfId="787" xr:uid="{00000000-0005-0000-0000-000087000000}"/>
    <cellStyle name="Comma 4 2 4" xfId="283" xr:uid="{00000000-0005-0000-0000-00008C000000}"/>
    <cellStyle name="Comma 4 2 4 2" xfId="456" xr:uid="{00000000-0005-0000-0000-00008D000000}"/>
    <cellStyle name="Comma 4 2 4 2 2" xfId="732" xr:uid="{00000000-0005-0000-0000-00008D000000}"/>
    <cellStyle name="Comma 4 2 4 2 2 2" xfId="1160" xr:uid="{00000000-0005-0000-0000-00008D000000}"/>
    <cellStyle name="Comma 4 2 4 2 3" xfId="946" xr:uid="{00000000-0005-0000-0000-00008D000000}"/>
    <cellStyle name="Comma 4 2 4 3" xfId="590" xr:uid="{00000000-0005-0000-0000-00008C000000}"/>
    <cellStyle name="Comma 4 2 4 3 2" xfId="1018" xr:uid="{00000000-0005-0000-0000-00008C000000}"/>
    <cellStyle name="Comma 4 2 4 4" xfId="804" xr:uid="{00000000-0005-0000-0000-00008C000000}"/>
    <cellStyle name="Comma 4 2 5" xfId="317" xr:uid="{00000000-0005-0000-0000-00008E000000}"/>
    <cellStyle name="Comma 4 2 5 2" xfId="479" xr:uid="{00000000-0005-0000-0000-00008F000000}"/>
    <cellStyle name="Comma 4 2 5 2 2" xfId="751" xr:uid="{00000000-0005-0000-0000-00008F000000}"/>
    <cellStyle name="Comma 4 2 5 2 2 2" xfId="1179" xr:uid="{00000000-0005-0000-0000-00008F000000}"/>
    <cellStyle name="Comma 4 2 5 2 3" xfId="965" xr:uid="{00000000-0005-0000-0000-00008F000000}"/>
    <cellStyle name="Comma 4 2 5 3" xfId="624" xr:uid="{00000000-0005-0000-0000-00008E000000}"/>
    <cellStyle name="Comma 4 2 5 3 2" xfId="1052" xr:uid="{00000000-0005-0000-0000-00008E000000}"/>
    <cellStyle name="Comma 4 2 5 4" xfId="838" xr:uid="{00000000-0005-0000-0000-00008E000000}"/>
    <cellStyle name="Comma 4 2 6" xfId="351" xr:uid="{00000000-0005-0000-0000-000090000000}"/>
    <cellStyle name="Comma 4 2 6 2" xfId="658" xr:uid="{00000000-0005-0000-0000-000090000000}"/>
    <cellStyle name="Comma 4 2 6 2 2" xfId="1086" xr:uid="{00000000-0005-0000-0000-000090000000}"/>
    <cellStyle name="Comma 4 2 6 3" xfId="872" xr:uid="{00000000-0005-0000-0000-000090000000}"/>
    <cellStyle name="Comma 4 2 7" xfId="388" xr:uid="{00000000-0005-0000-0000-000091000000}"/>
    <cellStyle name="Comma 4 2 7 2" xfId="694" xr:uid="{00000000-0005-0000-0000-000091000000}"/>
    <cellStyle name="Comma 4 2 7 2 2" xfId="1122" xr:uid="{00000000-0005-0000-0000-000091000000}"/>
    <cellStyle name="Comma 4 2 7 3" xfId="908" xr:uid="{00000000-0005-0000-0000-000091000000}"/>
    <cellStyle name="Comma 4 2 8" xfId="556" xr:uid="{00000000-0005-0000-0000-00007A000000}"/>
    <cellStyle name="Comma 4 2 8 2" xfId="984" xr:uid="{00000000-0005-0000-0000-00007A000000}"/>
    <cellStyle name="Comma 4 2 9" xfId="770" xr:uid="{00000000-0005-0000-0000-00007A000000}"/>
    <cellStyle name="Comma 4 3" xfId="222" xr:uid="{00000000-0005-0000-0000-000092000000}"/>
    <cellStyle name="Comma 4 3 2" xfId="272" xr:uid="{00000000-0005-0000-0000-000093000000}"/>
    <cellStyle name="Comma 4 3 2 2" xfId="306" xr:uid="{00000000-0005-0000-0000-000094000000}"/>
    <cellStyle name="Comma 4 3 2 2 2" xfId="613" xr:uid="{00000000-0005-0000-0000-000094000000}"/>
    <cellStyle name="Comma 4 3 2 2 2 2" xfId="1041" xr:uid="{00000000-0005-0000-0000-000094000000}"/>
    <cellStyle name="Comma 4 3 2 2 3" xfId="827" xr:uid="{00000000-0005-0000-0000-000094000000}"/>
    <cellStyle name="Comma 4 3 2 3" xfId="340" xr:uid="{00000000-0005-0000-0000-000095000000}"/>
    <cellStyle name="Comma 4 3 2 3 2" xfId="647" xr:uid="{00000000-0005-0000-0000-000095000000}"/>
    <cellStyle name="Comma 4 3 2 3 2 2" xfId="1075" xr:uid="{00000000-0005-0000-0000-000095000000}"/>
    <cellStyle name="Comma 4 3 2 3 3" xfId="861" xr:uid="{00000000-0005-0000-0000-000095000000}"/>
    <cellStyle name="Comma 4 3 2 4" xfId="374" xr:uid="{00000000-0005-0000-0000-000096000000}"/>
    <cellStyle name="Comma 4 3 2 4 2" xfId="681" xr:uid="{00000000-0005-0000-0000-000096000000}"/>
    <cellStyle name="Comma 4 3 2 4 2 2" xfId="1109" xr:uid="{00000000-0005-0000-0000-000096000000}"/>
    <cellStyle name="Comma 4 3 2 4 3" xfId="895" xr:uid="{00000000-0005-0000-0000-000096000000}"/>
    <cellStyle name="Comma 4 3 2 5" xfId="440" xr:uid="{00000000-0005-0000-0000-000097000000}"/>
    <cellStyle name="Comma 4 3 2 5 2" xfId="719" xr:uid="{00000000-0005-0000-0000-000097000000}"/>
    <cellStyle name="Comma 4 3 2 5 2 2" xfId="1147" xr:uid="{00000000-0005-0000-0000-000097000000}"/>
    <cellStyle name="Comma 4 3 2 5 3" xfId="933" xr:uid="{00000000-0005-0000-0000-000097000000}"/>
    <cellStyle name="Comma 4 3 2 6" xfId="579" xr:uid="{00000000-0005-0000-0000-000093000000}"/>
    <cellStyle name="Comma 4 3 2 6 2" xfId="1007" xr:uid="{00000000-0005-0000-0000-000093000000}"/>
    <cellStyle name="Comma 4 3 2 7" xfId="793" xr:uid="{00000000-0005-0000-0000-000093000000}"/>
    <cellStyle name="Comma 4 3 3" xfId="289" xr:uid="{00000000-0005-0000-0000-000098000000}"/>
    <cellStyle name="Comma 4 3 3 2" xfId="462" xr:uid="{00000000-0005-0000-0000-000099000000}"/>
    <cellStyle name="Comma 4 3 3 2 2" xfId="738" xr:uid="{00000000-0005-0000-0000-000099000000}"/>
    <cellStyle name="Comma 4 3 3 2 2 2" xfId="1166" xr:uid="{00000000-0005-0000-0000-000099000000}"/>
    <cellStyle name="Comma 4 3 3 2 3" xfId="952" xr:uid="{00000000-0005-0000-0000-000099000000}"/>
    <cellStyle name="Comma 4 3 3 3" xfId="596" xr:uid="{00000000-0005-0000-0000-000098000000}"/>
    <cellStyle name="Comma 4 3 3 3 2" xfId="1024" xr:uid="{00000000-0005-0000-0000-000098000000}"/>
    <cellStyle name="Comma 4 3 3 4" xfId="810" xr:uid="{00000000-0005-0000-0000-000098000000}"/>
    <cellStyle name="Comma 4 3 4" xfId="323" xr:uid="{00000000-0005-0000-0000-00009A000000}"/>
    <cellStyle name="Comma 4 3 4 2" xfId="481" xr:uid="{00000000-0005-0000-0000-00009B000000}"/>
    <cellStyle name="Comma 4 3 4 2 2" xfId="753" xr:uid="{00000000-0005-0000-0000-00009B000000}"/>
    <cellStyle name="Comma 4 3 4 2 2 2" xfId="1181" xr:uid="{00000000-0005-0000-0000-00009B000000}"/>
    <cellStyle name="Comma 4 3 4 2 3" xfId="967" xr:uid="{00000000-0005-0000-0000-00009B000000}"/>
    <cellStyle name="Comma 4 3 4 3" xfId="630" xr:uid="{00000000-0005-0000-0000-00009A000000}"/>
    <cellStyle name="Comma 4 3 4 3 2" xfId="1058" xr:uid="{00000000-0005-0000-0000-00009A000000}"/>
    <cellStyle name="Comma 4 3 4 4" xfId="844" xr:uid="{00000000-0005-0000-0000-00009A000000}"/>
    <cellStyle name="Comma 4 3 5" xfId="357" xr:uid="{00000000-0005-0000-0000-00009C000000}"/>
    <cellStyle name="Comma 4 3 5 2" xfId="664" xr:uid="{00000000-0005-0000-0000-00009C000000}"/>
    <cellStyle name="Comma 4 3 5 2 2" xfId="1092" xr:uid="{00000000-0005-0000-0000-00009C000000}"/>
    <cellStyle name="Comma 4 3 5 3" xfId="878" xr:uid="{00000000-0005-0000-0000-00009C000000}"/>
    <cellStyle name="Comma 4 3 6" xfId="406" xr:uid="{00000000-0005-0000-0000-00009D000000}"/>
    <cellStyle name="Comma 4 3 6 2" xfId="700" xr:uid="{00000000-0005-0000-0000-00009D000000}"/>
    <cellStyle name="Comma 4 3 6 2 2" xfId="1128" xr:uid="{00000000-0005-0000-0000-00009D000000}"/>
    <cellStyle name="Comma 4 3 6 3" xfId="914" xr:uid="{00000000-0005-0000-0000-00009D000000}"/>
    <cellStyle name="Comma 4 3 7" xfId="562" xr:uid="{00000000-0005-0000-0000-000092000000}"/>
    <cellStyle name="Comma 4 3 7 2" xfId="990" xr:uid="{00000000-0005-0000-0000-000092000000}"/>
    <cellStyle name="Comma 4 3 8" xfId="776" xr:uid="{00000000-0005-0000-0000-000092000000}"/>
    <cellStyle name="Comma 4 4" xfId="265" xr:uid="{00000000-0005-0000-0000-00009E000000}"/>
    <cellStyle name="Comma 4 4 2" xfId="299" xr:uid="{00000000-0005-0000-0000-00009F000000}"/>
    <cellStyle name="Comma 4 4 2 2" xfId="606" xr:uid="{00000000-0005-0000-0000-00009F000000}"/>
    <cellStyle name="Comma 4 4 2 2 2" xfId="1034" xr:uid="{00000000-0005-0000-0000-00009F000000}"/>
    <cellStyle name="Comma 4 4 2 3" xfId="820" xr:uid="{00000000-0005-0000-0000-00009F000000}"/>
    <cellStyle name="Comma 4 4 3" xfId="333" xr:uid="{00000000-0005-0000-0000-0000A0000000}"/>
    <cellStyle name="Comma 4 4 3 2" xfId="640" xr:uid="{00000000-0005-0000-0000-0000A0000000}"/>
    <cellStyle name="Comma 4 4 3 2 2" xfId="1068" xr:uid="{00000000-0005-0000-0000-0000A0000000}"/>
    <cellStyle name="Comma 4 4 3 3" xfId="854" xr:uid="{00000000-0005-0000-0000-0000A0000000}"/>
    <cellStyle name="Comma 4 4 4" xfId="367" xr:uid="{00000000-0005-0000-0000-0000A1000000}"/>
    <cellStyle name="Comma 4 4 4 2" xfId="674" xr:uid="{00000000-0005-0000-0000-0000A1000000}"/>
    <cellStyle name="Comma 4 4 4 2 2" xfId="1102" xr:uid="{00000000-0005-0000-0000-0000A1000000}"/>
    <cellStyle name="Comma 4 4 4 3" xfId="888" xr:uid="{00000000-0005-0000-0000-0000A1000000}"/>
    <cellStyle name="Comma 4 4 5" xfId="433" xr:uid="{00000000-0005-0000-0000-0000A2000000}"/>
    <cellStyle name="Comma 4 4 5 2" xfId="712" xr:uid="{00000000-0005-0000-0000-0000A2000000}"/>
    <cellStyle name="Comma 4 4 5 2 2" xfId="1140" xr:uid="{00000000-0005-0000-0000-0000A2000000}"/>
    <cellStyle name="Comma 4 4 5 3" xfId="926" xr:uid="{00000000-0005-0000-0000-0000A2000000}"/>
    <cellStyle name="Comma 4 4 6" xfId="572" xr:uid="{00000000-0005-0000-0000-00009E000000}"/>
    <cellStyle name="Comma 4 4 6 2" xfId="1000" xr:uid="{00000000-0005-0000-0000-00009E000000}"/>
    <cellStyle name="Comma 4 4 7" xfId="786" xr:uid="{00000000-0005-0000-0000-00009E000000}"/>
    <cellStyle name="Comma 4 5" xfId="282" xr:uid="{00000000-0005-0000-0000-0000A3000000}"/>
    <cellStyle name="Comma 4 5 2" xfId="455" xr:uid="{00000000-0005-0000-0000-0000A4000000}"/>
    <cellStyle name="Comma 4 5 2 2" xfId="731" xr:uid="{00000000-0005-0000-0000-0000A4000000}"/>
    <cellStyle name="Comma 4 5 2 2 2" xfId="1159" xr:uid="{00000000-0005-0000-0000-0000A4000000}"/>
    <cellStyle name="Comma 4 5 2 3" xfId="945" xr:uid="{00000000-0005-0000-0000-0000A4000000}"/>
    <cellStyle name="Comma 4 5 3" xfId="589" xr:uid="{00000000-0005-0000-0000-0000A3000000}"/>
    <cellStyle name="Comma 4 5 3 2" xfId="1017" xr:uid="{00000000-0005-0000-0000-0000A3000000}"/>
    <cellStyle name="Comma 4 5 4" xfId="803" xr:uid="{00000000-0005-0000-0000-0000A3000000}"/>
    <cellStyle name="Comma 4 6" xfId="316" xr:uid="{00000000-0005-0000-0000-0000A5000000}"/>
    <cellStyle name="Comma 4 6 2" xfId="478" xr:uid="{00000000-0005-0000-0000-0000A6000000}"/>
    <cellStyle name="Comma 4 6 2 2" xfId="750" xr:uid="{00000000-0005-0000-0000-0000A6000000}"/>
    <cellStyle name="Comma 4 6 2 2 2" xfId="1178" xr:uid="{00000000-0005-0000-0000-0000A6000000}"/>
    <cellStyle name="Comma 4 6 2 3" xfId="964" xr:uid="{00000000-0005-0000-0000-0000A6000000}"/>
    <cellStyle name="Comma 4 6 3" xfId="623" xr:uid="{00000000-0005-0000-0000-0000A5000000}"/>
    <cellStyle name="Comma 4 6 3 2" xfId="1051" xr:uid="{00000000-0005-0000-0000-0000A5000000}"/>
    <cellStyle name="Comma 4 6 4" xfId="837" xr:uid="{00000000-0005-0000-0000-0000A5000000}"/>
    <cellStyle name="Comma 4 7" xfId="350" xr:uid="{00000000-0005-0000-0000-0000A7000000}"/>
    <cellStyle name="Comma 4 7 2" xfId="657" xr:uid="{00000000-0005-0000-0000-0000A7000000}"/>
    <cellStyle name="Comma 4 7 2 2" xfId="1085" xr:uid="{00000000-0005-0000-0000-0000A7000000}"/>
    <cellStyle name="Comma 4 7 3" xfId="871" xr:uid="{00000000-0005-0000-0000-0000A7000000}"/>
    <cellStyle name="Comma 4 8" xfId="387" xr:uid="{00000000-0005-0000-0000-0000A8000000}"/>
    <cellStyle name="Comma 4 8 2" xfId="693" xr:uid="{00000000-0005-0000-0000-0000A8000000}"/>
    <cellStyle name="Comma 4 8 2 2" xfId="1121" xr:uid="{00000000-0005-0000-0000-0000A8000000}"/>
    <cellStyle name="Comma 4 8 3" xfId="907" xr:uid="{00000000-0005-0000-0000-0000A8000000}"/>
    <cellStyle name="Comma 4 9" xfId="555" xr:uid="{00000000-0005-0000-0000-000079000000}"/>
    <cellStyle name="Comma 4 9 2" xfId="983" xr:uid="{00000000-0005-0000-0000-000079000000}"/>
    <cellStyle name="Comma 5" xfId="117" xr:uid="{00000000-0005-0000-0000-0000A9000000}"/>
    <cellStyle name="Comma 5 10" xfId="771" xr:uid="{00000000-0005-0000-0000-0000A9000000}"/>
    <cellStyle name="Comma 5 2" xfId="118" xr:uid="{00000000-0005-0000-0000-0000AA000000}"/>
    <cellStyle name="Comma 5 2 2" xfId="225" xr:uid="{00000000-0005-0000-0000-0000AB000000}"/>
    <cellStyle name="Comma 5 2 2 2" xfId="275" xr:uid="{00000000-0005-0000-0000-0000AC000000}"/>
    <cellStyle name="Comma 5 2 2 2 2" xfId="309" xr:uid="{00000000-0005-0000-0000-0000AD000000}"/>
    <cellStyle name="Comma 5 2 2 2 2 2" xfId="616" xr:uid="{00000000-0005-0000-0000-0000AD000000}"/>
    <cellStyle name="Comma 5 2 2 2 2 2 2" xfId="1044" xr:uid="{00000000-0005-0000-0000-0000AD000000}"/>
    <cellStyle name="Comma 5 2 2 2 2 3" xfId="830" xr:uid="{00000000-0005-0000-0000-0000AD000000}"/>
    <cellStyle name="Comma 5 2 2 2 3" xfId="343" xr:uid="{00000000-0005-0000-0000-0000AE000000}"/>
    <cellStyle name="Comma 5 2 2 2 3 2" xfId="650" xr:uid="{00000000-0005-0000-0000-0000AE000000}"/>
    <cellStyle name="Comma 5 2 2 2 3 2 2" xfId="1078" xr:uid="{00000000-0005-0000-0000-0000AE000000}"/>
    <cellStyle name="Comma 5 2 2 2 3 3" xfId="864" xr:uid="{00000000-0005-0000-0000-0000AE000000}"/>
    <cellStyle name="Comma 5 2 2 2 4" xfId="377" xr:uid="{00000000-0005-0000-0000-0000AF000000}"/>
    <cellStyle name="Comma 5 2 2 2 4 2" xfId="684" xr:uid="{00000000-0005-0000-0000-0000AF000000}"/>
    <cellStyle name="Comma 5 2 2 2 4 2 2" xfId="1112" xr:uid="{00000000-0005-0000-0000-0000AF000000}"/>
    <cellStyle name="Comma 5 2 2 2 4 3" xfId="898" xr:uid="{00000000-0005-0000-0000-0000AF000000}"/>
    <cellStyle name="Comma 5 2 2 2 5" xfId="443" xr:uid="{00000000-0005-0000-0000-0000B0000000}"/>
    <cellStyle name="Comma 5 2 2 2 5 2" xfId="722" xr:uid="{00000000-0005-0000-0000-0000B0000000}"/>
    <cellStyle name="Comma 5 2 2 2 5 2 2" xfId="1150" xr:uid="{00000000-0005-0000-0000-0000B0000000}"/>
    <cellStyle name="Comma 5 2 2 2 5 3" xfId="936" xr:uid="{00000000-0005-0000-0000-0000B0000000}"/>
    <cellStyle name="Comma 5 2 2 2 6" xfId="582" xr:uid="{00000000-0005-0000-0000-0000AC000000}"/>
    <cellStyle name="Comma 5 2 2 2 6 2" xfId="1010" xr:uid="{00000000-0005-0000-0000-0000AC000000}"/>
    <cellStyle name="Comma 5 2 2 2 7" xfId="796" xr:uid="{00000000-0005-0000-0000-0000AC000000}"/>
    <cellStyle name="Comma 5 2 2 3" xfId="292" xr:uid="{00000000-0005-0000-0000-0000B1000000}"/>
    <cellStyle name="Comma 5 2 2 3 2" xfId="465" xr:uid="{00000000-0005-0000-0000-0000B2000000}"/>
    <cellStyle name="Comma 5 2 2 3 2 2" xfId="741" xr:uid="{00000000-0005-0000-0000-0000B2000000}"/>
    <cellStyle name="Comma 5 2 2 3 2 2 2" xfId="1169" xr:uid="{00000000-0005-0000-0000-0000B2000000}"/>
    <cellStyle name="Comma 5 2 2 3 2 3" xfId="955" xr:uid="{00000000-0005-0000-0000-0000B2000000}"/>
    <cellStyle name="Comma 5 2 2 3 3" xfId="599" xr:uid="{00000000-0005-0000-0000-0000B1000000}"/>
    <cellStyle name="Comma 5 2 2 3 3 2" xfId="1027" xr:uid="{00000000-0005-0000-0000-0000B1000000}"/>
    <cellStyle name="Comma 5 2 2 3 4" xfId="813" xr:uid="{00000000-0005-0000-0000-0000B1000000}"/>
    <cellStyle name="Comma 5 2 2 4" xfId="326" xr:uid="{00000000-0005-0000-0000-0000B3000000}"/>
    <cellStyle name="Comma 5 2 2 4 2" xfId="484" xr:uid="{00000000-0005-0000-0000-0000B4000000}"/>
    <cellStyle name="Comma 5 2 2 4 2 2" xfId="756" xr:uid="{00000000-0005-0000-0000-0000B4000000}"/>
    <cellStyle name="Comma 5 2 2 4 2 2 2" xfId="1184" xr:uid="{00000000-0005-0000-0000-0000B4000000}"/>
    <cellStyle name="Comma 5 2 2 4 2 3" xfId="970" xr:uid="{00000000-0005-0000-0000-0000B4000000}"/>
    <cellStyle name="Comma 5 2 2 4 3" xfId="633" xr:uid="{00000000-0005-0000-0000-0000B3000000}"/>
    <cellStyle name="Comma 5 2 2 4 3 2" xfId="1061" xr:uid="{00000000-0005-0000-0000-0000B3000000}"/>
    <cellStyle name="Comma 5 2 2 4 4" xfId="847" xr:uid="{00000000-0005-0000-0000-0000B3000000}"/>
    <cellStyle name="Comma 5 2 2 5" xfId="360" xr:uid="{00000000-0005-0000-0000-0000B5000000}"/>
    <cellStyle name="Comma 5 2 2 5 2" xfId="667" xr:uid="{00000000-0005-0000-0000-0000B5000000}"/>
    <cellStyle name="Comma 5 2 2 5 2 2" xfId="1095" xr:uid="{00000000-0005-0000-0000-0000B5000000}"/>
    <cellStyle name="Comma 5 2 2 5 3" xfId="881" xr:uid="{00000000-0005-0000-0000-0000B5000000}"/>
    <cellStyle name="Comma 5 2 2 6" xfId="409" xr:uid="{00000000-0005-0000-0000-0000B6000000}"/>
    <cellStyle name="Comma 5 2 2 6 2" xfId="703" xr:uid="{00000000-0005-0000-0000-0000B6000000}"/>
    <cellStyle name="Comma 5 2 2 6 2 2" xfId="1131" xr:uid="{00000000-0005-0000-0000-0000B6000000}"/>
    <cellStyle name="Comma 5 2 2 6 3" xfId="917" xr:uid="{00000000-0005-0000-0000-0000B6000000}"/>
    <cellStyle name="Comma 5 2 2 7" xfId="565" xr:uid="{00000000-0005-0000-0000-0000AB000000}"/>
    <cellStyle name="Comma 5 2 2 7 2" xfId="993" xr:uid="{00000000-0005-0000-0000-0000AB000000}"/>
    <cellStyle name="Comma 5 2 2 8" xfId="779" xr:uid="{00000000-0005-0000-0000-0000AB000000}"/>
    <cellStyle name="Comma 5 2 3" xfId="268" xr:uid="{00000000-0005-0000-0000-0000B7000000}"/>
    <cellStyle name="Comma 5 2 3 2" xfId="302" xr:uid="{00000000-0005-0000-0000-0000B8000000}"/>
    <cellStyle name="Comma 5 2 3 2 2" xfId="609" xr:uid="{00000000-0005-0000-0000-0000B8000000}"/>
    <cellStyle name="Comma 5 2 3 2 2 2" xfId="1037" xr:uid="{00000000-0005-0000-0000-0000B8000000}"/>
    <cellStyle name="Comma 5 2 3 2 3" xfId="823" xr:uid="{00000000-0005-0000-0000-0000B8000000}"/>
    <cellStyle name="Comma 5 2 3 3" xfId="336" xr:uid="{00000000-0005-0000-0000-0000B9000000}"/>
    <cellStyle name="Comma 5 2 3 3 2" xfId="643" xr:uid="{00000000-0005-0000-0000-0000B9000000}"/>
    <cellStyle name="Comma 5 2 3 3 2 2" xfId="1071" xr:uid="{00000000-0005-0000-0000-0000B9000000}"/>
    <cellStyle name="Comma 5 2 3 3 3" xfId="857" xr:uid="{00000000-0005-0000-0000-0000B9000000}"/>
    <cellStyle name="Comma 5 2 3 4" xfId="370" xr:uid="{00000000-0005-0000-0000-0000BA000000}"/>
    <cellStyle name="Comma 5 2 3 4 2" xfId="677" xr:uid="{00000000-0005-0000-0000-0000BA000000}"/>
    <cellStyle name="Comma 5 2 3 4 2 2" xfId="1105" xr:uid="{00000000-0005-0000-0000-0000BA000000}"/>
    <cellStyle name="Comma 5 2 3 4 3" xfId="891" xr:uid="{00000000-0005-0000-0000-0000BA000000}"/>
    <cellStyle name="Comma 5 2 3 5" xfId="436" xr:uid="{00000000-0005-0000-0000-0000BB000000}"/>
    <cellStyle name="Comma 5 2 3 5 2" xfId="715" xr:uid="{00000000-0005-0000-0000-0000BB000000}"/>
    <cellStyle name="Comma 5 2 3 5 2 2" xfId="1143" xr:uid="{00000000-0005-0000-0000-0000BB000000}"/>
    <cellStyle name="Comma 5 2 3 5 3" xfId="929" xr:uid="{00000000-0005-0000-0000-0000BB000000}"/>
    <cellStyle name="Comma 5 2 3 6" xfId="575" xr:uid="{00000000-0005-0000-0000-0000B7000000}"/>
    <cellStyle name="Comma 5 2 3 6 2" xfId="1003" xr:uid="{00000000-0005-0000-0000-0000B7000000}"/>
    <cellStyle name="Comma 5 2 3 7" xfId="789" xr:uid="{00000000-0005-0000-0000-0000B7000000}"/>
    <cellStyle name="Comma 5 2 4" xfId="285" xr:uid="{00000000-0005-0000-0000-0000BC000000}"/>
    <cellStyle name="Comma 5 2 4 2" xfId="458" xr:uid="{00000000-0005-0000-0000-0000BD000000}"/>
    <cellStyle name="Comma 5 2 4 2 2" xfId="734" xr:uid="{00000000-0005-0000-0000-0000BD000000}"/>
    <cellStyle name="Comma 5 2 4 2 2 2" xfId="1162" xr:uid="{00000000-0005-0000-0000-0000BD000000}"/>
    <cellStyle name="Comma 5 2 4 2 3" xfId="948" xr:uid="{00000000-0005-0000-0000-0000BD000000}"/>
    <cellStyle name="Comma 5 2 4 3" xfId="592" xr:uid="{00000000-0005-0000-0000-0000BC000000}"/>
    <cellStyle name="Comma 5 2 4 3 2" xfId="1020" xr:uid="{00000000-0005-0000-0000-0000BC000000}"/>
    <cellStyle name="Comma 5 2 4 4" xfId="806" xr:uid="{00000000-0005-0000-0000-0000BC000000}"/>
    <cellStyle name="Comma 5 2 5" xfId="319" xr:uid="{00000000-0005-0000-0000-0000BE000000}"/>
    <cellStyle name="Comma 5 2 5 2" xfId="483" xr:uid="{00000000-0005-0000-0000-0000BF000000}"/>
    <cellStyle name="Comma 5 2 5 2 2" xfId="755" xr:uid="{00000000-0005-0000-0000-0000BF000000}"/>
    <cellStyle name="Comma 5 2 5 2 2 2" xfId="1183" xr:uid="{00000000-0005-0000-0000-0000BF000000}"/>
    <cellStyle name="Comma 5 2 5 2 3" xfId="969" xr:uid="{00000000-0005-0000-0000-0000BF000000}"/>
    <cellStyle name="Comma 5 2 5 3" xfId="626" xr:uid="{00000000-0005-0000-0000-0000BE000000}"/>
    <cellStyle name="Comma 5 2 5 3 2" xfId="1054" xr:uid="{00000000-0005-0000-0000-0000BE000000}"/>
    <cellStyle name="Comma 5 2 5 4" xfId="840" xr:uid="{00000000-0005-0000-0000-0000BE000000}"/>
    <cellStyle name="Comma 5 2 6" xfId="353" xr:uid="{00000000-0005-0000-0000-0000C0000000}"/>
    <cellStyle name="Comma 5 2 6 2" xfId="660" xr:uid="{00000000-0005-0000-0000-0000C0000000}"/>
    <cellStyle name="Comma 5 2 6 2 2" xfId="1088" xr:uid="{00000000-0005-0000-0000-0000C0000000}"/>
    <cellStyle name="Comma 5 2 6 3" xfId="874" xr:uid="{00000000-0005-0000-0000-0000C0000000}"/>
    <cellStyle name="Comma 5 2 7" xfId="390" xr:uid="{00000000-0005-0000-0000-0000C1000000}"/>
    <cellStyle name="Comma 5 2 7 2" xfId="696" xr:uid="{00000000-0005-0000-0000-0000C1000000}"/>
    <cellStyle name="Comma 5 2 7 2 2" xfId="1124" xr:uid="{00000000-0005-0000-0000-0000C1000000}"/>
    <cellStyle name="Comma 5 2 7 3" xfId="910" xr:uid="{00000000-0005-0000-0000-0000C1000000}"/>
    <cellStyle name="Comma 5 2 8" xfId="558" xr:uid="{00000000-0005-0000-0000-0000AA000000}"/>
    <cellStyle name="Comma 5 2 8 2" xfId="986" xr:uid="{00000000-0005-0000-0000-0000AA000000}"/>
    <cellStyle name="Comma 5 2 9" xfId="772" xr:uid="{00000000-0005-0000-0000-0000AA000000}"/>
    <cellStyle name="Comma 5 3" xfId="224" xr:uid="{00000000-0005-0000-0000-0000C2000000}"/>
    <cellStyle name="Comma 5 3 2" xfId="274" xr:uid="{00000000-0005-0000-0000-0000C3000000}"/>
    <cellStyle name="Comma 5 3 2 2" xfId="308" xr:uid="{00000000-0005-0000-0000-0000C4000000}"/>
    <cellStyle name="Comma 5 3 2 2 2" xfId="615" xr:uid="{00000000-0005-0000-0000-0000C4000000}"/>
    <cellStyle name="Comma 5 3 2 2 2 2" xfId="1043" xr:uid="{00000000-0005-0000-0000-0000C4000000}"/>
    <cellStyle name="Comma 5 3 2 2 3" xfId="829" xr:uid="{00000000-0005-0000-0000-0000C4000000}"/>
    <cellStyle name="Comma 5 3 2 3" xfId="342" xr:uid="{00000000-0005-0000-0000-0000C5000000}"/>
    <cellStyle name="Comma 5 3 2 3 2" xfId="649" xr:uid="{00000000-0005-0000-0000-0000C5000000}"/>
    <cellStyle name="Comma 5 3 2 3 2 2" xfId="1077" xr:uid="{00000000-0005-0000-0000-0000C5000000}"/>
    <cellStyle name="Comma 5 3 2 3 3" xfId="863" xr:uid="{00000000-0005-0000-0000-0000C5000000}"/>
    <cellStyle name="Comma 5 3 2 4" xfId="376" xr:uid="{00000000-0005-0000-0000-0000C6000000}"/>
    <cellStyle name="Comma 5 3 2 4 2" xfId="683" xr:uid="{00000000-0005-0000-0000-0000C6000000}"/>
    <cellStyle name="Comma 5 3 2 4 2 2" xfId="1111" xr:uid="{00000000-0005-0000-0000-0000C6000000}"/>
    <cellStyle name="Comma 5 3 2 4 3" xfId="897" xr:uid="{00000000-0005-0000-0000-0000C6000000}"/>
    <cellStyle name="Comma 5 3 2 5" xfId="442" xr:uid="{00000000-0005-0000-0000-0000C7000000}"/>
    <cellStyle name="Comma 5 3 2 5 2" xfId="721" xr:uid="{00000000-0005-0000-0000-0000C7000000}"/>
    <cellStyle name="Comma 5 3 2 5 2 2" xfId="1149" xr:uid="{00000000-0005-0000-0000-0000C7000000}"/>
    <cellStyle name="Comma 5 3 2 5 3" xfId="935" xr:uid="{00000000-0005-0000-0000-0000C7000000}"/>
    <cellStyle name="Comma 5 3 2 6" xfId="581" xr:uid="{00000000-0005-0000-0000-0000C3000000}"/>
    <cellStyle name="Comma 5 3 2 6 2" xfId="1009" xr:uid="{00000000-0005-0000-0000-0000C3000000}"/>
    <cellStyle name="Comma 5 3 2 7" xfId="795" xr:uid="{00000000-0005-0000-0000-0000C3000000}"/>
    <cellStyle name="Comma 5 3 3" xfId="291" xr:uid="{00000000-0005-0000-0000-0000C8000000}"/>
    <cellStyle name="Comma 5 3 3 2" xfId="464" xr:uid="{00000000-0005-0000-0000-0000C9000000}"/>
    <cellStyle name="Comma 5 3 3 2 2" xfId="740" xr:uid="{00000000-0005-0000-0000-0000C9000000}"/>
    <cellStyle name="Comma 5 3 3 2 2 2" xfId="1168" xr:uid="{00000000-0005-0000-0000-0000C9000000}"/>
    <cellStyle name="Comma 5 3 3 2 3" xfId="954" xr:uid="{00000000-0005-0000-0000-0000C9000000}"/>
    <cellStyle name="Comma 5 3 3 3" xfId="598" xr:uid="{00000000-0005-0000-0000-0000C8000000}"/>
    <cellStyle name="Comma 5 3 3 3 2" xfId="1026" xr:uid="{00000000-0005-0000-0000-0000C8000000}"/>
    <cellStyle name="Comma 5 3 3 4" xfId="812" xr:uid="{00000000-0005-0000-0000-0000C8000000}"/>
    <cellStyle name="Comma 5 3 4" xfId="325" xr:uid="{00000000-0005-0000-0000-0000CA000000}"/>
    <cellStyle name="Comma 5 3 4 2" xfId="485" xr:uid="{00000000-0005-0000-0000-0000CB000000}"/>
    <cellStyle name="Comma 5 3 4 2 2" xfId="757" xr:uid="{00000000-0005-0000-0000-0000CB000000}"/>
    <cellStyle name="Comma 5 3 4 2 2 2" xfId="1185" xr:uid="{00000000-0005-0000-0000-0000CB000000}"/>
    <cellStyle name="Comma 5 3 4 2 3" xfId="971" xr:uid="{00000000-0005-0000-0000-0000CB000000}"/>
    <cellStyle name="Comma 5 3 4 3" xfId="632" xr:uid="{00000000-0005-0000-0000-0000CA000000}"/>
    <cellStyle name="Comma 5 3 4 3 2" xfId="1060" xr:uid="{00000000-0005-0000-0000-0000CA000000}"/>
    <cellStyle name="Comma 5 3 4 4" xfId="846" xr:uid="{00000000-0005-0000-0000-0000CA000000}"/>
    <cellStyle name="Comma 5 3 5" xfId="359" xr:uid="{00000000-0005-0000-0000-0000CC000000}"/>
    <cellStyle name="Comma 5 3 5 2" xfId="666" xr:uid="{00000000-0005-0000-0000-0000CC000000}"/>
    <cellStyle name="Comma 5 3 5 2 2" xfId="1094" xr:uid="{00000000-0005-0000-0000-0000CC000000}"/>
    <cellStyle name="Comma 5 3 5 3" xfId="880" xr:uid="{00000000-0005-0000-0000-0000CC000000}"/>
    <cellStyle name="Comma 5 3 6" xfId="408" xr:uid="{00000000-0005-0000-0000-0000CD000000}"/>
    <cellStyle name="Comma 5 3 6 2" xfId="702" xr:uid="{00000000-0005-0000-0000-0000CD000000}"/>
    <cellStyle name="Comma 5 3 6 2 2" xfId="1130" xr:uid="{00000000-0005-0000-0000-0000CD000000}"/>
    <cellStyle name="Comma 5 3 6 3" xfId="916" xr:uid="{00000000-0005-0000-0000-0000CD000000}"/>
    <cellStyle name="Comma 5 3 7" xfId="564" xr:uid="{00000000-0005-0000-0000-0000C2000000}"/>
    <cellStyle name="Comma 5 3 7 2" xfId="992" xr:uid="{00000000-0005-0000-0000-0000C2000000}"/>
    <cellStyle name="Comma 5 3 8" xfId="778" xr:uid="{00000000-0005-0000-0000-0000C2000000}"/>
    <cellStyle name="Comma 5 4" xfId="267" xr:uid="{00000000-0005-0000-0000-0000CE000000}"/>
    <cellStyle name="Comma 5 4 2" xfId="301" xr:uid="{00000000-0005-0000-0000-0000CF000000}"/>
    <cellStyle name="Comma 5 4 2 2" xfId="608" xr:uid="{00000000-0005-0000-0000-0000CF000000}"/>
    <cellStyle name="Comma 5 4 2 2 2" xfId="1036" xr:uid="{00000000-0005-0000-0000-0000CF000000}"/>
    <cellStyle name="Comma 5 4 2 3" xfId="822" xr:uid="{00000000-0005-0000-0000-0000CF000000}"/>
    <cellStyle name="Comma 5 4 3" xfId="335" xr:uid="{00000000-0005-0000-0000-0000D0000000}"/>
    <cellStyle name="Comma 5 4 3 2" xfId="642" xr:uid="{00000000-0005-0000-0000-0000D0000000}"/>
    <cellStyle name="Comma 5 4 3 2 2" xfId="1070" xr:uid="{00000000-0005-0000-0000-0000D0000000}"/>
    <cellStyle name="Comma 5 4 3 3" xfId="856" xr:uid="{00000000-0005-0000-0000-0000D0000000}"/>
    <cellStyle name="Comma 5 4 4" xfId="369" xr:uid="{00000000-0005-0000-0000-0000D1000000}"/>
    <cellStyle name="Comma 5 4 4 2" xfId="676" xr:uid="{00000000-0005-0000-0000-0000D1000000}"/>
    <cellStyle name="Comma 5 4 4 2 2" xfId="1104" xr:uid="{00000000-0005-0000-0000-0000D1000000}"/>
    <cellStyle name="Comma 5 4 4 3" xfId="890" xr:uid="{00000000-0005-0000-0000-0000D1000000}"/>
    <cellStyle name="Comma 5 4 5" xfId="435" xr:uid="{00000000-0005-0000-0000-0000D2000000}"/>
    <cellStyle name="Comma 5 4 5 2" xfId="714" xr:uid="{00000000-0005-0000-0000-0000D2000000}"/>
    <cellStyle name="Comma 5 4 5 2 2" xfId="1142" xr:uid="{00000000-0005-0000-0000-0000D2000000}"/>
    <cellStyle name="Comma 5 4 5 3" xfId="928" xr:uid="{00000000-0005-0000-0000-0000D2000000}"/>
    <cellStyle name="Comma 5 4 6" xfId="574" xr:uid="{00000000-0005-0000-0000-0000CE000000}"/>
    <cellStyle name="Comma 5 4 6 2" xfId="1002" xr:uid="{00000000-0005-0000-0000-0000CE000000}"/>
    <cellStyle name="Comma 5 4 7" xfId="788" xr:uid="{00000000-0005-0000-0000-0000CE000000}"/>
    <cellStyle name="Comma 5 5" xfId="284" xr:uid="{00000000-0005-0000-0000-0000D3000000}"/>
    <cellStyle name="Comma 5 5 2" xfId="457" xr:uid="{00000000-0005-0000-0000-0000D4000000}"/>
    <cellStyle name="Comma 5 5 2 2" xfId="733" xr:uid="{00000000-0005-0000-0000-0000D4000000}"/>
    <cellStyle name="Comma 5 5 2 2 2" xfId="1161" xr:uid="{00000000-0005-0000-0000-0000D4000000}"/>
    <cellStyle name="Comma 5 5 2 3" xfId="947" xr:uid="{00000000-0005-0000-0000-0000D4000000}"/>
    <cellStyle name="Comma 5 5 3" xfId="591" xr:uid="{00000000-0005-0000-0000-0000D3000000}"/>
    <cellStyle name="Comma 5 5 3 2" xfId="1019" xr:uid="{00000000-0005-0000-0000-0000D3000000}"/>
    <cellStyle name="Comma 5 5 4" xfId="805" xr:uid="{00000000-0005-0000-0000-0000D3000000}"/>
    <cellStyle name="Comma 5 6" xfId="318" xr:uid="{00000000-0005-0000-0000-0000D5000000}"/>
    <cellStyle name="Comma 5 6 2" xfId="482" xr:uid="{00000000-0005-0000-0000-0000D6000000}"/>
    <cellStyle name="Comma 5 6 2 2" xfId="754" xr:uid="{00000000-0005-0000-0000-0000D6000000}"/>
    <cellStyle name="Comma 5 6 2 2 2" xfId="1182" xr:uid="{00000000-0005-0000-0000-0000D6000000}"/>
    <cellStyle name="Comma 5 6 2 3" xfId="968" xr:uid="{00000000-0005-0000-0000-0000D6000000}"/>
    <cellStyle name="Comma 5 6 3" xfId="625" xr:uid="{00000000-0005-0000-0000-0000D5000000}"/>
    <cellStyle name="Comma 5 6 3 2" xfId="1053" xr:uid="{00000000-0005-0000-0000-0000D5000000}"/>
    <cellStyle name="Comma 5 6 4" xfId="839" xr:uid="{00000000-0005-0000-0000-0000D5000000}"/>
    <cellStyle name="Comma 5 7" xfId="352" xr:uid="{00000000-0005-0000-0000-0000D7000000}"/>
    <cellStyle name="Comma 5 7 2" xfId="659" xr:uid="{00000000-0005-0000-0000-0000D7000000}"/>
    <cellStyle name="Comma 5 7 2 2" xfId="1087" xr:uid="{00000000-0005-0000-0000-0000D7000000}"/>
    <cellStyle name="Comma 5 7 3" xfId="873" xr:uid="{00000000-0005-0000-0000-0000D7000000}"/>
    <cellStyle name="Comma 5 8" xfId="389" xr:uid="{00000000-0005-0000-0000-0000D8000000}"/>
    <cellStyle name="Comma 5 8 2" xfId="695" xr:uid="{00000000-0005-0000-0000-0000D8000000}"/>
    <cellStyle name="Comma 5 8 2 2" xfId="1123" xr:uid="{00000000-0005-0000-0000-0000D8000000}"/>
    <cellStyle name="Comma 5 8 3" xfId="909" xr:uid="{00000000-0005-0000-0000-0000D8000000}"/>
    <cellStyle name="Comma 5 9" xfId="557" xr:uid="{00000000-0005-0000-0000-0000A9000000}"/>
    <cellStyle name="Comma 5 9 2" xfId="985" xr:uid="{00000000-0005-0000-0000-0000A9000000}"/>
    <cellStyle name="Comma 6" xfId="119" xr:uid="{00000000-0005-0000-0000-0000D9000000}"/>
    <cellStyle name="Comma 6 2" xfId="269" xr:uid="{00000000-0005-0000-0000-0000DA000000}"/>
    <cellStyle name="Comma 6 2 2" xfId="303" xr:uid="{00000000-0005-0000-0000-0000DB000000}"/>
    <cellStyle name="Comma 6 2 2 2" xfId="519" xr:uid="{00000000-0005-0000-0000-0000DC000000}"/>
    <cellStyle name="Comma 6 2 2 2 2" xfId="763" xr:uid="{00000000-0005-0000-0000-0000DC000000}"/>
    <cellStyle name="Comma 6 2 2 2 2 2" xfId="1191" xr:uid="{00000000-0005-0000-0000-0000DC000000}"/>
    <cellStyle name="Comma 6 2 2 2 3" xfId="977" xr:uid="{00000000-0005-0000-0000-0000DC000000}"/>
    <cellStyle name="Comma 6 2 2 3" xfId="610" xr:uid="{00000000-0005-0000-0000-0000DB000000}"/>
    <cellStyle name="Comma 6 2 2 3 2" xfId="1038" xr:uid="{00000000-0005-0000-0000-0000DB000000}"/>
    <cellStyle name="Comma 6 2 2 4" xfId="824" xr:uid="{00000000-0005-0000-0000-0000DB000000}"/>
    <cellStyle name="Comma 6 2 3" xfId="337" xr:uid="{00000000-0005-0000-0000-0000DD000000}"/>
    <cellStyle name="Comma 6 2 3 2" xfId="644" xr:uid="{00000000-0005-0000-0000-0000DD000000}"/>
    <cellStyle name="Comma 6 2 3 2 2" xfId="1072" xr:uid="{00000000-0005-0000-0000-0000DD000000}"/>
    <cellStyle name="Comma 6 2 3 3" xfId="858" xr:uid="{00000000-0005-0000-0000-0000DD000000}"/>
    <cellStyle name="Comma 6 2 4" xfId="371" xr:uid="{00000000-0005-0000-0000-0000DE000000}"/>
    <cellStyle name="Comma 6 2 4 2" xfId="678" xr:uid="{00000000-0005-0000-0000-0000DE000000}"/>
    <cellStyle name="Comma 6 2 4 2 2" xfId="1106" xr:uid="{00000000-0005-0000-0000-0000DE000000}"/>
    <cellStyle name="Comma 6 2 4 3" xfId="892" xr:uid="{00000000-0005-0000-0000-0000DE000000}"/>
    <cellStyle name="Comma 6 2 5" xfId="437" xr:uid="{00000000-0005-0000-0000-0000DF000000}"/>
    <cellStyle name="Comma 6 2 5 2" xfId="716" xr:uid="{00000000-0005-0000-0000-0000DF000000}"/>
    <cellStyle name="Comma 6 2 5 2 2" xfId="1144" xr:uid="{00000000-0005-0000-0000-0000DF000000}"/>
    <cellStyle name="Comma 6 2 5 3" xfId="930" xr:uid="{00000000-0005-0000-0000-0000DF000000}"/>
    <cellStyle name="Comma 6 2 6" xfId="576" xr:uid="{00000000-0005-0000-0000-0000DA000000}"/>
    <cellStyle name="Comma 6 2 6 2" xfId="1004" xr:uid="{00000000-0005-0000-0000-0000DA000000}"/>
    <cellStyle name="Comma 6 2 7" xfId="790" xr:uid="{00000000-0005-0000-0000-0000DA000000}"/>
    <cellStyle name="Comma 6 3" xfId="286" xr:uid="{00000000-0005-0000-0000-0000E0000000}"/>
    <cellStyle name="Comma 6 3 2" xfId="459" xr:uid="{00000000-0005-0000-0000-0000E1000000}"/>
    <cellStyle name="Comma 6 3 2 2" xfId="735" xr:uid="{00000000-0005-0000-0000-0000E1000000}"/>
    <cellStyle name="Comma 6 3 2 2 2" xfId="1163" xr:uid="{00000000-0005-0000-0000-0000E1000000}"/>
    <cellStyle name="Comma 6 3 2 3" xfId="949" xr:uid="{00000000-0005-0000-0000-0000E1000000}"/>
    <cellStyle name="Comma 6 3 3" xfId="593" xr:uid="{00000000-0005-0000-0000-0000E0000000}"/>
    <cellStyle name="Comma 6 3 3 2" xfId="1021" xr:uid="{00000000-0005-0000-0000-0000E0000000}"/>
    <cellStyle name="Comma 6 3 4" xfId="807" xr:uid="{00000000-0005-0000-0000-0000E0000000}"/>
    <cellStyle name="Comma 6 4" xfId="320" xr:uid="{00000000-0005-0000-0000-0000E2000000}"/>
    <cellStyle name="Comma 6 4 2" xfId="486" xr:uid="{00000000-0005-0000-0000-0000E3000000}"/>
    <cellStyle name="Comma 6 4 2 2" xfId="758" xr:uid="{00000000-0005-0000-0000-0000E3000000}"/>
    <cellStyle name="Comma 6 4 2 2 2" xfId="1186" xr:uid="{00000000-0005-0000-0000-0000E3000000}"/>
    <cellStyle name="Comma 6 4 2 3" xfId="972" xr:uid="{00000000-0005-0000-0000-0000E3000000}"/>
    <cellStyle name="Comma 6 4 3" xfId="627" xr:uid="{00000000-0005-0000-0000-0000E2000000}"/>
    <cellStyle name="Comma 6 4 3 2" xfId="1055" xr:uid="{00000000-0005-0000-0000-0000E2000000}"/>
    <cellStyle name="Comma 6 4 4" xfId="841" xr:uid="{00000000-0005-0000-0000-0000E2000000}"/>
    <cellStyle name="Comma 6 5" xfId="354" xr:uid="{00000000-0005-0000-0000-0000E4000000}"/>
    <cellStyle name="Comma 6 5 2" xfId="661" xr:uid="{00000000-0005-0000-0000-0000E4000000}"/>
    <cellStyle name="Comma 6 5 2 2" xfId="1089" xr:uid="{00000000-0005-0000-0000-0000E4000000}"/>
    <cellStyle name="Comma 6 5 3" xfId="875" xr:uid="{00000000-0005-0000-0000-0000E4000000}"/>
    <cellStyle name="Comma 6 6" xfId="391" xr:uid="{00000000-0005-0000-0000-0000E5000000}"/>
    <cellStyle name="Comma 6 6 2" xfId="697" xr:uid="{00000000-0005-0000-0000-0000E5000000}"/>
    <cellStyle name="Comma 6 6 2 2" xfId="1125" xr:uid="{00000000-0005-0000-0000-0000E5000000}"/>
    <cellStyle name="Comma 6 6 3" xfId="911" xr:uid="{00000000-0005-0000-0000-0000E5000000}"/>
    <cellStyle name="Comma 6 7" xfId="559" xr:uid="{00000000-0005-0000-0000-0000D9000000}"/>
    <cellStyle name="Comma 6 7 2" xfId="987" xr:uid="{00000000-0005-0000-0000-0000D9000000}"/>
    <cellStyle name="Comma 6 8" xfId="773" xr:uid="{00000000-0005-0000-0000-0000D9000000}"/>
    <cellStyle name="Comma 7" xfId="112" xr:uid="{00000000-0005-0000-0000-0000E6000000}"/>
    <cellStyle name="Comma 7 2" xfId="262" xr:uid="{00000000-0005-0000-0000-0000E7000000}"/>
    <cellStyle name="Comma 7 2 2" xfId="296" xr:uid="{00000000-0005-0000-0000-0000E8000000}"/>
    <cellStyle name="Comma 7 2 2 2" xfId="603" xr:uid="{00000000-0005-0000-0000-0000E8000000}"/>
    <cellStyle name="Comma 7 2 2 2 2" xfId="1031" xr:uid="{00000000-0005-0000-0000-0000E8000000}"/>
    <cellStyle name="Comma 7 2 2 3" xfId="817" xr:uid="{00000000-0005-0000-0000-0000E8000000}"/>
    <cellStyle name="Comma 7 2 3" xfId="330" xr:uid="{00000000-0005-0000-0000-0000E9000000}"/>
    <cellStyle name="Comma 7 2 3 2" xfId="637" xr:uid="{00000000-0005-0000-0000-0000E9000000}"/>
    <cellStyle name="Comma 7 2 3 2 2" xfId="1065" xr:uid="{00000000-0005-0000-0000-0000E9000000}"/>
    <cellStyle name="Comma 7 2 3 3" xfId="851" xr:uid="{00000000-0005-0000-0000-0000E9000000}"/>
    <cellStyle name="Comma 7 2 4" xfId="364" xr:uid="{00000000-0005-0000-0000-0000EA000000}"/>
    <cellStyle name="Comma 7 2 4 2" xfId="671" xr:uid="{00000000-0005-0000-0000-0000EA000000}"/>
    <cellStyle name="Comma 7 2 4 2 2" xfId="1099" xr:uid="{00000000-0005-0000-0000-0000EA000000}"/>
    <cellStyle name="Comma 7 2 4 3" xfId="885" xr:uid="{00000000-0005-0000-0000-0000EA000000}"/>
    <cellStyle name="Comma 7 2 5" xfId="430" xr:uid="{00000000-0005-0000-0000-0000EB000000}"/>
    <cellStyle name="Comma 7 2 5 2" xfId="709" xr:uid="{00000000-0005-0000-0000-0000EB000000}"/>
    <cellStyle name="Comma 7 2 5 2 2" xfId="1137" xr:uid="{00000000-0005-0000-0000-0000EB000000}"/>
    <cellStyle name="Comma 7 2 5 3" xfId="923" xr:uid="{00000000-0005-0000-0000-0000EB000000}"/>
    <cellStyle name="Comma 7 2 6" xfId="569" xr:uid="{00000000-0005-0000-0000-0000E7000000}"/>
    <cellStyle name="Comma 7 2 6 2" xfId="997" xr:uid="{00000000-0005-0000-0000-0000E7000000}"/>
    <cellStyle name="Comma 7 2 7" xfId="783" xr:uid="{00000000-0005-0000-0000-0000E7000000}"/>
    <cellStyle name="Comma 7 3" xfId="279" xr:uid="{00000000-0005-0000-0000-0000EC000000}"/>
    <cellStyle name="Comma 7 3 2" xfId="452" xr:uid="{00000000-0005-0000-0000-0000ED000000}"/>
    <cellStyle name="Comma 7 3 2 2" xfId="728" xr:uid="{00000000-0005-0000-0000-0000ED000000}"/>
    <cellStyle name="Comma 7 3 2 2 2" xfId="1156" xr:uid="{00000000-0005-0000-0000-0000ED000000}"/>
    <cellStyle name="Comma 7 3 2 3" xfId="942" xr:uid="{00000000-0005-0000-0000-0000ED000000}"/>
    <cellStyle name="Comma 7 3 3" xfId="586" xr:uid="{00000000-0005-0000-0000-0000EC000000}"/>
    <cellStyle name="Comma 7 3 3 2" xfId="1014" xr:uid="{00000000-0005-0000-0000-0000EC000000}"/>
    <cellStyle name="Comma 7 3 4" xfId="800" xr:uid="{00000000-0005-0000-0000-0000EC000000}"/>
    <cellStyle name="Comma 7 4" xfId="313" xr:uid="{00000000-0005-0000-0000-0000EE000000}"/>
    <cellStyle name="Comma 7 4 2" xfId="487" xr:uid="{00000000-0005-0000-0000-0000EF000000}"/>
    <cellStyle name="Comma 7 4 2 2" xfId="759" xr:uid="{00000000-0005-0000-0000-0000EF000000}"/>
    <cellStyle name="Comma 7 4 2 2 2" xfId="1187" xr:uid="{00000000-0005-0000-0000-0000EF000000}"/>
    <cellStyle name="Comma 7 4 2 3" xfId="973" xr:uid="{00000000-0005-0000-0000-0000EF000000}"/>
    <cellStyle name="Comma 7 4 3" xfId="620" xr:uid="{00000000-0005-0000-0000-0000EE000000}"/>
    <cellStyle name="Comma 7 4 3 2" xfId="1048" xr:uid="{00000000-0005-0000-0000-0000EE000000}"/>
    <cellStyle name="Comma 7 4 4" xfId="834" xr:uid="{00000000-0005-0000-0000-0000EE000000}"/>
    <cellStyle name="Comma 7 5" xfId="347" xr:uid="{00000000-0005-0000-0000-0000F0000000}"/>
    <cellStyle name="Comma 7 5 2" xfId="654" xr:uid="{00000000-0005-0000-0000-0000F0000000}"/>
    <cellStyle name="Comma 7 5 2 2" xfId="1082" xr:uid="{00000000-0005-0000-0000-0000F0000000}"/>
    <cellStyle name="Comma 7 5 3" xfId="868" xr:uid="{00000000-0005-0000-0000-0000F0000000}"/>
    <cellStyle name="Comma 7 6" xfId="384" xr:uid="{00000000-0005-0000-0000-0000F1000000}"/>
    <cellStyle name="Comma 7 6 2" xfId="690" xr:uid="{00000000-0005-0000-0000-0000F1000000}"/>
    <cellStyle name="Comma 7 6 2 2" xfId="1118" xr:uid="{00000000-0005-0000-0000-0000F1000000}"/>
    <cellStyle name="Comma 7 6 3" xfId="904" xr:uid="{00000000-0005-0000-0000-0000F1000000}"/>
    <cellStyle name="Comma 7 7" xfId="552" xr:uid="{00000000-0005-0000-0000-0000E6000000}"/>
    <cellStyle name="Comma 7 7 2" xfId="980" xr:uid="{00000000-0005-0000-0000-0000E6000000}"/>
    <cellStyle name="Comma 7 8" xfId="766" xr:uid="{00000000-0005-0000-0000-0000E6000000}"/>
    <cellStyle name="Comma 8" xfId="243" xr:uid="{00000000-0005-0000-0000-0000F2000000}"/>
    <cellStyle name="Comma 8 2" xfId="276" xr:uid="{00000000-0005-0000-0000-0000F3000000}"/>
    <cellStyle name="Comma 8 2 2" xfId="310" xr:uid="{00000000-0005-0000-0000-0000F4000000}"/>
    <cellStyle name="Comma 8 2 2 2" xfId="617" xr:uid="{00000000-0005-0000-0000-0000F4000000}"/>
    <cellStyle name="Comma 8 2 2 2 2" xfId="1045" xr:uid="{00000000-0005-0000-0000-0000F4000000}"/>
    <cellStyle name="Comma 8 2 2 3" xfId="831" xr:uid="{00000000-0005-0000-0000-0000F4000000}"/>
    <cellStyle name="Comma 8 2 3" xfId="344" xr:uid="{00000000-0005-0000-0000-0000F5000000}"/>
    <cellStyle name="Comma 8 2 3 2" xfId="651" xr:uid="{00000000-0005-0000-0000-0000F5000000}"/>
    <cellStyle name="Comma 8 2 3 2 2" xfId="1079" xr:uid="{00000000-0005-0000-0000-0000F5000000}"/>
    <cellStyle name="Comma 8 2 3 3" xfId="865" xr:uid="{00000000-0005-0000-0000-0000F5000000}"/>
    <cellStyle name="Comma 8 2 4" xfId="378" xr:uid="{00000000-0005-0000-0000-0000F6000000}"/>
    <cellStyle name="Comma 8 2 4 2" xfId="685" xr:uid="{00000000-0005-0000-0000-0000F6000000}"/>
    <cellStyle name="Comma 8 2 4 2 2" xfId="1113" xr:uid="{00000000-0005-0000-0000-0000F6000000}"/>
    <cellStyle name="Comma 8 2 4 3" xfId="899" xr:uid="{00000000-0005-0000-0000-0000F6000000}"/>
    <cellStyle name="Comma 8 2 5" xfId="444" xr:uid="{00000000-0005-0000-0000-0000F7000000}"/>
    <cellStyle name="Comma 8 2 5 2" xfId="723" xr:uid="{00000000-0005-0000-0000-0000F7000000}"/>
    <cellStyle name="Comma 8 2 5 2 2" xfId="1151" xr:uid="{00000000-0005-0000-0000-0000F7000000}"/>
    <cellStyle name="Comma 8 2 5 3" xfId="937" xr:uid="{00000000-0005-0000-0000-0000F7000000}"/>
    <cellStyle name="Comma 8 2 6" xfId="583" xr:uid="{00000000-0005-0000-0000-0000F3000000}"/>
    <cellStyle name="Comma 8 2 6 2" xfId="1011" xr:uid="{00000000-0005-0000-0000-0000F3000000}"/>
    <cellStyle name="Comma 8 2 7" xfId="797" xr:uid="{00000000-0005-0000-0000-0000F3000000}"/>
    <cellStyle name="Comma 8 3" xfId="293" xr:uid="{00000000-0005-0000-0000-0000F8000000}"/>
    <cellStyle name="Comma 8 3 2" xfId="466" xr:uid="{00000000-0005-0000-0000-0000F9000000}"/>
    <cellStyle name="Comma 8 3 2 2" xfId="742" xr:uid="{00000000-0005-0000-0000-0000F9000000}"/>
    <cellStyle name="Comma 8 3 2 2 2" xfId="1170" xr:uid="{00000000-0005-0000-0000-0000F9000000}"/>
    <cellStyle name="Comma 8 3 2 3" xfId="956" xr:uid="{00000000-0005-0000-0000-0000F9000000}"/>
    <cellStyle name="Comma 8 3 3" xfId="600" xr:uid="{00000000-0005-0000-0000-0000F8000000}"/>
    <cellStyle name="Comma 8 3 3 2" xfId="1028" xr:uid="{00000000-0005-0000-0000-0000F8000000}"/>
    <cellStyle name="Comma 8 3 4" xfId="814" xr:uid="{00000000-0005-0000-0000-0000F8000000}"/>
    <cellStyle name="Comma 8 4" xfId="327" xr:uid="{00000000-0005-0000-0000-0000FA000000}"/>
    <cellStyle name="Comma 8 4 2" xfId="488" xr:uid="{00000000-0005-0000-0000-0000FB000000}"/>
    <cellStyle name="Comma 8 4 2 2" xfId="760" xr:uid="{00000000-0005-0000-0000-0000FB000000}"/>
    <cellStyle name="Comma 8 4 2 2 2" xfId="1188" xr:uid="{00000000-0005-0000-0000-0000FB000000}"/>
    <cellStyle name="Comma 8 4 2 3" xfId="974" xr:uid="{00000000-0005-0000-0000-0000FB000000}"/>
    <cellStyle name="Comma 8 4 3" xfId="634" xr:uid="{00000000-0005-0000-0000-0000FA000000}"/>
    <cellStyle name="Comma 8 4 3 2" xfId="1062" xr:uid="{00000000-0005-0000-0000-0000FA000000}"/>
    <cellStyle name="Comma 8 4 4" xfId="848" xr:uid="{00000000-0005-0000-0000-0000FA000000}"/>
    <cellStyle name="Comma 8 5" xfId="361" xr:uid="{00000000-0005-0000-0000-0000FC000000}"/>
    <cellStyle name="Comma 8 5 2" xfId="668" xr:uid="{00000000-0005-0000-0000-0000FC000000}"/>
    <cellStyle name="Comma 8 5 2 2" xfId="1096" xr:uid="{00000000-0005-0000-0000-0000FC000000}"/>
    <cellStyle name="Comma 8 5 3" xfId="882" xr:uid="{00000000-0005-0000-0000-0000FC000000}"/>
    <cellStyle name="Comma 8 6" xfId="410" xr:uid="{00000000-0005-0000-0000-0000FD000000}"/>
    <cellStyle name="Comma 8 6 2" xfId="704" xr:uid="{00000000-0005-0000-0000-0000FD000000}"/>
    <cellStyle name="Comma 8 6 2 2" xfId="1132" xr:uid="{00000000-0005-0000-0000-0000FD000000}"/>
    <cellStyle name="Comma 8 6 3" xfId="918" xr:uid="{00000000-0005-0000-0000-0000FD000000}"/>
    <cellStyle name="Comma 8 7" xfId="566" xr:uid="{00000000-0005-0000-0000-0000F2000000}"/>
    <cellStyle name="Comma 8 7 2" xfId="994" xr:uid="{00000000-0005-0000-0000-0000F2000000}"/>
    <cellStyle name="Comma 8 8" xfId="780" xr:uid="{00000000-0005-0000-0000-0000F2000000}"/>
    <cellStyle name="Comma 9" xfId="278" xr:uid="{00000000-0005-0000-0000-0000FE000000}"/>
    <cellStyle name="Comma 9 2" xfId="312" xr:uid="{00000000-0005-0000-0000-0000FF000000}"/>
    <cellStyle name="Comma 9 2 2" xfId="520" xr:uid="{00000000-0005-0000-0000-000000010000}"/>
    <cellStyle name="Comma 9 2 2 2" xfId="764" xr:uid="{00000000-0005-0000-0000-000000010000}"/>
    <cellStyle name="Comma 9 2 2 2 2" xfId="1192" xr:uid="{00000000-0005-0000-0000-000000010000}"/>
    <cellStyle name="Comma 9 2 2 3" xfId="978" xr:uid="{00000000-0005-0000-0000-000000010000}"/>
    <cellStyle name="Comma 9 2 3" xfId="445" xr:uid="{00000000-0005-0000-0000-000001010000}"/>
    <cellStyle name="Comma 9 2 3 2" xfId="724" xr:uid="{00000000-0005-0000-0000-000001010000}"/>
    <cellStyle name="Comma 9 2 3 2 2" xfId="1152" xr:uid="{00000000-0005-0000-0000-000001010000}"/>
    <cellStyle name="Comma 9 2 3 3" xfId="938" xr:uid="{00000000-0005-0000-0000-000001010000}"/>
    <cellStyle name="Comma 9 2 4" xfId="619" xr:uid="{00000000-0005-0000-0000-0000FF000000}"/>
    <cellStyle name="Comma 9 2 4 2" xfId="1047" xr:uid="{00000000-0005-0000-0000-0000FF000000}"/>
    <cellStyle name="Comma 9 2 5" xfId="833" xr:uid="{00000000-0005-0000-0000-0000FF000000}"/>
    <cellStyle name="Comma 9 3" xfId="346" xr:uid="{00000000-0005-0000-0000-000002010000}"/>
    <cellStyle name="Comma 9 3 2" xfId="467" xr:uid="{00000000-0005-0000-0000-000003010000}"/>
    <cellStyle name="Comma 9 3 2 2" xfId="743" xr:uid="{00000000-0005-0000-0000-000003010000}"/>
    <cellStyle name="Comma 9 3 2 2 2" xfId="1171" xr:uid="{00000000-0005-0000-0000-000003010000}"/>
    <cellStyle name="Comma 9 3 2 3" xfId="957" xr:uid="{00000000-0005-0000-0000-000003010000}"/>
    <cellStyle name="Comma 9 3 3" xfId="653" xr:uid="{00000000-0005-0000-0000-000002010000}"/>
    <cellStyle name="Comma 9 3 3 2" xfId="1081" xr:uid="{00000000-0005-0000-0000-000002010000}"/>
    <cellStyle name="Comma 9 3 4" xfId="867" xr:uid="{00000000-0005-0000-0000-000002010000}"/>
    <cellStyle name="Comma 9 4" xfId="380" xr:uid="{00000000-0005-0000-0000-000004010000}"/>
    <cellStyle name="Comma 9 4 2" xfId="489" xr:uid="{00000000-0005-0000-0000-000005010000}"/>
    <cellStyle name="Comma 9 4 2 2" xfId="761" xr:uid="{00000000-0005-0000-0000-000005010000}"/>
    <cellStyle name="Comma 9 4 2 2 2" xfId="1189" xr:uid="{00000000-0005-0000-0000-000005010000}"/>
    <cellStyle name="Comma 9 4 2 3" xfId="975" xr:uid="{00000000-0005-0000-0000-000005010000}"/>
    <cellStyle name="Comma 9 4 3" xfId="687" xr:uid="{00000000-0005-0000-0000-000004010000}"/>
    <cellStyle name="Comma 9 4 3 2" xfId="1115" xr:uid="{00000000-0005-0000-0000-000004010000}"/>
    <cellStyle name="Comma 9 4 4" xfId="901" xr:uid="{00000000-0005-0000-0000-000004010000}"/>
    <cellStyle name="Comma 9 5" xfId="412" xr:uid="{00000000-0005-0000-0000-000006010000}"/>
    <cellStyle name="Comma 9 5 2" xfId="705" xr:uid="{00000000-0005-0000-0000-000006010000}"/>
    <cellStyle name="Comma 9 5 2 2" xfId="1133" xr:uid="{00000000-0005-0000-0000-000006010000}"/>
    <cellStyle name="Comma 9 5 3" xfId="919" xr:uid="{00000000-0005-0000-0000-000006010000}"/>
    <cellStyle name="Comma 9 6" xfId="585" xr:uid="{00000000-0005-0000-0000-0000FE000000}"/>
    <cellStyle name="Comma 9 6 2" xfId="1013" xr:uid="{00000000-0005-0000-0000-0000FE000000}"/>
    <cellStyle name="Comma 9 7" xfId="799" xr:uid="{00000000-0005-0000-0000-0000FE000000}"/>
    <cellStyle name="Explanatory Text 2" xfId="120" xr:uid="{00000000-0005-0000-0000-000007010000}"/>
    <cellStyle name="Good 2" xfId="121" xr:uid="{00000000-0005-0000-0000-000008010000}"/>
    <cellStyle name="Heading 1 2" xfId="122" xr:uid="{00000000-0005-0000-0000-000009010000}"/>
    <cellStyle name="Heading 2 2" xfId="123" xr:uid="{00000000-0005-0000-0000-00000A010000}"/>
    <cellStyle name="Heading 3 2" xfId="124" xr:uid="{00000000-0005-0000-0000-00000B010000}"/>
    <cellStyle name="Heading 4 2" xfId="125" xr:uid="{00000000-0005-0000-0000-00000C010000}"/>
    <cellStyle name="Hyperlink" xfId="57" builtinId="8"/>
    <cellStyle name="Hyperlink 2" xfId="3" xr:uid="{00000000-0005-0000-0000-000003000000}"/>
    <cellStyle name="Hyperlink 2 2" xfId="126" xr:uid="{00000000-0005-0000-0000-00000F010000}"/>
    <cellStyle name="Hyperlink 2 3" xfId="490" xr:uid="{00000000-0005-0000-0000-000010010000}"/>
    <cellStyle name="Hyperlink 3" xfId="4" xr:uid="{00000000-0005-0000-0000-000004000000}"/>
    <cellStyle name="Hyperlink 3 2" xfId="248" xr:uid="{00000000-0005-0000-0000-000012010000}"/>
    <cellStyle name="Hyperlink 3 2 2" xfId="491" xr:uid="{00000000-0005-0000-0000-000013010000}"/>
    <cellStyle name="Hyperlink 3 2 3" xfId="392" xr:uid="{00000000-0005-0000-0000-000014010000}"/>
    <cellStyle name="Hyperlink 3 3" xfId="416" xr:uid="{00000000-0005-0000-0000-000015010000}"/>
    <cellStyle name="Hyperlink 3 4" xfId="127" xr:uid="{00000000-0005-0000-0000-000011010000}"/>
    <cellStyle name="Hyperlink 4" xfId="22" xr:uid="{00000000-0005-0000-0000-000005000000}"/>
    <cellStyle name="Hyperlink 4 2" xfId="547" xr:uid="{00000000-0005-0000-0000-000017010000}"/>
    <cellStyle name="Hyperlink 4 3" xfId="128" xr:uid="{00000000-0005-0000-0000-000016010000}"/>
    <cellStyle name="Hyperlink 5" xfId="129" xr:uid="{00000000-0005-0000-0000-000018010000}"/>
    <cellStyle name="Hyperlink 6" xfId="492" xr:uid="{00000000-0005-0000-0000-000019010000}"/>
    <cellStyle name="Input 2" xfId="130" xr:uid="{00000000-0005-0000-0000-00001A010000}"/>
    <cellStyle name="Linked Cell 2" xfId="131" xr:uid="{00000000-0005-0000-0000-00001B010000}"/>
    <cellStyle name="Neutral 2" xfId="132" xr:uid="{00000000-0005-0000-0000-00001C010000}"/>
    <cellStyle name="Normal" xfId="0" builtinId="0"/>
    <cellStyle name="Normal 10" xfId="19" xr:uid="{00000000-0005-0000-0000-000007000000}"/>
    <cellStyle name="Normal 10 2" xfId="20" xr:uid="{00000000-0005-0000-0000-000008000000}"/>
    <cellStyle name="Normal 10 2 2" xfId="545" xr:uid="{00000000-0005-0000-0000-000020010000}"/>
    <cellStyle name="Normal 10 2 3" xfId="134" xr:uid="{00000000-0005-0000-0000-00001F010000}"/>
    <cellStyle name="Normal 10 3" xfId="23" xr:uid="{00000000-0005-0000-0000-000009000000}"/>
    <cellStyle name="Normal 10 3 2" xfId="24" xr:uid="{00000000-0005-0000-0000-00000A000000}"/>
    <cellStyle name="Normal 10 3 2 2" xfId="34" xr:uid="{00000000-0005-0000-0000-00000B000000}"/>
    <cellStyle name="Normal 10 3 2 3" xfId="41" xr:uid="{CDD8C42F-A4E4-45E0-93AE-199F07BF91CB}"/>
    <cellStyle name="Normal 10 3 2 4" xfId="493" xr:uid="{00000000-0005-0000-0000-000022010000}"/>
    <cellStyle name="Normal 10 3 3" xfId="33" xr:uid="{00000000-0005-0000-0000-00000C000000}"/>
    <cellStyle name="Normal 10 3 3 2" xfId="393" xr:uid="{00000000-0005-0000-0000-000023010000}"/>
    <cellStyle name="Normal 10 3 4" xfId="249" xr:uid="{00000000-0005-0000-0000-000021010000}"/>
    <cellStyle name="Normal 10 4" xfId="31" xr:uid="{00000000-0005-0000-0000-00000D000000}"/>
    <cellStyle name="Normal 10 4 2" xfId="40" xr:uid="{1BFCAB38-8FB5-4B6B-878B-F8EB099BA6BA}"/>
    <cellStyle name="Normal 10 4 3" xfId="46" xr:uid="{C4AE678E-847B-4C29-AAC1-5D2CE9FA99BF}"/>
    <cellStyle name="Normal 10 4 3 2" xfId="47" xr:uid="{1DF810AB-3971-47B5-9DC5-EDE9120A56C2}"/>
    <cellStyle name="Normal 10 4 3 2 2" xfId="50" xr:uid="{BE8B44C9-B2BE-4EDB-9E13-46199BBB0986}"/>
    <cellStyle name="Normal 10 4 4" xfId="49" xr:uid="{E6982016-3CB0-4E8E-A495-D5EC468E1906}"/>
    <cellStyle name="Normal 10 4 5" xfId="60" xr:uid="{4369F6DA-EA9E-444B-8AA0-5AEE578382B4}"/>
    <cellStyle name="Normal 10 4 6" xfId="417" xr:uid="{00000000-0005-0000-0000-000024010000}"/>
    <cellStyle name="Normal 10 5" xfId="38" xr:uid="{B0E89674-3FBF-4B0C-A93B-FCC4C4D643B6}"/>
    <cellStyle name="Normal 10 6" xfId="42" xr:uid="{20A33D40-FEBE-43CA-8417-BD06002EC548}"/>
    <cellStyle name="Normal 10 6 2 2" xfId="48" xr:uid="{412D161B-353C-4DA7-B112-66176B0D4442}"/>
    <cellStyle name="Normal 10 7" xfId="44" xr:uid="{7716E907-EFBA-4F2B-88A5-FA81DA497002}"/>
    <cellStyle name="Normal 10 8" xfId="59" xr:uid="{64E774C4-6498-4FE3-809E-35FD9F1F13E7}"/>
    <cellStyle name="Normal 10 9" xfId="133" xr:uid="{00000000-0005-0000-0000-00001E010000}"/>
    <cellStyle name="Normal 11" xfId="37" xr:uid="{EA358A65-EAC9-4133-848E-2B286F6D3F9D}"/>
    <cellStyle name="Normal 11 2" xfId="548" xr:uid="{00000000-0005-0000-0000-000027010000}"/>
    <cellStyle name="Normal 11 3" xfId="135" xr:uid="{00000000-0005-0000-0000-000026010000}"/>
    <cellStyle name="Normal 12" xfId="45" xr:uid="{E9E3E399-93C0-4A3D-B39F-0257F34FBB03}"/>
    <cellStyle name="Normal 12 2" xfId="137" xr:uid="{00000000-0005-0000-0000-000029010000}"/>
    <cellStyle name="Normal 12 3" xfId="549" xr:uid="{00000000-0005-0000-0000-00002A010000}"/>
    <cellStyle name="Normal 12 4" xfId="136" xr:uid="{00000000-0005-0000-0000-000028010000}"/>
    <cellStyle name="Normal 128" xfId="250" xr:uid="{00000000-0005-0000-0000-00002B010000}"/>
    <cellStyle name="Normal 128 2" xfId="521" xr:uid="{00000000-0005-0000-0000-00002C010000}"/>
    <cellStyle name="Normal 128 3" xfId="494" xr:uid="{00000000-0005-0000-0000-00002D010000}"/>
    <cellStyle name="Normal 13" xfId="1" xr:uid="{00000000-0005-0000-0000-000035000000}"/>
    <cellStyle name="Normal 13 2" xfId="551" xr:uid="{00000000-0005-0000-0000-00002F010000}"/>
    <cellStyle name="Normal 13 3" xfId="138" xr:uid="{00000000-0005-0000-0000-00002E010000}"/>
    <cellStyle name="Normal 14" xfId="61" xr:uid="{00000000-0005-0000-0000-00006C000000}"/>
    <cellStyle name="Normal 14 2" xfId="140" xr:uid="{00000000-0005-0000-0000-000031010000}"/>
    <cellStyle name="Normal 14 3" xfId="139" xr:uid="{00000000-0005-0000-0000-000030010000}"/>
    <cellStyle name="Normal 15" xfId="141" xr:uid="{00000000-0005-0000-0000-000032010000}"/>
    <cellStyle name="Normal 16" xfId="142" xr:uid="{00000000-0005-0000-0000-000033010000}"/>
    <cellStyle name="Normal 17" xfId="143" xr:uid="{00000000-0005-0000-0000-000034010000}"/>
    <cellStyle name="Normal 18" xfId="144" xr:uid="{00000000-0005-0000-0000-000035010000}"/>
    <cellStyle name="Normal 19" xfId="145" xr:uid="{00000000-0005-0000-0000-000036010000}"/>
    <cellStyle name="Normal 2" xfId="5" xr:uid="{00000000-0005-0000-0000-00000E000000}"/>
    <cellStyle name="Normal 2 2" xfId="6" xr:uid="{00000000-0005-0000-0000-00000F000000}"/>
    <cellStyle name="Normal 2 2 2" xfId="26" xr:uid="{00000000-0005-0000-0000-000010000000}"/>
    <cellStyle name="Normal 2 2 2 2" xfId="147" xr:uid="{00000000-0005-0000-0000-00003A010000}"/>
    <cellStyle name="Normal 2 2 2 3" xfId="523" xr:uid="{00000000-0005-0000-0000-00003B010000}"/>
    <cellStyle name="Normal 2 2 2 4" xfId="496" xr:uid="{00000000-0005-0000-0000-00003C010000}"/>
    <cellStyle name="Normal 2 2 3" xfId="148" xr:uid="{00000000-0005-0000-0000-00003D010000}"/>
    <cellStyle name="Normal 2 2 4" xfId="522" xr:uid="{00000000-0005-0000-0000-00003E010000}"/>
    <cellStyle name="Normal 2 2 5" xfId="495" xr:uid="{00000000-0005-0000-0000-00003F010000}"/>
    <cellStyle name="Normal 2 2 6" xfId="540" xr:uid="{00000000-0005-0000-0000-000040010000}"/>
    <cellStyle name="Normal 2 3" xfId="7" xr:uid="{00000000-0005-0000-0000-000011000000}"/>
    <cellStyle name="Normal 2 3 2" xfId="251" xr:uid="{00000000-0005-0000-0000-000042010000}"/>
    <cellStyle name="Normal 2 3 2 2" xfId="497" xr:uid="{00000000-0005-0000-0000-000043010000}"/>
    <cellStyle name="Normal 2 3 2 3" xfId="394" xr:uid="{00000000-0005-0000-0000-000044010000}"/>
    <cellStyle name="Normal 2 3 3" xfId="418" xr:uid="{00000000-0005-0000-0000-000045010000}"/>
    <cellStyle name="Normal 2 3 4" xfId="149" xr:uid="{00000000-0005-0000-0000-000041010000}"/>
    <cellStyle name="Normal 2 4" xfId="150" xr:uid="{00000000-0005-0000-0000-000046010000}"/>
    <cellStyle name="Normal 2 4 2" xfId="36" xr:uid="{47478D7E-6B8A-404F-A5CD-8BD2DBE5BB9E}"/>
    <cellStyle name="Normal 2 4 2 2" xfId="498" xr:uid="{00000000-0005-0000-0000-000048010000}"/>
    <cellStyle name="Normal 2 4 2 3" xfId="395" xr:uid="{00000000-0005-0000-0000-000049010000}"/>
    <cellStyle name="Normal 2 4 2 4" xfId="253" xr:uid="{00000000-0005-0000-0000-000047010000}"/>
    <cellStyle name="Normal 2 4 3" xfId="252" xr:uid="{00000000-0005-0000-0000-00004A010000}"/>
    <cellStyle name="Normal 2 4 4" xfId="419" xr:uid="{00000000-0005-0000-0000-00004B010000}"/>
    <cellStyle name="Normal 2 5" xfId="226" xr:uid="{00000000-0005-0000-0000-00004C010000}"/>
    <cellStyle name="Normal 2 6" xfId="499" xr:uid="{00000000-0005-0000-0000-00004D010000}"/>
    <cellStyle name="Normal 2 7" xfId="146" xr:uid="{00000000-0005-0000-0000-000037010000}"/>
    <cellStyle name="Normal 2_Contents" xfId="447" xr:uid="{00000000-0005-0000-0000-00004E010000}"/>
    <cellStyle name="Normal 20" xfId="151" xr:uid="{00000000-0005-0000-0000-00004F010000}"/>
    <cellStyle name="Normal 20 2" xfId="524" xr:uid="{00000000-0005-0000-0000-000050010000}"/>
    <cellStyle name="Normal 20 3" xfId="500" xr:uid="{00000000-0005-0000-0000-000051010000}"/>
    <cellStyle name="Normal 21" xfId="35" xr:uid="{B41D9088-FB35-4792-B95B-C685A70BE7E2}"/>
    <cellStyle name="Normal 21 2" xfId="62" xr:uid="{00000000-0005-0000-0000-000052010000}"/>
    <cellStyle name="Normal 22" xfId="219" xr:uid="{00000000-0005-0000-0000-000053010000}"/>
    <cellStyle name="Normal 22 2" xfId="525" xr:uid="{00000000-0005-0000-0000-000054010000}"/>
    <cellStyle name="Normal 22 3" xfId="501" xr:uid="{00000000-0005-0000-0000-000055010000}"/>
    <cellStyle name="Normal 23" xfId="244" xr:uid="{00000000-0005-0000-0000-000056010000}"/>
    <cellStyle name="Normal 24" xfId="411" xr:uid="{00000000-0005-0000-0000-000057010000}"/>
    <cellStyle name="Normal 24 2" xfId="526" xr:uid="{00000000-0005-0000-0000-000058010000}"/>
    <cellStyle name="Normal 24 3" xfId="502" xr:uid="{00000000-0005-0000-0000-000059010000}"/>
    <cellStyle name="Normal 25" xfId="381" xr:uid="{00000000-0005-0000-0000-00005A010000}"/>
    <cellStyle name="Normal 25 2" xfId="515" xr:uid="{00000000-0005-0000-0000-00005B010000}"/>
    <cellStyle name="Normal 26" xfId="536" xr:uid="{00000000-0005-0000-0000-00005C010000}"/>
    <cellStyle name="Normal 27" xfId="537" xr:uid="{00000000-0005-0000-0000-00005D010000}"/>
    <cellStyle name="Normal 28" xfId="469" xr:uid="{00000000-0005-0000-0000-00005E010000}"/>
    <cellStyle name="Normal 29" xfId="538" xr:uid="{00000000-0005-0000-0000-00005F010000}"/>
    <cellStyle name="Normal 3" xfId="8" xr:uid="{00000000-0005-0000-0000-000012000000}"/>
    <cellStyle name="Normal 3 2" xfId="153" xr:uid="{00000000-0005-0000-0000-000061010000}"/>
    <cellStyle name="Normal 3 2 2" xfId="154" xr:uid="{00000000-0005-0000-0000-000062010000}"/>
    <cellStyle name="Normal 3 3" xfId="155" xr:uid="{00000000-0005-0000-0000-000063010000}"/>
    <cellStyle name="Normal 3 4" xfId="156" xr:uid="{00000000-0005-0000-0000-000064010000}"/>
    <cellStyle name="Normal 3 5" xfId="227" xr:uid="{00000000-0005-0000-0000-000065010000}"/>
    <cellStyle name="Normal 3 6" xfId="396" xr:uid="{00000000-0005-0000-0000-000066010000}"/>
    <cellStyle name="Normal 3 7" xfId="152" xr:uid="{00000000-0005-0000-0000-000060010000}"/>
    <cellStyle name="Normal 3_Contents" xfId="448" xr:uid="{00000000-0005-0000-0000-000067010000}"/>
    <cellStyle name="Normal 4" xfId="9" xr:uid="{00000000-0005-0000-0000-000013000000}"/>
    <cellStyle name="Normal 4 2" xfId="27" xr:uid="{00000000-0005-0000-0000-000014000000}"/>
    <cellStyle name="Normal 4 2 2" xfId="157" xr:uid="{00000000-0005-0000-0000-000069010000}"/>
    <cellStyle name="Normal 4 3" xfId="158" xr:uid="{00000000-0005-0000-0000-00006A010000}"/>
    <cellStyle name="Normal 4 4" xfId="254" xr:uid="{00000000-0005-0000-0000-00006B010000}"/>
    <cellStyle name="Normal 4 5" xfId="420" xr:uid="{00000000-0005-0000-0000-00006C010000}"/>
    <cellStyle name="Normal 4 5 2" xfId="527" xr:uid="{00000000-0005-0000-0000-00006D010000}"/>
    <cellStyle name="Normal 4 5 3" xfId="503" xr:uid="{00000000-0005-0000-0000-00006E010000}"/>
    <cellStyle name="Normal 4 6" xfId="541" xr:uid="{00000000-0005-0000-0000-00006F010000}"/>
    <cellStyle name="Normal 5" xfId="10" xr:uid="{00000000-0005-0000-0000-000015000000}"/>
    <cellStyle name="Normal 5 10" xfId="470" xr:uid="{00000000-0005-0000-0000-000071010000}"/>
    <cellStyle name="Normal 5 11" xfId="159" xr:uid="{00000000-0005-0000-0000-000070010000}"/>
    <cellStyle name="Normal 5 2" xfId="160" xr:uid="{00000000-0005-0000-0000-000072010000}"/>
    <cellStyle name="Normal 5 2 2" xfId="161" xr:uid="{00000000-0005-0000-0000-000073010000}"/>
    <cellStyle name="Normal 5 3" xfId="162" xr:uid="{00000000-0005-0000-0000-000074010000}"/>
    <cellStyle name="Normal 5 3 2" xfId="163" xr:uid="{00000000-0005-0000-0000-000075010000}"/>
    <cellStyle name="Normal 5 4" xfId="164" xr:uid="{00000000-0005-0000-0000-000076010000}"/>
    <cellStyle name="Normal 5 5" xfId="165" xr:uid="{00000000-0005-0000-0000-000077010000}"/>
    <cellStyle name="Normal 5 6" xfId="228" xr:uid="{00000000-0005-0000-0000-000078010000}"/>
    <cellStyle name="Normal 5 7" xfId="255" xr:uid="{00000000-0005-0000-0000-000079010000}"/>
    <cellStyle name="Normal 5 7 2" xfId="504" xr:uid="{00000000-0005-0000-0000-00007A010000}"/>
    <cellStyle name="Normal 5 7 3" xfId="397" xr:uid="{00000000-0005-0000-0000-00007B010000}"/>
    <cellStyle name="Normal 5 8" xfId="421" xr:uid="{00000000-0005-0000-0000-00007C010000}"/>
    <cellStyle name="Normal 5 9" xfId="516" xr:uid="{00000000-0005-0000-0000-00007D010000}"/>
    <cellStyle name="Normal 5_Contents" xfId="449" xr:uid="{00000000-0005-0000-0000-00007E010000}"/>
    <cellStyle name="Normal 6" xfId="11" xr:uid="{00000000-0005-0000-0000-000016000000}"/>
    <cellStyle name="Normal 6 2" xfId="167" xr:uid="{00000000-0005-0000-0000-000080010000}"/>
    <cellStyle name="Normal 6 3" xfId="168" xr:uid="{00000000-0005-0000-0000-000081010000}"/>
    <cellStyle name="Normal 6 3 2" xfId="169" xr:uid="{00000000-0005-0000-0000-000082010000}"/>
    <cellStyle name="Normal 6 3 3" xfId="528" xr:uid="{00000000-0005-0000-0000-000083010000}"/>
    <cellStyle name="Normal 6 3 4" xfId="505" xr:uid="{00000000-0005-0000-0000-000084010000}"/>
    <cellStyle name="Normal 6 4" xfId="170" xr:uid="{00000000-0005-0000-0000-000085010000}"/>
    <cellStyle name="Normal 6 5" xfId="229" xr:uid="{00000000-0005-0000-0000-000086010000}"/>
    <cellStyle name="Normal 6 6" xfId="256" xr:uid="{00000000-0005-0000-0000-000087010000}"/>
    <cellStyle name="Normal 6 6 2" xfId="506" xr:uid="{00000000-0005-0000-0000-000088010000}"/>
    <cellStyle name="Normal 6 6 3" xfId="398" xr:uid="{00000000-0005-0000-0000-000089010000}"/>
    <cellStyle name="Normal 6 7" xfId="422" xr:uid="{00000000-0005-0000-0000-00008A010000}"/>
    <cellStyle name="Normal 6 8" xfId="166" xr:uid="{00000000-0005-0000-0000-00007F010000}"/>
    <cellStyle name="Normal 7" xfId="12" xr:uid="{00000000-0005-0000-0000-000017000000}"/>
    <cellStyle name="Normal 7 2" xfId="28" xr:uid="{00000000-0005-0000-0000-000018000000}"/>
    <cellStyle name="Normal 7 2 2" xfId="231" xr:uid="{00000000-0005-0000-0000-00008D010000}"/>
    <cellStyle name="Normal 7 2 3" xfId="246" xr:uid="{00000000-0005-0000-0000-00008E010000}"/>
    <cellStyle name="Normal 7 2 3 2" xfId="529" xr:uid="{00000000-0005-0000-0000-00008F010000}"/>
    <cellStyle name="Normal 7 2 3 3" xfId="507" xr:uid="{00000000-0005-0000-0000-000090010000}"/>
    <cellStyle name="Normal 7 2 4" xfId="423" xr:uid="{00000000-0005-0000-0000-000091010000}"/>
    <cellStyle name="Normal 7 2 5" xfId="172" xr:uid="{00000000-0005-0000-0000-00008C010000}"/>
    <cellStyle name="Normal 7 3" xfId="39" xr:uid="{BBABACC9-7053-47CC-A67D-362B295FB8D6}"/>
    <cellStyle name="Normal 7 3 2" xfId="232" xr:uid="{00000000-0005-0000-0000-000093010000}"/>
    <cellStyle name="Normal 7 3 3" xfId="173" xr:uid="{00000000-0005-0000-0000-000092010000}"/>
    <cellStyle name="Normal 7 4" xfId="51" xr:uid="{FA27D198-6609-40B9-9E74-032A37876298}"/>
    <cellStyle name="Normal 7 4 2" xfId="230" xr:uid="{00000000-0005-0000-0000-000094010000}"/>
    <cellStyle name="Normal 7 5" xfId="257" xr:uid="{00000000-0005-0000-0000-000095010000}"/>
    <cellStyle name="Normal 7 5 2" xfId="530" xr:uid="{00000000-0005-0000-0000-000096010000}"/>
    <cellStyle name="Normal 7 5 3" xfId="508" xr:uid="{00000000-0005-0000-0000-000097010000}"/>
    <cellStyle name="Normal 7 5 4" xfId="399" xr:uid="{00000000-0005-0000-0000-000098010000}"/>
    <cellStyle name="Normal 7 6" xfId="424" xr:uid="{00000000-0005-0000-0000-000099010000}"/>
    <cellStyle name="Normal 7 7" xfId="471" xr:uid="{00000000-0005-0000-0000-00009A010000}"/>
    <cellStyle name="Normal 7 8" xfId="542" xr:uid="{00000000-0005-0000-0000-00009B010000}"/>
    <cellStyle name="Normal 7 9" xfId="171" xr:uid="{00000000-0005-0000-0000-00008B010000}"/>
    <cellStyle name="Normal 8" xfId="13" xr:uid="{00000000-0005-0000-0000-000019000000}"/>
    <cellStyle name="Normal 8 2" xfId="29" xr:uid="{00000000-0005-0000-0000-00001A000000}"/>
    <cellStyle name="Normal 8 2 2" xfId="176" xr:uid="{00000000-0005-0000-0000-00009E010000}"/>
    <cellStyle name="Normal 8 2 3" xfId="175" xr:uid="{00000000-0005-0000-0000-00009D010000}"/>
    <cellStyle name="Normal 8 3" xfId="43" xr:uid="{EE47642F-B62E-4BD4-9EC5-698E54B758F9}"/>
    <cellStyle name="Normal 8 3 2" xfId="234" xr:uid="{00000000-0005-0000-0000-0000A0010000}"/>
    <cellStyle name="Normal 8 3 3" xfId="177" xr:uid="{00000000-0005-0000-0000-00009F010000}"/>
    <cellStyle name="Normal 8 4" xfId="233" xr:uid="{00000000-0005-0000-0000-0000A1010000}"/>
    <cellStyle name="Normal 8 5" xfId="258" xr:uid="{00000000-0005-0000-0000-0000A2010000}"/>
    <cellStyle name="Normal 8 5 2" xfId="531" xr:uid="{00000000-0005-0000-0000-0000A3010000}"/>
    <cellStyle name="Normal 8 5 3" xfId="509" xr:uid="{00000000-0005-0000-0000-0000A4010000}"/>
    <cellStyle name="Normal 8 5 4" xfId="400" xr:uid="{00000000-0005-0000-0000-0000A5010000}"/>
    <cellStyle name="Normal 8 6" xfId="425" xr:uid="{00000000-0005-0000-0000-0000A6010000}"/>
    <cellStyle name="Normal 8 7" xfId="543" xr:uid="{00000000-0005-0000-0000-0000A7010000}"/>
    <cellStyle name="Normal 8 8" xfId="174" xr:uid="{00000000-0005-0000-0000-00009C010000}"/>
    <cellStyle name="Normal 9" xfId="14" xr:uid="{00000000-0005-0000-0000-00001B000000}"/>
    <cellStyle name="Normal 9 2" xfId="30" xr:uid="{00000000-0005-0000-0000-00001C000000}"/>
    <cellStyle name="Normal 9 2 2" xfId="179" xr:uid="{00000000-0005-0000-0000-0000A9010000}"/>
    <cellStyle name="Normal 9 3" xfId="235" xr:uid="{00000000-0005-0000-0000-0000AA010000}"/>
    <cellStyle name="Normal 9 4" xfId="259" xr:uid="{00000000-0005-0000-0000-0000AB010000}"/>
    <cellStyle name="Normal 9 4 2" xfId="532" xr:uid="{00000000-0005-0000-0000-0000AC010000}"/>
    <cellStyle name="Normal 9 4 3" xfId="510" xr:uid="{00000000-0005-0000-0000-0000AD010000}"/>
    <cellStyle name="Normal 9 4 4" xfId="401" xr:uid="{00000000-0005-0000-0000-0000AE010000}"/>
    <cellStyle name="Normal 9 5" xfId="426" xr:uid="{00000000-0005-0000-0000-0000AF010000}"/>
    <cellStyle name="Normal 9 6" xfId="544" xr:uid="{00000000-0005-0000-0000-0000B0010000}"/>
    <cellStyle name="Normal 9 7" xfId="178" xr:uid="{00000000-0005-0000-0000-0000A8010000}"/>
    <cellStyle name="Normal_Table17_LATablesWeb" xfId="218" xr:uid="{00000000-0005-0000-0000-0000B1010000}"/>
    <cellStyle name="Note 2" xfId="15" xr:uid="{00000000-0005-0000-0000-00001F000000}"/>
    <cellStyle name="Note 2 2" xfId="180" xr:uid="{00000000-0005-0000-0000-0000B3010000}"/>
    <cellStyle name="Note 2 2 2" xfId="181" xr:uid="{00000000-0005-0000-0000-0000B4010000}"/>
    <cellStyle name="Note 2 3" xfId="182" xr:uid="{00000000-0005-0000-0000-0000B5010000}"/>
    <cellStyle name="Note 2 3 2" xfId="183" xr:uid="{00000000-0005-0000-0000-0000B6010000}"/>
    <cellStyle name="Note 2 4" xfId="184" xr:uid="{00000000-0005-0000-0000-0000B7010000}"/>
    <cellStyle name="Note 2 4 2" xfId="185" xr:uid="{00000000-0005-0000-0000-0000B8010000}"/>
    <cellStyle name="Note 2 5" xfId="186" xr:uid="{00000000-0005-0000-0000-0000B9010000}"/>
    <cellStyle name="Note 2 5 2" xfId="187" xr:uid="{00000000-0005-0000-0000-0000BA010000}"/>
    <cellStyle name="Note 2 6" xfId="188" xr:uid="{00000000-0005-0000-0000-0000BB010000}"/>
    <cellStyle name="Note 2 6 2" xfId="189" xr:uid="{00000000-0005-0000-0000-0000BC010000}"/>
    <cellStyle name="Note 3" xfId="190" xr:uid="{00000000-0005-0000-0000-0000BD010000}"/>
    <cellStyle name="Note 3 2" xfId="191" xr:uid="{00000000-0005-0000-0000-0000BE010000}"/>
    <cellStyle name="Note 3 2 2" xfId="192" xr:uid="{00000000-0005-0000-0000-0000BF010000}"/>
    <cellStyle name="Note 3 3" xfId="193" xr:uid="{00000000-0005-0000-0000-0000C0010000}"/>
    <cellStyle name="Note 3 3 2" xfId="194" xr:uid="{00000000-0005-0000-0000-0000C1010000}"/>
    <cellStyle name="Note 3 4" xfId="195" xr:uid="{00000000-0005-0000-0000-0000C2010000}"/>
    <cellStyle name="Note 4" xfId="196" xr:uid="{00000000-0005-0000-0000-0000C3010000}"/>
    <cellStyle name="Note 4 2" xfId="197" xr:uid="{00000000-0005-0000-0000-0000C4010000}"/>
    <cellStyle name="Note 5" xfId="198" xr:uid="{00000000-0005-0000-0000-0000C5010000}"/>
    <cellStyle name="Note 5 2" xfId="199" xr:uid="{00000000-0005-0000-0000-0000C6010000}"/>
    <cellStyle name="Note 6" xfId="200" xr:uid="{00000000-0005-0000-0000-0000C7010000}"/>
    <cellStyle name="Note 6 2" xfId="201" xr:uid="{00000000-0005-0000-0000-0000C8010000}"/>
    <cellStyle name="Note 7" xfId="202" xr:uid="{00000000-0005-0000-0000-0000C9010000}"/>
    <cellStyle name="Note 7 2" xfId="203" xr:uid="{00000000-0005-0000-0000-0000CA010000}"/>
    <cellStyle name="Note 8" xfId="204" xr:uid="{00000000-0005-0000-0000-0000CB010000}"/>
    <cellStyle name="Note 8 2" xfId="205" xr:uid="{00000000-0005-0000-0000-0000CC010000}"/>
    <cellStyle name="Output 2" xfId="206" xr:uid="{00000000-0005-0000-0000-0000CD010000}"/>
    <cellStyle name="Percent 10" xfId="245" xr:uid="{00000000-0005-0000-0000-0000CF010000}"/>
    <cellStyle name="Percent 11" xfId="413" xr:uid="{00000000-0005-0000-0000-0000D0010000}"/>
    <cellStyle name="Percent 11 2" xfId="533" xr:uid="{00000000-0005-0000-0000-0000D1010000}"/>
    <cellStyle name="Percent 11 3" xfId="511" xr:uid="{00000000-0005-0000-0000-0000D2010000}"/>
    <cellStyle name="Percent 12" xfId="414" xr:uid="{00000000-0005-0000-0000-0000D3010000}"/>
    <cellStyle name="Percent 12 2" xfId="517" xr:uid="{00000000-0005-0000-0000-0000D4010000}"/>
    <cellStyle name="Percent 2" xfId="17" xr:uid="{00000000-0005-0000-0000-000021000000}"/>
    <cellStyle name="Percent 2 2" xfId="236" xr:uid="{00000000-0005-0000-0000-0000D6010000}"/>
    <cellStyle name="Percent 2 3" xfId="260" xr:uid="{00000000-0005-0000-0000-0000D7010000}"/>
    <cellStyle name="Percent 2 3 2" xfId="512" xr:uid="{00000000-0005-0000-0000-0000D8010000}"/>
    <cellStyle name="Percent 2 3 3" xfId="402" xr:uid="{00000000-0005-0000-0000-0000D9010000}"/>
    <cellStyle name="Percent 2 4" xfId="427" xr:uid="{00000000-0005-0000-0000-0000DA010000}"/>
    <cellStyle name="Percent 2 5" xfId="208" xr:uid="{00000000-0005-0000-0000-0000D5010000}"/>
    <cellStyle name="Percent 3" xfId="18" xr:uid="{00000000-0005-0000-0000-000022000000}"/>
    <cellStyle name="Percent 4" xfId="21" xr:uid="{00000000-0005-0000-0000-000023000000}"/>
    <cellStyle name="Percent 4 2" xfId="32" xr:uid="{00000000-0005-0000-0000-000024000000}"/>
    <cellStyle name="Percent 4 2 2" xfId="237" xr:uid="{00000000-0005-0000-0000-0000DD010000}"/>
    <cellStyle name="Percent 4 3" xfId="403" xr:uid="{00000000-0005-0000-0000-0000DE010000}"/>
    <cellStyle name="Percent 4 4" xfId="546" xr:uid="{00000000-0005-0000-0000-0000DF010000}"/>
    <cellStyle name="Percent 4 5" xfId="209" xr:uid="{00000000-0005-0000-0000-0000DC010000}"/>
    <cellStyle name="Percent 5" xfId="16" xr:uid="{00000000-0005-0000-0000-000060000000}"/>
    <cellStyle name="Percent 5 2" xfId="211" xr:uid="{00000000-0005-0000-0000-0000E1010000}"/>
    <cellStyle name="Percent 5 2 2" xfId="239" xr:uid="{00000000-0005-0000-0000-0000E2010000}"/>
    <cellStyle name="Percent 5 3" xfId="238" xr:uid="{00000000-0005-0000-0000-0000E3010000}"/>
    <cellStyle name="Percent 5 4" xfId="550" xr:uid="{00000000-0005-0000-0000-0000E4010000}"/>
    <cellStyle name="Percent 5 5" xfId="210" xr:uid="{00000000-0005-0000-0000-0000E0010000}"/>
    <cellStyle name="Percent 6" xfId="212" xr:uid="{00000000-0005-0000-0000-0000E5010000}"/>
    <cellStyle name="Percent 6 2" xfId="213" xr:uid="{00000000-0005-0000-0000-0000E6010000}"/>
    <cellStyle name="Percent 6 2 2" xfId="241" xr:uid="{00000000-0005-0000-0000-0000E7010000}"/>
    <cellStyle name="Percent 6 3" xfId="240" xr:uid="{00000000-0005-0000-0000-0000E8010000}"/>
    <cellStyle name="Percent 7" xfId="214" xr:uid="{00000000-0005-0000-0000-0000E9010000}"/>
    <cellStyle name="Percent 7 2" xfId="534" xr:uid="{00000000-0005-0000-0000-0000EA010000}"/>
    <cellStyle name="Percent 7 3" xfId="513" xr:uid="{00000000-0005-0000-0000-0000EB010000}"/>
    <cellStyle name="Percent 8" xfId="207" xr:uid="{00000000-0005-0000-0000-0000EC010000}"/>
    <cellStyle name="Percent 9" xfId="242" xr:uid="{00000000-0005-0000-0000-0000ED010000}"/>
    <cellStyle name="Percent 9 2" xfId="535" xr:uid="{00000000-0005-0000-0000-0000EE010000}"/>
    <cellStyle name="Percent 9 3" xfId="514" xr:uid="{00000000-0005-0000-0000-0000EF010000}"/>
    <cellStyle name="Title 2" xfId="215" xr:uid="{00000000-0005-0000-0000-0000F0010000}"/>
    <cellStyle name="Total 2" xfId="216" xr:uid="{00000000-0005-0000-0000-0000F1010000}"/>
    <cellStyle name="Tracking" xfId="472" xr:uid="{00000000-0005-0000-0000-0000F2010000}"/>
    <cellStyle name="Warning Text 2" xfId="217" xr:uid="{00000000-0005-0000-0000-0000F3010000}"/>
  </cellStyles>
  <dxfs count="6">
    <dxf>
      <fill>
        <patternFill>
          <bgColor rgb="FFFFC000"/>
        </patternFill>
      </fill>
    </dxf>
    <dxf>
      <alignment horizontal="center"/>
    </dxf>
    <dxf>
      <fill>
        <patternFill patternType="solid">
          <bgColor rgb="FFFFFF00"/>
        </patternFill>
      </fill>
    </dxf>
    <dxf>
      <font>
        <sz val="12"/>
      </font>
    </dxf>
    <dxf>
      <font>
        <sz val="12"/>
      </font>
    </dxf>
    <dxf>
      <font>
        <sz val="12"/>
      </font>
    </dxf>
  </dxfs>
  <tableStyles count="1" defaultTableStyle="TableStyleMedium2" defaultPivotStyle="PivotStyleLight16">
    <tableStyle name="Dataset_1" pivot="0" count="0" xr9:uid="{00000000-0011-0000-FFFF-FFFF00000000}"/>
  </tableStyles>
  <colors>
    <mruColors>
      <color rgb="FF51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6276975</xdr:colOff>
      <xdr:row>1</xdr:row>
      <xdr:rowOff>47625</xdr:rowOff>
    </xdr:from>
    <xdr:to>
      <xdr:col>2</xdr:col>
      <xdr:colOff>7553325</xdr:colOff>
      <xdr:row>1</xdr:row>
      <xdr:rowOff>1095375</xdr:rowOff>
    </xdr:to>
    <xdr:pic>
      <xdr:nvPicPr>
        <xdr:cNvPr id="2" name="Picture 1" descr="ofsted_logo">
          <a:extLst>
            <a:ext uri="{FF2B5EF4-FFF2-40B4-BE49-F238E27FC236}">
              <a16:creationId xmlns:a16="http://schemas.microsoft.com/office/drawing/2014/main" id="{E26BCF6E-310C-4167-A7CC-0DF9168F5A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125" y="209550"/>
          <a:ext cx="1276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Foley" refreshedDate="44239.768724652778" createdVersion="6" refreshedVersion="6" minRefreshableVersion="3" recordCount="2040" xr:uid="{E5EF6ABB-1CAA-4E7D-BE8D-F1F8B0779DF8}">
  <cacheSource type="worksheet">
    <worksheetSource ref="A1:U1048576" sheet="Data"/>
  </cacheSource>
  <cacheFields count="21">
    <cacheField name="Web link" numFmtId="0">
      <sharedItems containsBlank="1"/>
    </cacheField>
    <cacheField name="URN" numFmtId="0">
      <sharedItems containsString="0" containsBlank="1" containsNumber="1" containsInteger="1" minValue="100013" maxValue="148352"/>
    </cacheField>
    <cacheField name="LAESTAB" numFmtId="0">
      <sharedItems containsString="0" containsBlank="1" containsNumber="1" containsInteger="1" minValue="2022184" maxValue="9386911"/>
    </cacheField>
    <cacheField name="School name" numFmtId="0">
      <sharedItems containsBlank="1"/>
    </cacheField>
    <cacheField name="Ofsted phase" numFmtId="0">
      <sharedItems containsBlank="1" count="6">
        <s v="Primary"/>
        <s v="Secondary"/>
        <s v="Special"/>
        <s v="PRU"/>
        <s v="Nursery"/>
        <m/>
      </sharedItems>
    </cacheField>
    <cacheField name="Type of education" numFmtId="0">
      <sharedItems containsBlank="1"/>
    </cacheField>
    <cacheField name="School open date" numFmtId="0">
      <sharedItems containsDate="1" containsBlank="1" containsMixedTypes="1" minDate="1899-12-31T00:00:00" maxDate="2020-11-02T00:00:00"/>
    </cacheField>
    <cacheField name="Admissions policy" numFmtId="0">
      <sharedItems containsBlank="1"/>
    </cacheField>
    <cacheField name="Sixth form" numFmtId="0">
      <sharedItems containsBlank="1"/>
    </cacheField>
    <cacheField name="Designated religious character" numFmtId="0">
      <sharedItems containsBlank="1"/>
    </cacheField>
    <cacheField name="Religious ethos" numFmtId="0">
      <sharedItems containsBlank="1"/>
    </cacheField>
    <cacheField name="Faith grouping" numFmtId="0">
      <sharedItems containsBlank="1"/>
    </cacheField>
    <cacheField name="Ofsted region" numFmtId="0">
      <sharedItems containsBlank="1"/>
    </cacheField>
    <cacheField name="Region" numFmtId="0">
      <sharedItems containsBlank="1" count="10">
        <s v="Yorkshire and the Humber"/>
        <s v="West Midlands"/>
        <s v="South East"/>
        <s v="London"/>
        <s v="North West"/>
        <s v="South West"/>
        <s v="East Midlands"/>
        <s v="East of England"/>
        <s v="North East"/>
        <m/>
      </sharedItems>
    </cacheField>
    <cacheField name="Local authority" numFmtId="0">
      <sharedItems containsBlank="1" count="149">
        <s v="Rotherham"/>
        <s v="Wolverhampton"/>
        <s v="Hampshire"/>
        <s v="Kensington and Chelsea"/>
        <s v="Manchester"/>
        <s v="South Gloucestershire"/>
        <s v="Derbyshire"/>
        <s v="Kent"/>
        <s v="Birmingham"/>
        <s v="Rochdale"/>
        <s v="Sandwell"/>
        <s v="Bracknell Forest"/>
        <s v="Hackney"/>
        <s v="Peterborough"/>
        <s v="Suffolk"/>
        <s v="Coventry"/>
        <s v="Stockport"/>
        <s v="South Tyneside"/>
        <s v="Lincolnshire"/>
        <s v="Herefordshire"/>
        <s v="Cheshire West and Chester"/>
        <s v="Surrey"/>
        <s v="Camden"/>
        <s v="Plymouth"/>
        <s v="Haringey"/>
        <s v="Cumbria"/>
        <s v="Leeds"/>
        <s v="Lancashire"/>
        <s v="Gloucestershire"/>
        <s v="Liverpool"/>
        <s v="West Berkshire"/>
        <s v="East Riding of Yorkshire"/>
        <s v="Luton"/>
        <s v="Norfolk"/>
        <s v="Somerset"/>
        <s v="York"/>
        <s v="Staffordshire"/>
        <s v="Hounslow"/>
        <s v="Bristol"/>
        <s v="Northumberland"/>
        <s v="Stockton-on-Tees"/>
        <s v="Oldham"/>
        <s v="Cornwall"/>
        <s v="Cambridgeshire"/>
        <s v="Thurrock"/>
        <s v="Stoke-on-Trent"/>
        <s v="Havering"/>
        <s v="Wakefield"/>
        <s v="Torbay"/>
        <s v="Nottinghamshire"/>
        <s v="Bedford"/>
        <s v="Rutland"/>
        <s v="Blackpool"/>
        <s v="Medway"/>
        <s v="Darlington"/>
        <s v="West Sussex"/>
        <s v="Hertfordshire"/>
        <s v="Ealing"/>
        <s v="Portsmouth"/>
        <s v="Redcar and Cleveland"/>
        <s v="North Yorkshire"/>
        <s v="Middlesbrough"/>
        <s v="Devon"/>
        <s v="Knowsley"/>
        <s v="Northamptonshire"/>
        <s v="Warwickshire"/>
        <s v="Enfield"/>
        <s v="Wokingham"/>
        <s v="Doncaster"/>
        <s v="Derby"/>
        <s v="Islington"/>
        <s v="Bath and North East Somerset"/>
        <s v="Brent"/>
        <s v="Walsall"/>
        <s v="Solihull"/>
        <s v="Essex"/>
        <s v="Southampton"/>
        <s v="Bexley"/>
        <s v="Shropshire"/>
        <s v="Leicester"/>
        <s v="East Sussex"/>
        <s v="Richmond upon Thames"/>
        <s v="Isle of Wight"/>
        <s v="Newcastle upon Tyne"/>
        <s v="Brighton and Hove"/>
        <s v="Durham"/>
        <s v="Reading"/>
        <s v="Dorset"/>
        <s v="Lewisham"/>
        <s v="Worcestershire"/>
        <s v="Blackburn with Darwen"/>
        <s v="Cheshire East"/>
        <s v="Wirral"/>
        <s v="Sefton"/>
        <s v="Barnet"/>
        <s v="St Helens"/>
        <s v="Bury"/>
        <s v="Warrington"/>
        <s v="North Somerset"/>
        <s v="Sheffield"/>
        <s v="Telford and Wrekin"/>
        <s v="Hammersmith and Fulham"/>
        <s v="Sunderland"/>
        <s v="Bradford"/>
        <s v="Kirklees"/>
        <s v="Bromley"/>
        <s v="Trafford"/>
        <s v="Newham"/>
        <s v="Bournemouth, Christchurch &amp; Poole"/>
        <s v="North Lincolnshire"/>
        <s v="Dudley"/>
        <s v="Swindon"/>
        <s v="Leicestershire"/>
        <s v="North Tyneside"/>
        <s v="Gateshead"/>
        <s v="Central Bedfordshire"/>
        <s v="Bolton"/>
        <s v="Hartlepool"/>
        <s v="Barking and Dagenham"/>
        <s v="Tower Hamlets"/>
        <s v="Buckinghamshire"/>
        <s v="Greenwich"/>
        <s v="Kingston upon Hull"/>
        <s v="Wigan"/>
        <s v="Waltham Forest"/>
        <s v="Wiltshire"/>
        <s v="Nottingham"/>
        <s v="Harrow"/>
        <s v="Croydon"/>
        <s v="Barnsley"/>
        <s v="Southend on Sea"/>
        <s v="Windsor and Maidenhead"/>
        <s v="Southwark"/>
        <s v="Hillingdon"/>
        <s v="Lambeth"/>
        <s v="Milton Keynes"/>
        <s v="Merton"/>
        <s v="Oxfordshire"/>
        <s v="North East Lincolnshire"/>
        <s v="Tameside"/>
        <s v="Calderdale"/>
        <s v="Halton"/>
        <s v="Salford"/>
        <s v="Redbridge"/>
        <s v="Wandsworth"/>
        <s v="Sutton"/>
        <s v="Westminster"/>
        <s v="Kingston upon Thames"/>
        <m/>
      </sharedItems>
    </cacheField>
    <cacheField name="Parliamentary constituency" numFmtId="0">
      <sharedItems containsBlank="1"/>
    </cacheField>
    <cacheField name="Postcode" numFmtId="0">
      <sharedItems containsBlank="1"/>
    </cacheField>
    <cacheField name="The income deprivation affecting children index (IDACI) quintile" numFmtId="0">
      <sharedItems containsBlank="1" containsMixedTypes="1" containsNumber="1" containsInteger="1" minValue="1" maxValue="5"/>
    </cacheField>
    <cacheField name="Total number of pupils" numFmtId="0">
      <sharedItems containsBlank="1" containsMixedTypes="1" containsNumber="1" containsInteger="1" minValue="0" maxValue="2128"/>
    </cacheField>
    <cacheField name="Visit date" numFmtId="0">
      <sharedItems containsNonDate="0" containsDate="1" containsString="0" containsBlank="1" minDate="2020-09-29T00:00:00" maxDate="2020-12-11T00:00:00"/>
    </cacheField>
    <cacheField name="Letter published date" numFmtId="0">
      <sharedItems containsNonDate="0" containsDate="1" containsString="0" containsBlank="1" minDate="2020-10-15T00:00:00" maxDate="2021-02-05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40">
  <r>
    <s v="Ofsted School Webpage"/>
    <n v="106896"/>
    <n v="3722095"/>
    <s v="Anston Park Junior School"/>
    <x v="0"/>
    <s v="Community School"/>
    <s v="NULL"/>
    <s v="Not applicable"/>
    <s v="Does not have a sixth form"/>
    <s v="Does not apply"/>
    <s v="Does not apply"/>
    <s v="Non-denominational"/>
    <s v="North East, Yorkshire and the Humber"/>
    <x v="0"/>
    <x v="0"/>
    <s v="Rother Valley"/>
    <s v="S25 2QZ"/>
    <n v="4"/>
    <n v="255"/>
    <d v="2020-09-29T00:00:00"/>
    <d v="2020-11-10T00:00:00"/>
  </r>
  <r>
    <s v="Ofsted School Webpage"/>
    <n v="132197"/>
    <n v="3362117"/>
    <s v="Bantock Primary School"/>
    <x v="0"/>
    <s v="Community School"/>
    <d v="2000-09-01T00:00:00"/>
    <s v="Not applicable"/>
    <s v="Does not have a sixth form"/>
    <s v="Does not apply"/>
    <s v="Does not apply"/>
    <s v="Non-denominational"/>
    <s v="West Midlands"/>
    <x v="1"/>
    <x v="1"/>
    <s v="Wolverhampton South West"/>
    <s v="WV3 0HY"/>
    <n v="5"/>
    <n v="423"/>
    <d v="2020-09-29T00:00:00"/>
    <d v="2020-10-19T00:00:00"/>
  </r>
  <r>
    <s v="Ofsted School Webpage"/>
    <n v="115919"/>
    <n v="8502116"/>
    <s v="Bosmere Junior School"/>
    <x v="0"/>
    <s v="Community School"/>
    <s v="NULL"/>
    <s v="Not applicable"/>
    <s v="Does not have a sixth form"/>
    <s v="Does not apply"/>
    <s v="Does not apply"/>
    <s v="Non-denominational"/>
    <s v="South East"/>
    <x v="2"/>
    <x v="2"/>
    <s v="Havant"/>
    <s v="PO9 1DA"/>
    <n v="3"/>
    <n v="356"/>
    <d v="2020-09-29T00:00:00"/>
    <d v="2020-11-11T00:00:00"/>
  </r>
  <r>
    <s v="Ofsted School Webpage"/>
    <n v="100479"/>
    <n v="2072050"/>
    <s v="Bevington Primary School"/>
    <x v="0"/>
    <s v="Community School"/>
    <s v="NULL"/>
    <s v="Not applicable"/>
    <s v="Does not have a sixth form"/>
    <s v="Does not apply"/>
    <s v="Does not apply"/>
    <s v="Non-denominational"/>
    <s v="London"/>
    <x v="3"/>
    <x v="3"/>
    <s v="Kensington"/>
    <s v="W10 5TW"/>
    <n v="5"/>
    <n v="320"/>
    <d v="2020-09-29T00:00:00"/>
    <d v="2020-10-15T00:00:00"/>
  </r>
  <r>
    <s v="Ofsted School Webpage"/>
    <n v="105486"/>
    <n v="3522327"/>
    <s v="Crumpsall Lane Primary School"/>
    <x v="0"/>
    <s v="Community School"/>
    <s v="NULL"/>
    <s v="Not applicable"/>
    <s v="Does not have a sixth form"/>
    <s v="Does not apply"/>
    <s v="Does not apply"/>
    <s v="Non-denominational"/>
    <s v="North West"/>
    <x v="4"/>
    <x v="4"/>
    <s v="Blackley and Broughton"/>
    <s v="M8 5SR"/>
    <n v="5"/>
    <n v="450"/>
    <d v="2020-09-29T00:00:00"/>
    <d v="2020-11-11T00:00:00"/>
  </r>
  <r>
    <s v="Ofsted School Webpage"/>
    <n v="109114"/>
    <n v="8032308"/>
    <s v="Cherry Garden Primary School"/>
    <x v="0"/>
    <s v="Community School"/>
    <s v="NULL"/>
    <s v="Not applicable"/>
    <s v="Does not have a sixth form"/>
    <s v="Does not apply"/>
    <s v="Does not apply"/>
    <s v="Non-denominational"/>
    <s v="South West"/>
    <x v="5"/>
    <x v="5"/>
    <s v="Kingswood"/>
    <s v="BS30 6JH"/>
    <n v="2"/>
    <n v="186"/>
    <d v="2020-09-29T00:00:00"/>
    <d v="2020-11-05T00:00:00"/>
  </r>
  <r>
    <s v="Ofsted School Webpage"/>
    <n v="112665"/>
    <n v="8302290"/>
    <s v="Hady Primary School"/>
    <x v="0"/>
    <s v="Community School"/>
    <s v="NULL"/>
    <s v="Not applicable"/>
    <s v="Does not have a sixth form"/>
    <s v="Does not apply"/>
    <s v="Does not apply"/>
    <s v="Non-denominational"/>
    <s v="East Midlands"/>
    <x v="6"/>
    <x v="6"/>
    <s v="Chesterfield"/>
    <s v="S41 0DF"/>
    <n v="3"/>
    <n v="324"/>
    <d v="2020-09-29T00:00:00"/>
    <d v="2020-11-09T00:00:00"/>
  </r>
  <r>
    <s v="Ofsted School Webpage"/>
    <n v="112677"/>
    <n v="8302315"/>
    <s v="Eureka Primary School"/>
    <x v="0"/>
    <s v="Community School"/>
    <s v="NULL"/>
    <s v="Not applicable"/>
    <s v="Does not have a sixth form"/>
    <s v="Does not apply"/>
    <s v="Does not apply"/>
    <s v="Non-denominational"/>
    <s v="East Midlands"/>
    <x v="6"/>
    <x v="6"/>
    <s v="South Derbyshire"/>
    <s v="DE11 7LA"/>
    <n v="4"/>
    <n v="136"/>
    <d v="2020-09-29T00:00:00"/>
    <d v="2020-10-15T00:00:00"/>
  </r>
  <r>
    <s v="Ofsted School Webpage"/>
    <n v="112957"/>
    <n v="8304191"/>
    <s v="Glossopdale School"/>
    <x v="1"/>
    <s v="Community School"/>
    <s v="NULL"/>
    <s v="Non-selective"/>
    <s v="Has a sixth form"/>
    <s v="Does not apply"/>
    <s v="Does not apply"/>
    <s v="Non-denominational"/>
    <s v="East Midlands"/>
    <x v="6"/>
    <x v="6"/>
    <s v="High Peak"/>
    <s v="SK13 2DA"/>
    <n v="3"/>
    <n v="1099"/>
    <d v="2020-09-29T00:00:00"/>
    <d v="2020-11-04T00:00:00"/>
  </r>
  <r>
    <s v="Ofsted School Webpage"/>
    <n v="135118"/>
    <n v="8863907"/>
    <s v="Hextable Primary School"/>
    <x v="0"/>
    <s v="Community School"/>
    <d v="2007-09-01T00:00:00"/>
    <s v="Not applicable"/>
    <s v="Does not have a sixth form"/>
    <s v="Does not apply"/>
    <s v="Does not apply"/>
    <s v="Non-denominational"/>
    <s v="South East"/>
    <x v="2"/>
    <x v="7"/>
    <s v="Sevenoaks"/>
    <s v="BR8 7RL"/>
    <n v="3"/>
    <n v="493"/>
    <d v="2020-09-29T00:00:00"/>
    <d v="2020-10-15T00:00:00"/>
  </r>
  <r>
    <s v="Ofsted School Webpage"/>
    <n v="103363"/>
    <n v="3302436"/>
    <s v="Osborne Primary School"/>
    <x v="0"/>
    <s v="Community School"/>
    <s v="NULL"/>
    <s v="Not applicable"/>
    <s v="Not applicable"/>
    <s v="Does not apply"/>
    <s v="Does not apply"/>
    <s v="Non-denominational"/>
    <s v="West Midlands"/>
    <x v="1"/>
    <x v="8"/>
    <s v="Birmingham, Erdington"/>
    <s v="B23 6TY"/>
    <n v="5"/>
    <n v="309"/>
    <d v="2020-09-29T00:00:00"/>
    <d v="2020-11-16T00:00:00"/>
  </r>
  <r>
    <s v="Ofsted School Webpage"/>
    <n v="105840"/>
    <n v="3544089"/>
    <s v="Oulder Hill Community School and Language College"/>
    <x v="1"/>
    <s v="Community School"/>
    <s v="NULL"/>
    <s v="Non-selective"/>
    <s v="Does not have a sixth form"/>
    <s v="Does not apply"/>
    <s v="Does not apply"/>
    <s v="Non-denominational"/>
    <s v="North West"/>
    <x v="4"/>
    <x v="9"/>
    <s v="Rochdale"/>
    <s v="OL11 5EF"/>
    <n v="4"/>
    <n v="1356"/>
    <d v="2020-09-29T00:00:00"/>
    <d v="2020-11-19T00:00:00"/>
  </r>
  <r>
    <s v="Ofsted School Webpage"/>
    <n v="103947"/>
    <n v="3332133"/>
    <s v="Lightwoods Primary School"/>
    <x v="0"/>
    <s v="Community School"/>
    <s v="NULL"/>
    <s v="Not applicable"/>
    <s v="Does not have a sixth form"/>
    <s v="Does not apply"/>
    <s v="Does not apply"/>
    <s v="Non-denominational"/>
    <s v="West Midlands"/>
    <x v="1"/>
    <x v="10"/>
    <s v="Warley"/>
    <s v="B68 9BG"/>
    <n v="2"/>
    <n v="329"/>
    <d v="2020-09-29T00:00:00"/>
    <d v="2020-11-11T00:00:00"/>
  </r>
  <r>
    <s v="Ofsted School Webpage"/>
    <n v="112593"/>
    <n v="8302174"/>
    <s v="Melbourne Junior School"/>
    <x v="0"/>
    <s v="Community School"/>
    <s v="NULL"/>
    <s v="Not applicable"/>
    <s v="Does not have a sixth form"/>
    <s v="Does not apply"/>
    <s v="Does not apply"/>
    <s v="Non-denominational"/>
    <s v="East Midlands"/>
    <x v="6"/>
    <x v="6"/>
    <s v="South Derbyshire"/>
    <s v="DE73 8JE"/>
    <n v="1"/>
    <n v="258"/>
    <d v="2020-09-29T00:00:00"/>
    <d v="2020-11-12T00:00:00"/>
  </r>
  <r>
    <s v="Ofsted School Webpage"/>
    <n v="109807"/>
    <n v="8672060"/>
    <s v="Holly Spring Primary School"/>
    <x v="0"/>
    <s v="Community School"/>
    <s v="NULL"/>
    <s v="Not applicable"/>
    <s v="Does not have a sixth form"/>
    <s v="Does not apply"/>
    <s v="Does not apply"/>
    <s v="Non-denominational"/>
    <s v="South East"/>
    <x v="2"/>
    <x v="11"/>
    <s v="Bracknell"/>
    <s v="RG12 2SW"/>
    <n v="3"/>
    <n v="627"/>
    <d v="2020-09-29T00:00:00"/>
    <d v="2020-11-17T00:00:00"/>
  </r>
  <r>
    <s v="Ofsted School Webpage"/>
    <n v="100257"/>
    <n v="2042863"/>
    <s v="Holmleigh Primary School"/>
    <x v="0"/>
    <s v="Community School"/>
    <s v="NULL"/>
    <s v="Not applicable"/>
    <s v="Does not have a sixth form"/>
    <s v="Does not apply"/>
    <s v="Does not apply"/>
    <s v="Non-denominational"/>
    <s v="London"/>
    <x v="3"/>
    <x v="12"/>
    <s v="Hackney North and Stoke Newington"/>
    <s v="N16 5PU"/>
    <n v="4"/>
    <n v="230"/>
    <d v="2020-09-29T00:00:00"/>
    <d v="2020-11-11T00:00:00"/>
  </r>
  <r>
    <s v="Ofsted School Webpage"/>
    <n v="110756"/>
    <n v="8742325"/>
    <s v="The Beeches Primary School"/>
    <x v="0"/>
    <s v="Community School"/>
    <s v="NULL"/>
    <s v="Not applicable"/>
    <s v="Does not have a sixth form"/>
    <s v="Does not apply"/>
    <s v="Does not apply"/>
    <s v="Non-denominational"/>
    <s v="East of England"/>
    <x v="7"/>
    <x v="13"/>
    <s v="Peterborough"/>
    <s v="PE1 2EH"/>
    <n v="4"/>
    <n v="621"/>
    <d v="2020-09-29T00:00:00"/>
    <d v="2020-11-10T00:00:00"/>
  </r>
  <r>
    <s v="Ofsted School Webpage"/>
    <n v="118301"/>
    <n v="8862175"/>
    <s v="North Borough Junior School"/>
    <x v="0"/>
    <s v="Community School"/>
    <s v="NULL"/>
    <s v="Not applicable"/>
    <s v="Does not have a sixth form"/>
    <s v="Does not apply"/>
    <s v="Does not apply"/>
    <s v="Non-denominational"/>
    <s v="South East"/>
    <x v="2"/>
    <x v="7"/>
    <s v="Maidstone and The Weald"/>
    <s v="ME14 2BP"/>
    <n v="3"/>
    <n v="333"/>
    <d v="2020-09-29T00:00:00"/>
    <d v="2020-11-04T00:00:00"/>
  </r>
  <r>
    <s v="Ofsted School Webpage"/>
    <n v="124679"/>
    <n v="9352922"/>
    <s v="Rushmere Hall Primary School"/>
    <x v="0"/>
    <s v="Community School"/>
    <d v="1987-09-01T00:00:00"/>
    <s v="Not applicable"/>
    <s v="Does not have a sixth form"/>
    <s v="Does not apply"/>
    <s v="Does not apply"/>
    <s v="Non-denominational"/>
    <s v="East of England"/>
    <x v="7"/>
    <x v="14"/>
    <s v="Ipswich"/>
    <s v="IP4 3EJ"/>
    <n v="3"/>
    <n v="635"/>
    <d v="2020-09-29T00:00:00"/>
    <d v="2020-11-10T00:00:00"/>
  </r>
  <r>
    <s v="Ofsted School Webpage"/>
    <n v="103659"/>
    <n v="3312079"/>
    <s v="Potters Green Primary School"/>
    <x v="0"/>
    <s v="Community School"/>
    <s v="NULL"/>
    <s v="Not applicable"/>
    <s v="Does not have a sixth form"/>
    <s v="Does not apply"/>
    <s v="Does not apply"/>
    <s v="Non-denominational"/>
    <s v="West Midlands"/>
    <x v="1"/>
    <x v="15"/>
    <s v="Coventry North East"/>
    <s v="CV2 2GF"/>
    <n v="5"/>
    <n v="399"/>
    <d v="2020-09-29T00:00:00"/>
    <d v="2020-11-02T00:00:00"/>
  </r>
  <r>
    <s v="Ofsted School Webpage"/>
    <n v="106076"/>
    <n v="3562084"/>
    <s v="Rose Hill Primary School"/>
    <x v="0"/>
    <s v="Community School"/>
    <s v="NULL"/>
    <s v="Not applicable"/>
    <s v="Does not have a sixth form"/>
    <s v="Does not apply"/>
    <s v="Does not apply"/>
    <s v="Non-denominational"/>
    <s v="North West"/>
    <x v="4"/>
    <x v="16"/>
    <s v="Hazel Grove"/>
    <s v="SK6 6DW"/>
    <n v="3"/>
    <n v="561"/>
    <d v="2020-09-29T00:00:00"/>
    <d v="2020-11-18T00:00:00"/>
  </r>
  <r>
    <s v="Ofsted School Webpage"/>
    <n v="108698"/>
    <n v="3932073"/>
    <s v="Simonside Primary School"/>
    <x v="0"/>
    <s v="Community School"/>
    <s v="NULL"/>
    <s v="Not applicable"/>
    <s v="Does not have a sixth form"/>
    <s v="Does not apply"/>
    <s v="Does not apply"/>
    <s v="Non-denominational"/>
    <s v="North East, Yorkshire and the Humber"/>
    <x v="8"/>
    <x v="17"/>
    <s v="Jarrow"/>
    <s v="NE32 4AU"/>
    <n v="5"/>
    <n v="236"/>
    <d v="2020-09-29T00:00:00"/>
    <d v="2020-11-04T00:00:00"/>
  </r>
  <r>
    <s v="Ofsted School Webpage"/>
    <n v="112671"/>
    <n v="8302299"/>
    <s v="William Rhodes Primary &amp; Nursery School"/>
    <x v="0"/>
    <s v="Community School"/>
    <s v="NULL"/>
    <s v="Not applicable"/>
    <s v="Does not have a sixth form"/>
    <s v="Does not apply"/>
    <s v="Does not apply"/>
    <s v="Non-denominational"/>
    <s v="East Midlands"/>
    <x v="6"/>
    <x v="6"/>
    <s v="Chesterfield"/>
    <s v="S40 2NR"/>
    <n v="5"/>
    <n v="182"/>
    <d v="2020-09-29T00:00:00"/>
    <d v="2020-11-09T00:00:00"/>
  </r>
  <r>
    <s v="Ofsted School Webpage"/>
    <n v="120419"/>
    <n v="9252102"/>
    <s v="Surfleet Primary School"/>
    <x v="0"/>
    <s v="Community School"/>
    <s v="NULL"/>
    <s v="Not applicable"/>
    <s v="Does not have a sixth form"/>
    <s v="Does not apply"/>
    <s v="Does not apply"/>
    <s v="Non-denominational"/>
    <s v="East Midlands"/>
    <x v="6"/>
    <x v="18"/>
    <s v="South Holland and The Deepings"/>
    <s v="PE11 4DB"/>
    <n v="3"/>
    <n v="81"/>
    <d v="2020-09-29T00:00:00"/>
    <d v="2020-11-11T00:00:00"/>
  </r>
  <r>
    <s v="Ofsted School Webpage"/>
    <n v="116828"/>
    <n v="8843071"/>
    <s v="Little Dewchurch CofE Primary School"/>
    <x v="0"/>
    <s v="Voluntary Controlled School"/>
    <s v="NULL"/>
    <s v="Not applicable"/>
    <s v="Does not have a sixth form"/>
    <s v="Church of England"/>
    <s v="Does not apply"/>
    <s v="Christian"/>
    <s v="West Midlands"/>
    <x v="1"/>
    <x v="19"/>
    <s v="Hereford and South Herefordshire"/>
    <s v="HR2 6PN"/>
    <n v="3"/>
    <n v="99"/>
    <d v="2020-09-29T00:00:00"/>
    <d v="2020-11-10T00:00:00"/>
  </r>
  <r>
    <s v="Ofsted School Webpage"/>
    <n v="111451"/>
    <n v="8964611"/>
    <s v="Ellesmere Port Catholic High School"/>
    <x v="1"/>
    <s v="Voluntary Aided School"/>
    <s v="NULL"/>
    <s v="Non-selective"/>
    <s v="Has a sixth form"/>
    <s v="Roman Catholic"/>
    <s v="Does not apply"/>
    <s v="Christian"/>
    <s v="North West"/>
    <x v="4"/>
    <x v="20"/>
    <s v="Ellesmere Port and Neston"/>
    <s v="CH65 7AQ"/>
    <n v="4"/>
    <n v="885"/>
    <d v="2020-09-29T00:00:00"/>
    <d v="2020-11-24T00:00:00"/>
  </r>
  <r>
    <s v="Ofsted School Webpage"/>
    <n v="125245"/>
    <n v="9363927"/>
    <s v="Grayswood Church of England (Aided) Primary School"/>
    <x v="0"/>
    <s v="Voluntary Aided School"/>
    <s v="NULL"/>
    <s v="Not applicable"/>
    <s v="Does not have a sixth form"/>
    <s v="Church of England"/>
    <s v="Does not apply"/>
    <s v="Christian"/>
    <s v="South East"/>
    <x v="2"/>
    <x v="21"/>
    <s v="South West Surrey"/>
    <s v="GU27 2DR"/>
    <n v="1"/>
    <n v="182"/>
    <d v="2020-09-29T00:00:00"/>
    <d v="2020-11-05T00:00:00"/>
  </r>
  <r>
    <s v="Ofsted School Webpage"/>
    <n v="100035"/>
    <n v="2023391"/>
    <s v="Rosary Catholic Primary School"/>
    <x v="0"/>
    <s v="Voluntary Aided School"/>
    <s v="NULL"/>
    <s v="Not applicable"/>
    <s v="Does not have a sixth form"/>
    <s v="Roman Catholic"/>
    <s v="Does not apply"/>
    <s v="Christian"/>
    <s v="London"/>
    <x v="3"/>
    <x v="22"/>
    <s v="Hampstead and Kilburn"/>
    <s v="NW3 2AE"/>
    <n v="4"/>
    <n v="309"/>
    <d v="2020-09-29T00:00:00"/>
    <d v="2020-11-19T00:00:00"/>
  </r>
  <r>
    <s v="Ofsted School Webpage"/>
    <n v="113328"/>
    <n v="8792707"/>
    <s v="Yealmpstone Farm Primary School"/>
    <x v="0"/>
    <s v="Community School"/>
    <s v="NULL"/>
    <s v="Not applicable"/>
    <s v="Does not have a sixth form"/>
    <s v="Does not apply"/>
    <s v="Does not apply"/>
    <s v="Non-denominational"/>
    <s v="South West"/>
    <x v="5"/>
    <x v="23"/>
    <s v="South West Devon"/>
    <s v="PL7 1XQ"/>
    <n v="2"/>
    <n v="208"/>
    <d v="2020-09-29T00:00:00"/>
    <d v="2020-10-19T00:00:00"/>
  </r>
  <r>
    <s v="Ofsted School Webpage"/>
    <n v="102139"/>
    <n v="3093306"/>
    <s v="St Mary's CofE Primary School"/>
    <x v="0"/>
    <s v="Voluntary Aided School"/>
    <s v="NULL"/>
    <s v="Not applicable"/>
    <s v="Does not have a sixth form"/>
    <s v="Church of England"/>
    <s v="Does not apply"/>
    <s v="Christian"/>
    <s v="London"/>
    <x v="3"/>
    <x v="24"/>
    <s v="Hornsey and Wood Green"/>
    <s v="N8 7BU"/>
    <n v="4"/>
    <n v="533"/>
    <d v="2020-09-29T00:00:00"/>
    <d v="2020-11-02T00:00:00"/>
  </r>
  <r>
    <s v="Ofsted School Webpage"/>
    <n v="112357"/>
    <n v="9093551"/>
    <s v="Our Lady of the Rosary Catholic Primary School"/>
    <x v="0"/>
    <s v="Voluntary Aided School"/>
    <s v="NULL"/>
    <s v="Not applicable"/>
    <s v="Does not have a sixth form"/>
    <s v="Roman Catholic"/>
    <s v="Does not apply"/>
    <s v="Christian"/>
    <s v="North West"/>
    <x v="4"/>
    <x v="25"/>
    <s v="Barrow and Furness"/>
    <s v="LA15 8LB"/>
    <n v="3"/>
    <n v="97"/>
    <d v="2020-09-29T00:00:00"/>
    <d v="2020-11-22T00:00:00"/>
  </r>
  <r>
    <s v="Ofsted School Webpage"/>
    <n v="107992"/>
    <n v="3833040"/>
    <s v="Micklefield Church of England Voluntary Controlled Primary School"/>
    <x v="0"/>
    <s v="Voluntary Controlled School"/>
    <s v="NULL"/>
    <s v="Not applicable"/>
    <s v="Does not have a sixth form"/>
    <s v="Church of England"/>
    <s v="Does not apply"/>
    <s v="Christian"/>
    <s v="North East, Yorkshire and the Humber"/>
    <x v="0"/>
    <x v="26"/>
    <s v="Elmet and Rothwell"/>
    <s v="LS25 4AQ"/>
    <n v="4"/>
    <n v="114"/>
    <d v="2020-09-29T00:00:00"/>
    <d v="2020-11-05T00:00:00"/>
  </r>
  <r>
    <s v="Ofsted School Webpage"/>
    <n v="132170"/>
    <n v="9092716"/>
    <s v="Montreal CofE Primary School"/>
    <x v="0"/>
    <s v="Voluntary Controlled School"/>
    <d v="2000-09-01T00:00:00"/>
    <s v="Not applicable"/>
    <s v="Does not have a sixth form"/>
    <s v="Church of England"/>
    <s v="Does not apply"/>
    <s v="Christian"/>
    <s v="North West"/>
    <x v="4"/>
    <x v="25"/>
    <s v="Copeland"/>
    <s v="CA25 5LW"/>
    <n v="4"/>
    <n v="151"/>
    <d v="2020-09-29T00:00:00"/>
    <d v="2020-11-04T00:00:00"/>
  </r>
  <r>
    <s v="Ofsted School Webpage"/>
    <n v="119656"/>
    <n v="8883762"/>
    <s v="St Anne's and St Joseph's Roman Catholic Primary School"/>
    <x v="0"/>
    <s v="Voluntary Aided School"/>
    <s v="NULL"/>
    <s v="Not applicable"/>
    <s v="Does not have a sixth form"/>
    <s v="Roman Catholic"/>
    <s v="Does not apply"/>
    <s v="Christian"/>
    <s v="North West"/>
    <x v="4"/>
    <x v="27"/>
    <s v="Hyndburn"/>
    <s v="BB5 2AN"/>
    <n v="5"/>
    <n v="251"/>
    <d v="2020-09-29T00:00:00"/>
    <d v="2020-11-09T00:00:00"/>
  </r>
  <r>
    <s v="Ofsted School Webpage"/>
    <n v="105525"/>
    <n v="3523434"/>
    <s v="St Chad's RC Primary School"/>
    <x v="0"/>
    <s v="Voluntary Aided School"/>
    <d v="1899-12-31T00:00:00"/>
    <s v="Not applicable"/>
    <s v="Does not have a sixth form"/>
    <s v="Roman Catholic"/>
    <s v="Does not apply"/>
    <s v="Christian"/>
    <s v="North West"/>
    <x v="4"/>
    <x v="4"/>
    <s v="Blackley and Broughton"/>
    <s v="M8 0SP"/>
    <n v="5"/>
    <n v="238"/>
    <d v="2020-09-29T00:00:00"/>
    <d v="2020-10-15T00:00:00"/>
  </r>
  <r>
    <s v="Ofsted School Webpage"/>
    <n v="115703"/>
    <n v="9163352"/>
    <s v="Withington Church of England Primary School"/>
    <x v="0"/>
    <s v="Voluntary Aided School"/>
    <s v="NULL"/>
    <s v="Not applicable"/>
    <s v="Does not have a sixth form"/>
    <s v="Church of England"/>
    <s v="Does not apply"/>
    <s v="Christian"/>
    <s v="South West"/>
    <x v="5"/>
    <x v="28"/>
    <s v="The Cotswolds"/>
    <s v="GL54 4BQ"/>
    <n v="1"/>
    <n v="44"/>
    <d v="2020-09-29T00:00:00"/>
    <d v="2020-11-03T00:00:00"/>
  </r>
  <r>
    <s v="Ofsted School Webpage"/>
    <n v="118654"/>
    <n v="8863122"/>
    <s v="Bridge and Patrixbourne Church of England Primary School"/>
    <x v="0"/>
    <s v="Voluntary Controlled School"/>
    <s v="NULL"/>
    <s v="Not applicable"/>
    <s v="Does not have a sixth form"/>
    <s v="Church of England"/>
    <s v="Does not apply"/>
    <s v="Christian"/>
    <s v="South East"/>
    <x v="2"/>
    <x v="7"/>
    <s v="Canterbury"/>
    <s v="CT4 5JX"/>
    <n v="2"/>
    <n v="418"/>
    <d v="2020-09-29T00:00:00"/>
    <d v="2020-11-11T00:00:00"/>
  </r>
  <r>
    <s v="Ofsted School Webpage"/>
    <n v="134722"/>
    <n v="3413963"/>
    <s v="The Trinity Catholic Primary School"/>
    <x v="0"/>
    <s v="Voluntary Aided School"/>
    <d v="2004-09-01T00:00:00"/>
    <s v="Not applicable"/>
    <s v="Does not have a sixth form"/>
    <s v="Roman Catholic"/>
    <s v="Does not apply"/>
    <s v="Christian"/>
    <s v="North West"/>
    <x v="4"/>
    <x v="29"/>
    <s v="Liverpool, Riverside"/>
    <s v="L5 8UT"/>
    <n v="5"/>
    <n v="354"/>
    <d v="2020-09-29T00:00:00"/>
    <d v="2020-11-23T00:00:00"/>
  </r>
  <r>
    <s v="Ofsted School Webpage"/>
    <n v="109974"/>
    <n v="8693039"/>
    <s v="Shaw-cum-Donnington C.E. Primary School"/>
    <x v="0"/>
    <s v="Voluntary Controlled School"/>
    <s v="NULL"/>
    <s v="Not applicable"/>
    <s v="Does not have a sixth form"/>
    <s v="Church of England"/>
    <s v="Does not apply"/>
    <s v="Christian"/>
    <s v="South East"/>
    <x v="2"/>
    <x v="30"/>
    <s v="Newbury"/>
    <s v="RG14 2JG"/>
    <n v="2"/>
    <n v="81"/>
    <d v="2020-09-29T00:00:00"/>
    <d v="2020-11-16T00:00:00"/>
  </r>
  <r>
    <s v="Ofsted School Webpage"/>
    <n v="118003"/>
    <n v="8113050"/>
    <s v="South Cave Church of England Voluntary Controlled Primary School"/>
    <x v="0"/>
    <s v="Voluntary Controlled School"/>
    <s v="NULL"/>
    <s v="Not applicable"/>
    <s v="Does not have a sixth form"/>
    <s v="Church of England"/>
    <s v="Does not apply"/>
    <s v="Christian"/>
    <s v="North East, Yorkshire and the Humber"/>
    <x v="0"/>
    <x v="31"/>
    <s v="Haltemprice and Howden"/>
    <s v="HU15 2EP"/>
    <n v="1"/>
    <n v="235"/>
    <d v="2020-09-29T00:00:00"/>
    <d v="2020-11-19T00:00:00"/>
  </r>
  <r>
    <s v="Ofsted School Webpage"/>
    <n v="131591"/>
    <n v="3332186"/>
    <s v="Harvills Hawthorn Primary School"/>
    <x v="0"/>
    <s v="Foundation School"/>
    <d v="1998-09-01T00:00:00"/>
    <s v="Not applicable"/>
    <s v="Not applicable"/>
    <s v="Does not apply"/>
    <s v="Does not apply"/>
    <s v="Non-denominational"/>
    <s v="West Midlands"/>
    <x v="1"/>
    <x v="10"/>
    <s v="West Bromwich West"/>
    <s v="B70 0NG"/>
    <n v="5"/>
    <n v="492"/>
    <d v="2020-09-29T00:00:00"/>
    <d v="2020-10-15T00:00:00"/>
  </r>
  <r>
    <s v="Ofsted School Webpage"/>
    <n v="109743"/>
    <n v="8217014"/>
    <s v="Richmond Hill School"/>
    <x v="2"/>
    <s v="Community Special School"/>
    <s v="NULL"/>
    <s v="Not applicable"/>
    <s v="Not applicable"/>
    <s v="Does not apply"/>
    <s v="Does not apply"/>
    <s v="Non-denominational"/>
    <s v="East of England"/>
    <x v="7"/>
    <x v="32"/>
    <s v="Luton South"/>
    <s v="LU2 7JL"/>
    <n v="4"/>
    <n v="232"/>
    <d v="2020-09-29T00:00:00"/>
    <d v="2020-11-12T00:00:00"/>
  </r>
  <r>
    <s v="Ofsted School Webpage"/>
    <n v="119103"/>
    <n v="8881100"/>
    <s v="Stepping Stones School"/>
    <x v="3"/>
    <s v="Pupil Referral Unit"/>
    <s v="NULL"/>
    <s v="Not applicable"/>
    <s v="Not applicable"/>
    <s v="Does not apply"/>
    <s v="Does not apply"/>
    <s v="Non-denominational"/>
    <s v="North West"/>
    <x v="4"/>
    <x v="27"/>
    <s v="Lancaster and Fleetwood"/>
    <s v="LA1 4HT"/>
    <n v="1"/>
    <n v="11"/>
    <d v="2020-09-29T00:00:00"/>
    <d v="2020-11-19T00:00:00"/>
  </r>
  <r>
    <s v="Ofsted School Webpage"/>
    <n v="135904"/>
    <n v="9266906"/>
    <s v="City Academy Norwich"/>
    <x v="1"/>
    <s v="Academy Sponsor Led"/>
    <d v="2009-09-01T00:00:00"/>
    <s v="Non-selective"/>
    <s v="Has a sixth form"/>
    <s v="Does not apply"/>
    <s v="None"/>
    <s v="Non-denominational"/>
    <s v="East of England"/>
    <x v="7"/>
    <x v="33"/>
    <s v="Norwich South"/>
    <s v="NR4 7LP"/>
    <n v="5"/>
    <n v="604"/>
    <d v="2020-09-29T00:00:00"/>
    <d v="2020-11-12T00:00:00"/>
  </r>
  <r>
    <s v="Ofsted School Webpage"/>
    <n v="140220"/>
    <n v="9332012"/>
    <s v="Willowdown Primary School"/>
    <x v="0"/>
    <s v="Academy Sponsor Led"/>
    <d v="2014-09-01T00:00:00"/>
    <s v="Non-selective"/>
    <s v="Does not have a sixth form"/>
    <s v="None"/>
    <s v="None"/>
    <s v="Non-denominational"/>
    <s v="South West"/>
    <x v="5"/>
    <x v="34"/>
    <s v="Bridgwater and West Somerset"/>
    <s v="TA6 4FU"/>
    <n v="4"/>
    <n v="248"/>
    <d v="2020-09-29T00:00:00"/>
    <d v="2020-11-05T00:00:00"/>
  </r>
  <r>
    <s v="Ofsted School Webpage"/>
    <n v="121270"/>
    <n v="8161100"/>
    <s v="Danesgate Community"/>
    <x v="3"/>
    <s v="Pupil Referral Unit"/>
    <s v="NULL"/>
    <s v="Not applicable"/>
    <s v="Not applicable"/>
    <s v="Does not apply"/>
    <s v="Does not apply"/>
    <s v="Non-denominational"/>
    <s v="North East, Yorkshire and the Humber"/>
    <x v="0"/>
    <x v="35"/>
    <s v="York Central"/>
    <s v="YO10 4PB"/>
    <n v="1"/>
    <n v="215"/>
    <d v="2020-09-29T00:00:00"/>
    <d v="2020-11-09T00:00:00"/>
  </r>
  <r>
    <s v="Ofsted School Webpage"/>
    <n v="124220"/>
    <n v="8602424"/>
    <s v="Moorhill Primary School"/>
    <x v="0"/>
    <s v="Foundation School"/>
    <s v="NULL"/>
    <s v="Not applicable"/>
    <s v="Does not have a sixth form"/>
    <s v="Does not apply"/>
    <s v="Does not apply"/>
    <s v="Non-denominational"/>
    <s v="West Midlands"/>
    <x v="1"/>
    <x v="36"/>
    <s v="Cannock Chase"/>
    <s v="WS11 5RN"/>
    <n v="5"/>
    <n v="362"/>
    <d v="2020-09-29T00:00:00"/>
    <d v="2020-11-09T00:00:00"/>
  </r>
  <r>
    <s v="Ofsted School Webpage"/>
    <n v="102555"/>
    <n v="3137006"/>
    <s v="Oaklands School"/>
    <x v="2"/>
    <s v="Community Special School"/>
    <s v="NULL"/>
    <s v="Not applicable"/>
    <s v="Has a sixth form"/>
    <s v="Does not apply"/>
    <s v="Does not apply"/>
    <s v="Non-denominational"/>
    <s v="London"/>
    <x v="3"/>
    <x v="37"/>
    <s v="Feltham and Heston"/>
    <s v="TW3 4BX"/>
    <n v="3"/>
    <n v="152"/>
    <d v="2020-09-29T00:00:00"/>
    <d v="2020-11-02T00:00:00"/>
  </r>
  <r>
    <s v="Ofsted School Webpage"/>
    <n v="139049"/>
    <n v="8014005"/>
    <s v="Bridge Learning Campus"/>
    <x v="1"/>
    <s v="Academy Sponsor Led"/>
    <d v="2013-03-01T00:00:00"/>
    <s v="Non-selective"/>
    <s v="Does not have a sixth form"/>
    <s v="None"/>
    <s v="None"/>
    <s v="Non-denominational"/>
    <s v="South West"/>
    <x v="5"/>
    <x v="38"/>
    <s v="Bristol South"/>
    <s v="BS13 0RL"/>
    <n v="5"/>
    <n v="942"/>
    <d v="2020-09-29T00:00:00"/>
    <d v="2020-10-15T00:00:00"/>
  </r>
  <r>
    <s v="Ofsted School Webpage"/>
    <n v="137598"/>
    <n v="9294437"/>
    <s v="Berwick Academy"/>
    <x v="1"/>
    <s v="Academy Converter"/>
    <d v="2011-11-01T00:00:00"/>
    <s v="Non-selective"/>
    <s v="Has a sixth form"/>
    <s v="Does not apply"/>
    <s v="Does not apply"/>
    <s v="Non-denominational"/>
    <s v="North East, Yorkshire and the Humber"/>
    <x v="8"/>
    <x v="39"/>
    <s v="Berwick-upon-Tweed"/>
    <s v="TD15 2JF"/>
    <n v="3"/>
    <n v="472"/>
    <d v="2020-09-29T00:00:00"/>
    <d v="2020-11-09T00:00:00"/>
  </r>
  <r>
    <s v="Ofsted School Webpage"/>
    <n v="136146"/>
    <n v="8086906"/>
    <s v="North Shore Academy"/>
    <x v="1"/>
    <s v="Academy Sponsor Led"/>
    <d v="2010-09-01T00:00:00"/>
    <s v="Non-selective"/>
    <s v="Not applicable"/>
    <s v="Does not apply"/>
    <s v="None"/>
    <s v="Non-denominational"/>
    <s v="North East, Yorkshire and the Humber"/>
    <x v="8"/>
    <x v="40"/>
    <s v="Stockton North"/>
    <s v="TS20 2AY"/>
    <n v="5"/>
    <n v="633"/>
    <d v="2020-09-29T00:00:00"/>
    <d v="2020-11-16T00:00:00"/>
  </r>
  <r>
    <s v="Ofsted School Webpage"/>
    <n v="136027"/>
    <n v="3536905"/>
    <s v="Oasis Academy Oldham"/>
    <x v="1"/>
    <s v="Academy Sponsor Led"/>
    <d v="2010-09-01T00:00:00"/>
    <s v="Non-selective"/>
    <s v="Not applicable"/>
    <s v="Does not apply"/>
    <s v="None"/>
    <s v="Non-denominational"/>
    <s v="North West"/>
    <x v="4"/>
    <x v="41"/>
    <s v="Oldham West and Royton"/>
    <s v="OL8 4JZ"/>
    <n v="5"/>
    <n v="1426"/>
    <d v="2020-09-29T00:00:00"/>
    <d v="2020-10-19T00:00:00"/>
  </r>
  <r>
    <s v="Ofsted School Webpage"/>
    <n v="137193"/>
    <n v="9334451"/>
    <s v="Buckler's Mead Academy"/>
    <x v="1"/>
    <s v="Academy Converter"/>
    <d v="2011-08-01T00:00:00"/>
    <s v="Non-selective"/>
    <s v="Does not have a sixth form"/>
    <s v="Does not apply"/>
    <s v="Does not apply"/>
    <s v="Non-denominational"/>
    <s v="South West"/>
    <x v="5"/>
    <x v="34"/>
    <s v="Yeovil"/>
    <s v="BA21 4NH"/>
    <n v="4"/>
    <n v="795"/>
    <d v="2020-09-29T00:00:00"/>
    <d v="2020-11-09T00:00:00"/>
  </r>
  <r>
    <s v="Ofsted School Webpage"/>
    <n v="141710"/>
    <n v="9082009"/>
    <s v="Carclaze Community Primary School"/>
    <x v="0"/>
    <s v="Academy Converter"/>
    <d v="2015-02-01T00:00:00"/>
    <s v="Not applicable"/>
    <s v="Does not have a sixth form"/>
    <s v="Does not apply"/>
    <s v="Does not apply"/>
    <s v="Non-denominational"/>
    <s v="South West"/>
    <x v="5"/>
    <x v="42"/>
    <s v="St Austell and Newquay"/>
    <s v="PL25 3TF"/>
    <n v="3"/>
    <n v="399"/>
    <d v="2020-09-29T00:00:00"/>
    <d v="2020-11-11T00:00:00"/>
  </r>
  <r>
    <s v="Ofsted School Webpage"/>
    <n v="136463"/>
    <n v="8735406"/>
    <s v="Comberton Village College"/>
    <x v="1"/>
    <s v="Academy Converter"/>
    <d v="2011-02-01T00:00:00"/>
    <s v="Non-selective"/>
    <s v="Has a sixth form"/>
    <s v="None"/>
    <s v="Does not apply"/>
    <s v="Non-denominational"/>
    <s v="East of England"/>
    <x v="7"/>
    <x v="43"/>
    <s v="South Cambridgeshire"/>
    <s v="CB23 7DU"/>
    <n v="1"/>
    <n v="1906"/>
    <d v="2020-09-29T00:00:00"/>
    <d v="2020-10-19T00:00:00"/>
  </r>
  <r>
    <s v="Ofsted School Webpage"/>
    <n v="137549"/>
    <n v="8834394"/>
    <s v="Harris Academy Chafford Hundred"/>
    <x v="1"/>
    <s v="Academy Converter"/>
    <d v="2011-10-01T00:00:00"/>
    <s v="Non-selective"/>
    <s v="Has a sixth form"/>
    <s v="None"/>
    <s v="Does not apply"/>
    <s v="Non-denominational"/>
    <s v="East of England"/>
    <x v="7"/>
    <x v="44"/>
    <s v="Thurrock"/>
    <s v="RM16 6SA"/>
    <n v="2"/>
    <n v="1354"/>
    <d v="2020-09-29T00:00:00"/>
    <d v="2020-10-19T00:00:00"/>
  </r>
  <r>
    <s v="Ofsted School Webpage"/>
    <n v="140285"/>
    <n v="8612092"/>
    <s v="Newstead Primary Academy"/>
    <x v="0"/>
    <s v="Academy Converter"/>
    <d v="2013-11-01T00:00:00"/>
    <s v="Not applicable"/>
    <s v="Does not have a sixth form"/>
    <s v="Does not apply"/>
    <s v="Does not apply"/>
    <s v="Non-denominational"/>
    <s v="West Midlands"/>
    <x v="1"/>
    <x v="45"/>
    <s v="Stoke-on-Trent South"/>
    <s v="ST3 3LQ"/>
    <n v="5"/>
    <n v="404"/>
    <d v="2020-09-29T00:00:00"/>
    <d v="2020-11-05T00:00:00"/>
  </r>
  <r>
    <s v="Ofsted School Webpage"/>
    <n v="140586"/>
    <n v="3364117"/>
    <s v="Smestow School"/>
    <x v="1"/>
    <s v="Academy Converter"/>
    <d v="2014-02-01T00:00:00"/>
    <s v="Non-selective"/>
    <s v="Has a sixth form"/>
    <s v="Does not apply"/>
    <s v="Does not apply"/>
    <s v="Non-denominational"/>
    <s v="West Midlands"/>
    <x v="1"/>
    <x v="1"/>
    <s v="Wolverhampton South West"/>
    <s v="WV3 8HU"/>
    <n v="4"/>
    <n v="862"/>
    <d v="2020-09-29T00:00:00"/>
    <d v="2020-11-09T00:00:00"/>
  </r>
  <r>
    <s v="Ofsted School Webpage"/>
    <n v="136576"/>
    <n v="3114003"/>
    <s v="The Brittons Academy"/>
    <x v="1"/>
    <s v="Academy Converter"/>
    <d v="2011-04-01T00:00:00"/>
    <s v="Non-selective"/>
    <s v="Does not have a sixth form"/>
    <s v="None"/>
    <s v="Does not apply"/>
    <s v="Non-denominational"/>
    <s v="London"/>
    <x v="3"/>
    <x v="46"/>
    <s v="Dagenham and Rainham"/>
    <s v="RM13 7BB"/>
    <n v="4"/>
    <n v="690"/>
    <d v="2020-09-29T00:00:00"/>
    <d v="2020-10-15T00:00:00"/>
  </r>
  <r>
    <s v="Ofsted School Webpage"/>
    <n v="141187"/>
    <n v="8507004"/>
    <s v="The Coppice Spring Academy"/>
    <x v="2"/>
    <s v="Academy Special Sponsor Led"/>
    <d v="2014-09-01T00:00:00"/>
    <s v="Not applicable"/>
    <s v="Does not have a sixth form"/>
    <s v="Does not apply"/>
    <s v="None"/>
    <s v="Non-denominational"/>
    <s v="South East"/>
    <x v="2"/>
    <x v="2"/>
    <s v="Basingstoke"/>
    <s v="RG22 5TH"/>
    <n v="3"/>
    <n v="70"/>
    <d v="2020-09-29T00:00:00"/>
    <d v="2020-10-26T00:00:00"/>
  </r>
  <r>
    <s v="Ofsted School Webpage"/>
    <n v="136613"/>
    <n v="3844026"/>
    <s v="Airedale Academy"/>
    <x v="1"/>
    <s v="Academy Converter"/>
    <d v="2011-04-01T00:00:00"/>
    <s v="Non-selective"/>
    <s v="Has a sixth form"/>
    <s v="Does not apply"/>
    <s v="Does not apply"/>
    <s v="Non-denominational"/>
    <s v="North East, Yorkshire and the Humber"/>
    <x v="0"/>
    <x v="47"/>
    <s v="Normanton, Pontefract and Castleford"/>
    <s v="WF10 3JU"/>
    <n v="5"/>
    <n v="1025"/>
    <d v="2020-09-29T00:00:00"/>
    <d v="2020-11-11T00:00:00"/>
  </r>
  <r>
    <s v="Ofsted School Webpage"/>
    <n v="138863"/>
    <n v="8804001"/>
    <s v="Paignton Academy"/>
    <x v="1"/>
    <s v="Academy Converter"/>
    <d v="2012-10-01T00:00:00"/>
    <s v="Non-selective"/>
    <s v="Does not have a sixth form"/>
    <s v="Does not apply"/>
    <s v="Does not apply"/>
    <s v="Non-denominational"/>
    <s v="South West"/>
    <x v="5"/>
    <x v="48"/>
    <s v="Totnes"/>
    <s v="TQ3 3WA"/>
    <n v="4"/>
    <n v="1374"/>
    <d v="2020-09-29T00:00:00"/>
    <d v="2020-11-18T00:00:00"/>
  </r>
  <r>
    <s v="Ofsted School Webpage"/>
    <n v="140183"/>
    <n v="8842002"/>
    <s v="St Thomas Cantilupe CofE Academy"/>
    <x v="0"/>
    <s v="Academy Sponsor Led"/>
    <d v="2014-01-01T00:00:00"/>
    <s v="Not applicable"/>
    <s v="Does not have a sixth form"/>
    <s v="Church of England"/>
    <s v="None"/>
    <s v="Christian"/>
    <s v="West Midlands"/>
    <x v="1"/>
    <x v="19"/>
    <s v="Hereford and South Herefordshire"/>
    <s v="HR1 2DY"/>
    <n v="3"/>
    <n v="203"/>
    <d v="2020-09-29T00:00:00"/>
    <d v="2020-10-19T00:00:00"/>
  </r>
  <r>
    <s v="Ofsted School Webpage"/>
    <n v="139063"/>
    <n v="8914015"/>
    <s v="Sutton Community Academy"/>
    <x v="1"/>
    <s v="Academy Sponsor Led"/>
    <d v="2013-01-01T00:00:00"/>
    <s v="Non-selective"/>
    <s v="Has a sixth form"/>
    <s v="Does not apply"/>
    <s v="None"/>
    <s v="Non-denominational"/>
    <s v="East Midlands"/>
    <x v="6"/>
    <x v="49"/>
    <s v="Ashfield"/>
    <s v="NG17 1EE"/>
    <n v="5"/>
    <n v="712"/>
    <d v="2020-09-29T00:00:00"/>
    <d v="2020-11-11T00:00:00"/>
  </r>
  <r>
    <s v="Ofsted School Webpage"/>
    <n v="139517"/>
    <n v="8224605"/>
    <s v="St Thomas More Catholic School"/>
    <x v="1"/>
    <s v="Academy Converter"/>
    <d v="2013-04-01T00:00:00"/>
    <s v="Non-selective"/>
    <s v="Has a sixth form"/>
    <s v="Roman Catholic"/>
    <s v="Does not apply"/>
    <s v="Christian"/>
    <s v="East of England"/>
    <x v="7"/>
    <x v="50"/>
    <s v="North East Bedfordshire"/>
    <s v="MK41 7UL"/>
    <n v="3"/>
    <n v="971"/>
    <d v="2020-09-29T00:00:00"/>
    <d v="2020-10-19T00:00:00"/>
  </r>
  <r>
    <s v="Ofsted School Webpage"/>
    <n v="137358"/>
    <n v="8572316"/>
    <s v="Brooke Hill Academy"/>
    <x v="0"/>
    <s v="Academy Converter"/>
    <d v="2011-09-01T00:00:00"/>
    <s v="Not applicable"/>
    <s v="Not applicable"/>
    <s v="Does not apply"/>
    <s v="Does not apply"/>
    <s v="Non-denominational"/>
    <s v="East Midlands"/>
    <x v="6"/>
    <x v="51"/>
    <s v="Rutland and Melton"/>
    <s v="LE15 6HQ"/>
    <n v="1"/>
    <n v="346"/>
    <d v="2020-09-29T00:00:00"/>
    <d v="2020-10-15T00:00:00"/>
  </r>
  <r>
    <s v="Ofsted School Webpage"/>
    <n v="143181"/>
    <n v="8302240"/>
    <s v="Poolsbrook Primary Academy"/>
    <x v="0"/>
    <s v="Academy Converter"/>
    <d v="2016-09-01T00:00:00"/>
    <s v="Not applicable"/>
    <s v="Does not have a sixth form"/>
    <s v="Does not apply"/>
    <s v="Does not apply"/>
    <s v="Non-denominational"/>
    <s v="East Midlands"/>
    <x v="6"/>
    <x v="6"/>
    <s v="Chesterfield"/>
    <s v="S43 3LF"/>
    <n v="5"/>
    <n v="104"/>
    <d v="2020-09-29T00:00:00"/>
    <d v="2020-11-09T00:00:00"/>
  </r>
  <r>
    <s v="Ofsted School Webpage"/>
    <n v="142469"/>
    <n v="8904003"/>
    <s v="Highfield Leadership Academy"/>
    <x v="1"/>
    <s v="Academy Sponsor Led"/>
    <d v="2016-04-01T00:00:00"/>
    <s v="Non-selective"/>
    <s v="Does not have a sixth form"/>
    <s v="Does not apply"/>
    <s v="None"/>
    <s v="Non-denominational"/>
    <s v="North West"/>
    <x v="4"/>
    <x v="52"/>
    <s v="Blackpool South"/>
    <s v="FY4 3JZ"/>
    <n v="5"/>
    <n v="727"/>
    <d v="2020-09-29T00:00:00"/>
    <d v="2020-11-10T00:00:00"/>
  </r>
  <r>
    <s v="Ofsted School Webpage"/>
    <n v="142817"/>
    <n v="8872017"/>
    <s v="Cedar Children's Academy"/>
    <x v="0"/>
    <s v="Academy Sponsor Led"/>
    <d v="2016-06-01T00:00:00"/>
    <s v="Not applicable"/>
    <s v="Does not have a sixth form"/>
    <s v="Does not apply"/>
    <s v="Unknown"/>
    <s v="Non-denominational"/>
    <s v="South East"/>
    <x v="2"/>
    <x v="53"/>
    <s v="Rochester and Strood"/>
    <s v="ME2 2JP"/>
    <n v="4"/>
    <n v="623"/>
    <d v="2020-09-29T00:00:00"/>
    <d v="2020-10-15T00:00:00"/>
  </r>
  <r>
    <s v="Ofsted School Webpage"/>
    <n v="139691"/>
    <n v="8417000"/>
    <s v="Marchbank Free School"/>
    <x v="2"/>
    <s v="Free School Special"/>
    <d v="2013-09-01T00:00:00"/>
    <s v="Not applicable"/>
    <s v="Does not have a sixth form"/>
    <s v="Does not apply"/>
    <s v="None"/>
    <s v="Non-denominational"/>
    <s v="North East, Yorkshire and the Humber"/>
    <x v="8"/>
    <x v="54"/>
    <s v="Darlington"/>
    <s v="DL3 9BL"/>
    <n v="4"/>
    <n v="32"/>
    <d v="2020-09-29T00:00:00"/>
    <d v="2020-11-15T00:00:00"/>
  </r>
  <r>
    <s v="Ofsted School Webpage"/>
    <n v="141038"/>
    <n v="9384011"/>
    <s v="The Gatwick School"/>
    <x v="1"/>
    <s v="Free School"/>
    <d v="2014-09-01T00:00:00"/>
    <s v="Unknown"/>
    <s v="Does not have a sixth form"/>
    <s v="None"/>
    <s v="None"/>
    <s v="Non-denominational"/>
    <s v="South East"/>
    <x v="2"/>
    <x v="55"/>
    <s v="Crawley"/>
    <s v="RH10 9TP"/>
    <n v="3"/>
    <n v="761"/>
    <d v="2020-09-29T00:00:00"/>
    <d v="2020-11-04T00:00:00"/>
  </r>
  <r>
    <s v="Ofsted School Webpage"/>
    <n v="142221"/>
    <n v="9192051"/>
    <s v="Watford St John's Church of England Primary School"/>
    <x v="0"/>
    <s v="Free School"/>
    <d v="2016-09-07T00:00:00"/>
    <s v="Unknown"/>
    <s v="Does not have a sixth form"/>
    <s v="Church of England/Christian"/>
    <s v="Church of England"/>
    <s v="Christian"/>
    <s v="East of England"/>
    <x v="7"/>
    <x v="56"/>
    <s v="Watford"/>
    <s v="WD17 1JJ"/>
    <n v="2"/>
    <n v="177"/>
    <d v="2020-09-29T00:00:00"/>
    <d v="2020-11-10T00:00:00"/>
  </r>
  <r>
    <s v="Ofsted School Webpage"/>
    <n v="145348"/>
    <n v="3074030"/>
    <s v="Dormers Wells High School"/>
    <x v="1"/>
    <s v="Academy Converter"/>
    <d v="2018-01-01T00:00:00"/>
    <s v="Non-selective"/>
    <s v="Has a sixth form"/>
    <s v="Does not apply"/>
    <s v="Does not apply"/>
    <s v="Non-denominational"/>
    <s v="London"/>
    <x v="3"/>
    <x v="57"/>
    <s v="Ealing, Southall"/>
    <s v="UB1 3HZ"/>
    <n v="3"/>
    <n v="1442"/>
    <d v="2020-09-29T00:00:00"/>
    <d v="2020-10-27T00:00:00"/>
  </r>
  <r>
    <s v="Ofsted School Webpage"/>
    <n v="145450"/>
    <n v="8512658"/>
    <s v="Northern Parade Junior School"/>
    <x v="0"/>
    <s v="Academy Converter"/>
    <d v="2018-02-01T00:00:00"/>
    <s v="Not applicable"/>
    <s v="Does not have a sixth form"/>
    <s v="Does not apply"/>
    <s v="Does not apply"/>
    <s v="Non-denominational"/>
    <s v="South East"/>
    <x v="2"/>
    <x v="58"/>
    <s v="Portsmouth North "/>
    <s v="PO2 9NE"/>
    <n v="4"/>
    <n v="472"/>
    <d v="2020-09-29T00:00:00"/>
    <d v="2020-10-15T00:00:00"/>
  </r>
  <r>
    <s v="Ofsted School Webpage"/>
    <n v="145671"/>
    <n v="8073007"/>
    <s v="St Peter's Church of England Primary School"/>
    <x v="0"/>
    <s v="Academy Converter"/>
    <d v="2018-04-01T00:00:00"/>
    <s v="Not applicable"/>
    <s v="Does not have a sixth form"/>
    <s v="Church of England"/>
    <s v="Does not apply"/>
    <s v="Christian"/>
    <s v="North East, Yorkshire and the Humber"/>
    <x v="8"/>
    <x v="59"/>
    <s v="Middlesbrough South and East Cleveland"/>
    <s v="TS12 2UW"/>
    <n v="5"/>
    <n v="346"/>
    <d v="2020-09-29T00:00:00"/>
    <d v="2020-11-19T00:00:00"/>
  </r>
  <r>
    <s v="Ofsted School Webpage"/>
    <n v="143466"/>
    <n v="8153245"/>
    <s v="Hampsthwaite Church of England Primary School"/>
    <x v="0"/>
    <s v="Academy Converter"/>
    <d v="2017-02-01T00:00:00"/>
    <s v="Not applicable"/>
    <s v="Does not have a sixth form"/>
    <s v="Church of England"/>
    <s v="Does not apply"/>
    <s v="Christian"/>
    <s v="North East, Yorkshire and the Humber"/>
    <x v="0"/>
    <x v="60"/>
    <s v="Harrogate and Knaresborough"/>
    <s v="HG3 2EZ"/>
    <n v="1"/>
    <n v="151"/>
    <d v="2020-09-29T00:00:00"/>
    <d v="2020-11-04T00:00:00"/>
  </r>
  <r>
    <s v="Ofsted School Webpage"/>
    <n v="144136"/>
    <n v="8062331"/>
    <s v="Pallister Park Primary School"/>
    <x v="0"/>
    <s v="Academy Converter"/>
    <d v="2017-04-01T00:00:00"/>
    <s v="Not applicable"/>
    <s v="Does not have a sixth form"/>
    <s v="Does not apply"/>
    <s v="Does not apply"/>
    <s v="Non-denominational"/>
    <s v="North East, Yorkshire and the Humber"/>
    <x v="8"/>
    <x v="61"/>
    <s v="Middlesbrough"/>
    <s v="TS3 8PW"/>
    <n v="5"/>
    <n v="649"/>
    <d v="2020-09-29T00:00:00"/>
    <d v="2020-11-10T00:00:00"/>
  </r>
  <r>
    <s v="Ofsted School Webpage"/>
    <n v="144072"/>
    <n v="8782022"/>
    <s v="Exwick Heights Primary School"/>
    <x v="0"/>
    <s v="Academy Converter"/>
    <d v="2017-04-01T00:00:00"/>
    <s v="Not applicable"/>
    <s v="Does not have a sixth form"/>
    <s v="Does not apply"/>
    <s v="Does not apply"/>
    <s v="Non-denominational"/>
    <s v="South West"/>
    <x v="5"/>
    <x v="62"/>
    <s v="Exeter"/>
    <s v="EX4 2FB"/>
    <n v="3"/>
    <n v="612"/>
    <d v="2020-09-29T00:00:00"/>
    <d v="2020-11-09T00:00:00"/>
  </r>
  <r>
    <s v="Ofsted School Webpage"/>
    <n v="144355"/>
    <n v="3402006"/>
    <s v="Blacklow Brow School"/>
    <x v="0"/>
    <s v="Academy Sponsor Led"/>
    <d v="2017-09-01T00:00:00"/>
    <s v="Not applicable"/>
    <s v="Does not have a sixth form"/>
    <s v="Does not apply"/>
    <s v="Unknown"/>
    <s v="Non-denominational"/>
    <s v="North West"/>
    <x v="4"/>
    <x v="63"/>
    <s v="Knowsley"/>
    <s v="L36 5XW"/>
    <n v="4"/>
    <n v="225"/>
    <d v="2020-09-29T00:00:00"/>
    <d v="2020-11-19T00:00:00"/>
  </r>
  <r>
    <s v="Ofsted School Webpage"/>
    <n v="146170"/>
    <n v="9283048"/>
    <s v="Oundle Church of England Primary School"/>
    <x v="0"/>
    <s v="Academy Converter"/>
    <d v="2018-12-01T00:00:00"/>
    <s v="Not applicable"/>
    <s v="Does not have a sixth form"/>
    <s v="Church of England"/>
    <s v="Does not apply"/>
    <s v="Christian"/>
    <s v="East Midlands"/>
    <x v="6"/>
    <x v="64"/>
    <s v="Corby"/>
    <s v="PE8 5HA"/>
    <n v="1"/>
    <n v="385"/>
    <d v="2020-10-01T00:00:00"/>
    <d v="2020-11-09T00:00:00"/>
  </r>
  <r>
    <s v="Ofsted School Webpage"/>
    <n v="143497"/>
    <n v="9372049"/>
    <s v="Stockton Primary School"/>
    <x v="0"/>
    <s v="Academy Converter"/>
    <d v="2018-02-01T00:00:00"/>
    <s v="Not applicable"/>
    <s v="Does not have a sixth form"/>
    <s v="Does not apply"/>
    <s v="Does not apply"/>
    <s v="Non-denominational"/>
    <s v="West Midlands"/>
    <x v="1"/>
    <x v="65"/>
    <s v="Kenilworth and Southam"/>
    <s v="CV47 8JE"/>
    <n v="1"/>
    <n v="99"/>
    <d v="2020-10-01T00:00:00"/>
    <d v="2020-11-12T00:00:00"/>
  </r>
  <r>
    <s v="Ofsted School Webpage"/>
    <n v="145955"/>
    <n v="3082022"/>
    <s v="Delta Primary School"/>
    <x v="0"/>
    <s v="Academy Converter"/>
    <d v="2018-05-01T00:00:00"/>
    <s v="Non-selective"/>
    <s v="Not applicable"/>
    <s v="None"/>
    <s v="Does not apply"/>
    <s v="Non-denominational"/>
    <s v="London"/>
    <x v="3"/>
    <x v="66"/>
    <s v="Edmonton"/>
    <s v="N9 8PT"/>
    <n v="5"/>
    <n v="121"/>
    <d v="2020-10-01T00:00:00"/>
    <d v="2020-11-22T00:00:00"/>
  </r>
  <r>
    <s v="Ofsted School Webpage"/>
    <n v="143331"/>
    <n v="9333232"/>
    <s v="East Brent Church of England First School"/>
    <x v="0"/>
    <s v="Academy Converter"/>
    <d v="2016-11-01T00:00:00"/>
    <s v="Not applicable"/>
    <s v="Does not have a sixth form"/>
    <s v="Church of England"/>
    <s v="Does not apply"/>
    <s v="Christian"/>
    <s v="South West"/>
    <x v="5"/>
    <x v="34"/>
    <s v="Wells"/>
    <s v="TA9 4HZ"/>
    <n v="3"/>
    <n v="82"/>
    <d v="2020-10-01T00:00:00"/>
    <d v="2020-11-10T00:00:00"/>
  </r>
  <r>
    <s v="Ofsted School Webpage"/>
    <n v="145272"/>
    <n v="8742451"/>
    <s v="Werrington Primary School"/>
    <x v="0"/>
    <s v="Academy Converter"/>
    <d v="2018-01-01T00:00:00"/>
    <s v="Not applicable"/>
    <s v="Does not have a sixth form"/>
    <s v="Does not apply"/>
    <s v="Does not apply"/>
    <s v="Non-denominational"/>
    <s v="East of England"/>
    <x v="7"/>
    <x v="13"/>
    <s v="Peterborough"/>
    <s v="PE4 6QG"/>
    <n v="3"/>
    <n v="411"/>
    <d v="2020-10-01T00:00:00"/>
    <d v="2020-11-12T00:00:00"/>
  </r>
  <r>
    <s v="Ofsted School Webpage"/>
    <n v="145286"/>
    <n v="8724048"/>
    <s v="St Crispin's School"/>
    <x v="1"/>
    <s v="Academy Converter"/>
    <d v="2018-02-01T00:00:00"/>
    <s v="Non-selective"/>
    <s v="Has a sixth form"/>
    <s v="Does not apply"/>
    <s v="Does not apply"/>
    <s v="Non-denominational"/>
    <s v="South East"/>
    <x v="2"/>
    <x v="67"/>
    <s v="Wokingham"/>
    <s v="RG40 1SS"/>
    <n v="1"/>
    <n v="1181"/>
    <d v="2020-10-01T00:00:00"/>
    <d v="2020-11-09T00:00:00"/>
  </r>
  <r>
    <s v="Ofsted School Webpage"/>
    <n v="144528"/>
    <n v="8222294"/>
    <s v="Cauldwell School"/>
    <x v="0"/>
    <s v="Academy Converter"/>
    <d v="2017-06-01T00:00:00"/>
    <s v="Not applicable"/>
    <s v="Does not have a sixth form"/>
    <s v="Does not apply"/>
    <s v="Does not apply"/>
    <s v="Non-denominational"/>
    <s v="East of England"/>
    <x v="7"/>
    <x v="50"/>
    <s v="Bedford"/>
    <s v="MK42 9DR"/>
    <n v="4"/>
    <n v="401"/>
    <d v="2020-10-01T00:00:00"/>
    <d v="2020-11-11T00:00:00"/>
  </r>
  <r>
    <s v="Ofsted School Webpage"/>
    <n v="144708"/>
    <n v="8162028"/>
    <s v="Hob Moor Community Primary Academy"/>
    <x v="0"/>
    <s v="Academy Converter"/>
    <d v="2018-05-01T00:00:00"/>
    <s v="Not applicable"/>
    <s v="Does not have a sixth form"/>
    <s v="Does not apply"/>
    <s v="Does not apply"/>
    <s v="Non-denominational"/>
    <s v="North East, Yorkshire and the Humber"/>
    <x v="0"/>
    <x v="35"/>
    <s v="York Central"/>
    <s v="YO24 4PS"/>
    <n v="4"/>
    <n v="313"/>
    <d v="2020-10-01T00:00:00"/>
    <d v="2020-11-11T00:00:00"/>
  </r>
  <r>
    <s v="Ofsted School Webpage"/>
    <n v="142464"/>
    <n v="3712005"/>
    <s v="Morley Place Academy"/>
    <x v="0"/>
    <s v="Academy Sponsor Led"/>
    <d v="2016-04-01T00:00:00"/>
    <s v="Not applicable"/>
    <s v="Does not have a sixth form"/>
    <s v="Does not apply"/>
    <s v="None"/>
    <s v="Non-denominational"/>
    <s v="North East, Yorkshire and the Humber"/>
    <x v="0"/>
    <x v="68"/>
    <s v="Don Valley"/>
    <s v="DN12 3LZ"/>
    <n v="4"/>
    <n v="289"/>
    <d v="2020-10-01T00:00:00"/>
    <d v="2020-11-19T00:00:00"/>
  </r>
  <r>
    <s v="Ofsted School Webpage"/>
    <n v="138641"/>
    <n v="8914226"/>
    <s v="The Kimberley School"/>
    <x v="1"/>
    <s v="Academy Converter"/>
    <d v="2012-09-01T00:00:00"/>
    <s v="Non-selective"/>
    <s v="Has a sixth form"/>
    <s v="None"/>
    <s v="Does not apply"/>
    <s v="Non-denominational"/>
    <s v="East Midlands"/>
    <x v="6"/>
    <x v="49"/>
    <s v="Broxtowe"/>
    <s v="NG16 2NJ"/>
    <n v="3"/>
    <n v="1326"/>
    <d v="2020-10-01T00:00:00"/>
    <d v="2020-11-11T00:00:00"/>
  </r>
  <r>
    <s v="Ofsted School Webpage"/>
    <n v="136974"/>
    <n v="8735403"/>
    <s v="Sawtry Village Academy"/>
    <x v="1"/>
    <s v="Academy Converter"/>
    <d v="2011-08-01T00:00:00"/>
    <s v="Non-selective"/>
    <s v="Has a sixth form"/>
    <s v="None"/>
    <s v="Does not apply"/>
    <s v="Non-denominational"/>
    <s v="East of England"/>
    <x v="7"/>
    <x v="43"/>
    <s v="North West Cambridgeshire"/>
    <s v="PE28 5TQ"/>
    <n v="1"/>
    <n v="850"/>
    <d v="2020-10-01T00:00:00"/>
    <d v="2020-11-10T00:00:00"/>
  </r>
  <r>
    <s v="Ofsted School Webpage"/>
    <n v="138776"/>
    <n v="8314000"/>
    <s v="Zaytouna Primary School"/>
    <x v="0"/>
    <s v="Free School"/>
    <d v="2012-09-01T00:00:00"/>
    <s v="Not applicable"/>
    <s v="Does not have a sixth form"/>
    <s v="Muslim"/>
    <s v="None"/>
    <s v="Muslim"/>
    <s v="East Midlands"/>
    <x v="6"/>
    <x v="69"/>
    <s v="Derby South"/>
    <s v="DE24 8WH"/>
    <n v="5"/>
    <n v="302"/>
    <d v="2020-10-01T00:00:00"/>
    <d v="2020-11-11T00:00:00"/>
  </r>
  <r>
    <s v="Ofsted School Webpage"/>
    <n v="138773"/>
    <n v="8802003"/>
    <s v="Kings Ash Academy"/>
    <x v="0"/>
    <s v="Academy Converter"/>
    <d v="2012-09-01T00:00:00"/>
    <s v="Non-selective"/>
    <s v="Not applicable"/>
    <s v="Does not apply"/>
    <s v="Does not apply"/>
    <s v="Non-denominational"/>
    <s v="South West"/>
    <x v="5"/>
    <x v="48"/>
    <s v="Totnes"/>
    <s v="TQ3 3XA"/>
    <n v="5"/>
    <n v="448"/>
    <d v="2020-10-01T00:00:00"/>
    <d v="2020-10-15T00:00:00"/>
  </r>
  <r>
    <s v="Ofsted School Webpage"/>
    <n v="137566"/>
    <n v="2062643"/>
    <s v="William Tyndale Primary School"/>
    <x v="0"/>
    <s v="Academy Converter"/>
    <d v="2011-10-01T00:00:00"/>
    <s v="Not applicable"/>
    <s v="Not applicable"/>
    <s v="Does not apply"/>
    <s v="Does not apply"/>
    <s v="Non-denominational"/>
    <s v="London"/>
    <x v="3"/>
    <x v="70"/>
    <s v="Islington South and Finsbury"/>
    <s v="N1 2GG"/>
    <n v="5"/>
    <n v="446"/>
    <d v="2020-10-01T00:00:00"/>
    <d v="2020-11-11T00:00:00"/>
  </r>
  <r>
    <s v="Ofsted School Webpage"/>
    <n v="140858"/>
    <n v="8602011"/>
    <s v="Havergal CofE (C) Primary School"/>
    <x v="0"/>
    <s v="Academy Sponsor Led"/>
    <d v="2014-07-01T00:00:00"/>
    <s v="Not applicable"/>
    <s v="Does not have a sixth form"/>
    <s v="Church of England"/>
    <s v="None"/>
    <s v="Christian"/>
    <s v="West Midlands"/>
    <x v="1"/>
    <x v="36"/>
    <s v="South Staffordshire"/>
    <s v="WV10 7LE"/>
    <n v="3"/>
    <n v="164"/>
    <d v="2020-10-01T00:00:00"/>
    <d v="2020-11-10T00:00:00"/>
  </r>
  <r>
    <s v="Ofsted School Webpage"/>
    <n v="137294"/>
    <n v="3534605"/>
    <s v="The Crompton House Church of England Academy"/>
    <x v="1"/>
    <s v="Academy Converter"/>
    <d v="2011-08-17T00:00:00"/>
    <s v="Non-selective"/>
    <s v="Has a sixth form"/>
    <s v="Church of England"/>
    <s v="Does not apply"/>
    <s v="Christian"/>
    <s v="North West"/>
    <x v="4"/>
    <x v="41"/>
    <s v="Oldham East and Saddleworth"/>
    <s v="OL2 7HS"/>
    <n v="3"/>
    <n v="1494"/>
    <d v="2020-10-01T00:00:00"/>
    <d v="2020-11-23T00:00:00"/>
  </r>
  <r>
    <s v="Ofsted School Webpage"/>
    <n v="141248"/>
    <n v="3534027"/>
    <s v="North Chadderton School"/>
    <x v="1"/>
    <s v="Academy Converter"/>
    <d v="2014-09-01T00:00:00"/>
    <s v="Non-selective"/>
    <s v="Has a sixth form"/>
    <s v="None"/>
    <s v="Does not apply"/>
    <s v="Non-denominational"/>
    <s v="North West"/>
    <x v="4"/>
    <x v="41"/>
    <s v="Oldham West and Royton"/>
    <s v="OL9 0BN"/>
    <n v="3"/>
    <n v="1551"/>
    <d v="2020-10-01T00:00:00"/>
    <d v="2020-11-16T00:00:00"/>
  </r>
  <r>
    <s v="Ofsted School Webpage"/>
    <n v="141767"/>
    <n v="8002239"/>
    <s v="Clutton Primary School"/>
    <x v="0"/>
    <s v="Academy Converter"/>
    <d v="2015-03-01T00:00:00"/>
    <s v="Not applicable"/>
    <s v="Does not have a sixth form"/>
    <s v="Does not apply"/>
    <s v="Does not apply"/>
    <s v="Non-denominational"/>
    <s v="South West"/>
    <x v="5"/>
    <x v="71"/>
    <s v="North East Somerset"/>
    <s v="BS39 5RA"/>
    <n v="2"/>
    <n v="132"/>
    <d v="2020-10-01T00:00:00"/>
    <d v="2020-11-12T00:00:00"/>
  </r>
  <r>
    <s v="Ofsted School Webpage"/>
    <n v="136656"/>
    <n v="3045400"/>
    <s v="Claremont High School"/>
    <x v="1"/>
    <s v="Academy Converter"/>
    <d v="2011-04-01T00:00:00"/>
    <s v="Non-selective"/>
    <s v="Has a sixth form"/>
    <s v="None"/>
    <s v="Does not apply"/>
    <s v="Non-denominational"/>
    <s v="London"/>
    <x v="3"/>
    <x v="72"/>
    <s v="Brent North"/>
    <s v="HA3 0UH"/>
    <n v="2"/>
    <n v="1643"/>
    <d v="2020-10-01T00:00:00"/>
    <d v="2020-11-12T00:00:00"/>
  </r>
  <r>
    <s v="Ofsted School Webpage"/>
    <n v="138452"/>
    <n v="3352010"/>
    <s v="Reedswood E-ACT Academy"/>
    <x v="0"/>
    <s v="Academy Sponsor Led"/>
    <d v="2012-09-01T00:00:00"/>
    <s v="Unknown"/>
    <s v="Not applicable"/>
    <s v="None"/>
    <s v="None"/>
    <s v="Non-denominational"/>
    <s v="West Midlands"/>
    <x v="1"/>
    <x v="73"/>
    <s v="Walsall South"/>
    <s v="WS2 8RX"/>
    <n v="5"/>
    <n v="484"/>
    <d v="2020-10-01T00:00:00"/>
    <d v="2020-11-12T00:00:00"/>
  </r>
  <r>
    <s v="Ofsted School Webpage"/>
    <n v="139354"/>
    <n v="3833363"/>
    <s v="Ss. Peter and Paul Catholic Primary School, a Voluntary Academy"/>
    <x v="0"/>
    <s v="Academy Converter"/>
    <d v="2013-04-01T00:00:00"/>
    <s v="Not applicable"/>
    <s v="Does not have a sixth form"/>
    <s v="Roman Catholic"/>
    <s v="Does not apply"/>
    <s v="Christian"/>
    <s v="North East, Yorkshire and the Humber"/>
    <x v="0"/>
    <x v="26"/>
    <s v="Pudsey"/>
    <s v="LS19 7HW"/>
    <n v="2"/>
    <n v="215"/>
    <d v="2020-10-01T00:00:00"/>
    <d v="2020-11-23T00:00:00"/>
  </r>
  <r>
    <s v="Ofsted School Webpage"/>
    <n v="136957"/>
    <n v="9082754"/>
    <s v="Brunel Primary &amp; Nursery Academy"/>
    <x v="0"/>
    <s v="Academy Converter"/>
    <d v="2011-08-01T00:00:00"/>
    <s v="Not applicable"/>
    <s v="Not applicable"/>
    <s v="Does not apply"/>
    <s v="Does not apply"/>
    <s v="Non-denominational"/>
    <s v="South West"/>
    <x v="5"/>
    <x v="42"/>
    <s v="South East Cornwall"/>
    <s v="PL12 6DX"/>
    <n v="3"/>
    <n v="332"/>
    <d v="2020-10-01T00:00:00"/>
    <d v="2020-11-03T00:00:00"/>
  </r>
  <r>
    <s v="Ofsted School Webpage"/>
    <n v="141159"/>
    <n v="9333189"/>
    <s v="Staplegrove Church School"/>
    <x v="0"/>
    <s v="Academy Converter"/>
    <d v="2014-08-01T00:00:00"/>
    <s v="Not applicable"/>
    <s v="Does not have a sixth form"/>
    <s v="Church of England"/>
    <s v="Does not apply"/>
    <s v="Christian"/>
    <s v="South West"/>
    <x v="5"/>
    <x v="34"/>
    <s v="Taunton Deane"/>
    <s v="TA2 6UP"/>
    <n v="2"/>
    <n v="207"/>
    <d v="2020-10-01T00:00:00"/>
    <d v="2020-11-11T00:00:00"/>
  </r>
  <r>
    <s v="Ofsted School Webpage"/>
    <n v="137100"/>
    <n v="8604002"/>
    <s v="The Hart School"/>
    <x v="1"/>
    <s v="Academy Sponsor Led"/>
    <d v="2011-09-01T00:00:00"/>
    <s v="Non-selective"/>
    <s v="Has a sixth form"/>
    <s v="None"/>
    <s v="None"/>
    <s v="Non-denominational"/>
    <s v="West Midlands"/>
    <x v="1"/>
    <x v="36"/>
    <s v="Cannock Chase"/>
    <s v="WS15 2UE"/>
    <n v="3"/>
    <n v="1179"/>
    <d v="2020-10-01T00:00:00"/>
    <d v="2020-11-11T00:00:00"/>
  </r>
  <r>
    <s v="Ofsted School Webpage"/>
    <n v="137008"/>
    <n v="3344019"/>
    <s v="Lode Heath School"/>
    <x v="1"/>
    <s v="Academy Converter"/>
    <d v="2011-08-01T00:00:00"/>
    <s v="Non-selective"/>
    <s v="Does not have a sixth form"/>
    <s v="Does not apply"/>
    <s v="Does not apply"/>
    <s v="Non-denominational"/>
    <s v="West Midlands"/>
    <x v="1"/>
    <x v="74"/>
    <s v="Solihull"/>
    <s v="B91 2HW"/>
    <n v="2"/>
    <n v="1160"/>
    <d v="2020-10-01T00:00:00"/>
    <d v="2020-11-05T00:00:00"/>
  </r>
  <r>
    <s v="Ofsted School Webpage"/>
    <n v="115471"/>
    <n v="8817060"/>
    <s v="Shorefields School"/>
    <x v="2"/>
    <s v="Community Special School"/>
    <s v="NULL"/>
    <s v="Not applicable"/>
    <s v="Has a sixth form"/>
    <s v="Does not apply"/>
    <s v="Does not apply"/>
    <s v="Non-denominational"/>
    <s v="East of England"/>
    <x v="7"/>
    <x v="75"/>
    <s v="Clacton"/>
    <s v="CO15 6HF"/>
    <n v="5"/>
    <n v="141"/>
    <d v="2020-10-01T00:00:00"/>
    <d v="2020-11-11T00:00:00"/>
  </r>
  <r>
    <s v="Ofsted School Webpage"/>
    <n v="119889"/>
    <n v="8887089"/>
    <s v="Mayfield School"/>
    <x v="2"/>
    <s v="Community Special School"/>
    <s v="NULL"/>
    <s v="Not applicable"/>
    <s v="Has a sixth form"/>
    <s v="Does not apply"/>
    <s v="Does not apply"/>
    <s v="Non-denominational"/>
    <s v="North West"/>
    <x v="4"/>
    <x v="27"/>
    <s v="Chorley"/>
    <s v="PR7 3HN"/>
    <n v="3"/>
    <n v="122"/>
    <d v="2020-10-01T00:00:00"/>
    <d v="2020-10-20T00:00:00"/>
  </r>
  <r>
    <s v="Ofsted School Webpage"/>
    <n v="119093"/>
    <n v="8881031"/>
    <s v="Hillside Nursery School"/>
    <x v="4"/>
    <s v="LA Nursery School"/>
    <s v="NULL"/>
    <s v="Not applicable"/>
    <s v="Not applicable"/>
    <s v="Does not apply"/>
    <s v="Does not apply"/>
    <s v="Non-denominational"/>
    <s v="North West"/>
    <x v="4"/>
    <x v="27"/>
    <s v="Hyndburn"/>
    <s v="BB4 5NH"/>
    <n v="2"/>
    <n v="60"/>
    <d v="2020-10-01T00:00:00"/>
    <d v="2020-11-18T00:00:00"/>
  </r>
  <r>
    <s v="Ofsted School Webpage"/>
    <n v="116116"/>
    <n v="8522440"/>
    <s v="Banister Primary School"/>
    <x v="0"/>
    <s v="Foundation School"/>
    <s v="NULL"/>
    <s v="Not applicable"/>
    <s v="Does not have a sixth form"/>
    <s v="Does not apply"/>
    <s v="Does not apply"/>
    <s v="Non-denominational"/>
    <s v="South East"/>
    <x v="2"/>
    <x v="76"/>
    <s v="Southampton, Test"/>
    <s v="SO15 2LS"/>
    <n v="4"/>
    <n v="405"/>
    <d v="2020-10-01T00:00:00"/>
    <d v="2020-11-23T00:00:00"/>
  </r>
  <r>
    <s v="Ofsted School Webpage"/>
    <n v="111396"/>
    <n v="8964006"/>
    <s v="Blacon High School, A Specialist Sports College"/>
    <x v="1"/>
    <s v="Foundation School"/>
    <s v="NULL"/>
    <s v="Non-selective"/>
    <s v="Does not have a sixth form"/>
    <s v="None"/>
    <s v="Does not apply"/>
    <s v="Non-denominational"/>
    <s v="North West"/>
    <x v="4"/>
    <x v="20"/>
    <s v="City of Chester"/>
    <s v="CH1 5JH"/>
    <n v="5"/>
    <n v="607"/>
    <d v="2020-10-01T00:00:00"/>
    <d v="2020-11-22T00:00:00"/>
  </r>
  <r>
    <s v="Ofsted School Webpage"/>
    <n v="139212"/>
    <n v="3032022"/>
    <s v="Christ Church (Erith) CofE Primary School"/>
    <x v="0"/>
    <s v="Academy Sponsor Led"/>
    <d v="2013-05-01T00:00:00"/>
    <s v="Not applicable"/>
    <s v="Does not have a sixth form"/>
    <s v="Church of England"/>
    <s v="None"/>
    <s v="Christian"/>
    <s v="London"/>
    <x v="3"/>
    <x v="77"/>
    <s v="Erith and Thamesmead"/>
    <s v="DA8 3DG"/>
    <n v="5"/>
    <n v="551"/>
    <d v="2020-10-01T00:00:00"/>
    <d v="2020-11-17T00:00:00"/>
  </r>
  <r>
    <s v="Ofsted School Webpage"/>
    <n v="123630"/>
    <n v="8937006"/>
    <s v="Woodlands School"/>
    <x v="2"/>
    <s v="Community Special School"/>
    <s v="NULL"/>
    <s v="Not applicable"/>
    <s v="Not applicable"/>
    <s v="Does not apply"/>
    <s v="Does not apply"/>
    <s v="Non-denominational"/>
    <s v="West Midlands"/>
    <x v="1"/>
    <x v="78"/>
    <s v="North Shropshire"/>
    <s v="SY4 5PJ"/>
    <n v="4"/>
    <n v="69"/>
    <d v="2020-10-01T00:00:00"/>
    <d v="2020-11-11T00:00:00"/>
  </r>
  <r>
    <s v="Ofsted School Webpage"/>
    <n v="113051"/>
    <n v="8791008"/>
    <s v="Ham Drive Nursery School and Day Care"/>
    <x v="4"/>
    <s v="LA Nursery School"/>
    <s v="NULL"/>
    <s v="Not applicable"/>
    <s v="Not applicable"/>
    <s v="Does not apply"/>
    <s v="Does not apply"/>
    <s v="Non-denominational"/>
    <s v="South West"/>
    <x v="5"/>
    <x v="23"/>
    <s v="Plymouth, Moor View"/>
    <s v="PL2 2NJ"/>
    <n v="4"/>
    <n v="68"/>
    <d v="2020-10-01T00:00:00"/>
    <d v="2020-10-19T00:00:00"/>
  </r>
  <r>
    <s v="Ofsted School Webpage"/>
    <n v="131099"/>
    <n v="8567221"/>
    <s v="West Gate School"/>
    <x v="2"/>
    <s v="Foundation Special School"/>
    <d v="2006-01-01T00:00:00"/>
    <s v="Not applicable"/>
    <s v="Has a sixth form"/>
    <s v="Does not apply"/>
    <s v="Does not apply"/>
    <s v="Non-denominational"/>
    <s v="East Midlands"/>
    <x v="6"/>
    <x v="79"/>
    <s v="Leicester West"/>
    <s v="LE3 6DG"/>
    <n v="5"/>
    <n v="178"/>
    <d v="2020-10-01T00:00:00"/>
    <d v="2020-10-15T00:00:00"/>
  </r>
  <r>
    <s v="Ofsted School Webpage"/>
    <n v="114505"/>
    <n v="8453029"/>
    <s v="Frant Church of England Primary School"/>
    <x v="0"/>
    <s v="Voluntary Controlled School"/>
    <s v="NULL"/>
    <s v="Not applicable"/>
    <s v="Does not have a sixth form"/>
    <s v="Church of England"/>
    <s v="Does not apply"/>
    <s v="Christian"/>
    <s v="South East"/>
    <x v="2"/>
    <x v="80"/>
    <s v="Wealden"/>
    <s v="TN3 9DX"/>
    <n v="1"/>
    <n v="97"/>
    <d v="2020-10-01T00:00:00"/>
    <d v="2020-11-10T00:00:00"/>
  </r>
  <r>
    <s v="Ofsted School Webpage"/>
    <n v="116814"/>
    <n v="8843047"/>
    <s v="Gorsley Goffs Primary School"/>
    <x v="0"/>
    <s v="Voluntary Controlled School"/>
    <s v="NULL"/>
    <s v="Not applicable"/>
    <s v="Does not have a sixth form"/>
    <s v="None"/>
    <s v="Does not apply"/>
    <s v="Non-denominational"/>
    <s v="West Midlands"/>
    <x v="1"/>
    <x v="19"/>
    <s v="Hereford and South Herefordshire"/>
    <s v="HR9 7SE"/>
    <n v="2"/>
    <n v="201"/>
    <d v="2020-10-01T00:00:00"/>
    <d v="2020-11-10T00:00:00"/>
  </r>
  <r>
    <s v="Ofsted School Webpage"/>
    <n v="121486"/>
    <n v="8153025"/>
    <s v="Danby Church of England Voluntary Controlled School"/>
    <x v="0"/>
    <s v="Voluntary Controlled School"/>
    <s v="NULL"/>
    <s v="Not applicable"/>
    <s v="Does not have a sixth form"/>
    <s v="Church of England"/>
    <s v="Does not apply"/>
    <s v="Christian"/>
    <s v="North East, Yorkshire and the Humber"/>
    <x v="0"/>
    <x v="60"/>
    <s v="Scarborough and Whitby"/>
    <s v="YO21 2NG"/>
    <n v="4"/>
    <n v="32"/>
    <d v="2020-10-01T00:00:00"/>
    <d v="2020-11-04T00:00:00"/>
  </r>
  <r>
    <s v="Ofsted School Webpage"/>
    <n v="112876"/>
    <n v="8303162"/>
    <s v="Calow CofE VC Primary School"/>
    <x v="0"/>
    <s v="Voluntary Controlled School"/>
    <s v="NULL"/>
    <s v="Not applicable"/>
    <s v="Does not have a sixth form"/>
    <s v="Church of England"/>
    <s v="Does not apply"/>
    <s v="Christian"/>
    <s v="East Midlands"/>
    <x v="6"/>
    <x v="6"/>
    <s v="Bolsover"/>
    <s v="S44 5BD"/>
    <n v="3"/>
    <n v="176"/>
    <d v="2020-10-01T00:00:00"/>
    <d v="2020-11-11T00:00:00"/>
  </r>
  <r>
    <s v="Ofsted School Webpage"/>
    <n v="109252"/>
    <n v="8013413"/>
    <s v="St Pius X RC Primary School"/>
    <x v="0"/>
    <s v="Voluntary Aided School"/>
    <d v="1899-12-31T00:00:00"/>
    <s v="Not applicable"/>
    <s v="Does not have a sixth form"/>
    <s v="Roman Catholic"/>
    <s v="Does not apply"/>
    <s v="Christian"/>
    <s v="South West"/>
    <x v="5"/>
    <x v="38"/>
    <s v="Bristol South"/>
    <s v="BS13 9AB"/>
    <n v="5"/>
    <n v="106"/>
    <d v="2020-10-01T00:00:00"/>
    <d v="2020-10-15T00:00:00"/>
  </r>
  <r>
    <s v="Ofsted School Webpage"/>
    <n v="139122"/>
    <n v="3182000"/>
    <s v="St Richard Reynolds Catholic Primary School"/>
    <x v="0"/>
    <s v="Voluntary Aided School"/>
    <d v="2013-09-16T00:00:00"/>
    <s v="Not applicable"/>
    <s v="Does not have a sixth form"/>
    <s v="Roman Catholic"/>
    <s v="Does not apply"/>
    <s v="Christian"/>
    <s v="London"/>
    <x v="3"/>
    <x v="81"/>
    <s v="Twickenham"/>
    <s v="TW1 4LT"/>
    <n v="1"/>
    <n v="209"/>
    <d v="2020-10-01T00:00:00"/>
    <d v="2020-11-15T00:00:00"/>
  </r>
  <r>
    <s v="Ofsted School Webpage"/>
    <n v="118199"/>
    <n v="9213314"/>
    <s v="St Thomas of Canterbury Catholic Primary School"/>
    <x v="0"/>
    <s v="Voluntary Aided School"/>
    <s v="NULL"/>
    <s v="Not applicable"/>
    <s v="Does not have a sixth form"/>
    <s v="Roman Catholic"/>
    <s v="Does not apply"/>
    <s v="Christian"/>
    <s v="South East"/>
    <x v="2"/>
    <x v="82"/>
    <s v="Isle of Wight"/>
    <s v="PO30 1NR"/>
    <n v="3"/>
    <n v="192"/>
    <d v="2020-10-01T00:00:00"/>
    <d v="2020-11-11T00:00:00"/>
  </r>
  <r>
    <s v="Ofsted School Webpage"/>
    <n v="108496"/>
    <n v="3913472"/>
    <s v="St Charles' RC Primary School"/>
    <x v="0"/>
    <s v="Voluntary Aided School"/>
    <s v="NULL"/>
    <s v="Not applicable"/>
    <s v="Does not have a sixth form"/>
    <s v="Roman Catholic"/>
    <s v="Does not apply"/>
    <s v="Christian"/>
    <s v="North East, Yorkshire and the Humber"/>
    <x v="8"/>
    <x v="83"/>
    <s v="Newcastle upon Tyne Central"/>
    <s v="NE3 3HE"/>
    <n v="2"/>
    <n v="248"/>
    <d v="2020-10-01T00:00:00"/>
    <d v="2020-10-15T00:00:00"/>
  </r>
  <r>
    <s v="Ofsted School Webpage"/>
    <n v="114542"/>
    <n v="8463314"/>
    <s v="St Joseph's Catholic Primary School"/>
    <x v="0"/>
    <s v="Voluntary Aided School"/>
    <s v="NULL"/>
    <s v="Not applicable"/>
    <s v="Does not have a sixth form"/>
    <s v="Roman Catholic"/>
    <s v="Does not apply"/>
    <s v="Christian"/>
    <s v="South East"/>
    <x v="2"/>
    <x v="84"/>
    <s v="Brighton, Pavilion"/>
    <s v="BN1 7BF"/>
    <n v="5"/>
    <n v="142"/>
    <d v="2020-10-01T00:00:00"/>
    <d v="2020-11-11T00:00:00"/>
  </r>
  <r>
    <s v="Ofsted School Webpage"/>
    <n v="121614"/>
    <n v="8153320"/>
    <s v="Middleham Church of England Aided School"/>
    <x v="0"/>
    <s v="Voluntary Aided School"/>
    <s v="NULL"/>
    <s v="Not applicable"/>
    <s v="Does not have a sixth form"/>
    <s v="Church of England"/>
    <s v="Does not apply"/>
    <s v="Christian"/>
    <s v="North East, Yorkshire and the Humber"/>
    <x v="0"/>
    <x v="60"/>
    <s v="Richmond (Yorks)"/>
    <s v="DL8 4QX"/>
    <n v="1"/>
    <n v="40"/>
    <d v="2020-10-01T00:00:00"/>
    <d v="2020-11-09T00:00:00"/>
  </r>
  <r>
    <s v="Ofsted School Webpage"/>
    <n v="105508"/>
    <n v="3523316"/>
    <s v="St James' CofE Primary School, Birch-in-Rusholme"/>
    <x v="0"/>
    <s v="Voluntary Aided School"/>
    <s v="NULL"/>
    <s v="Not applicable"/>
    <s v="Does not have a sixth form"/>
    <s v="Church of England"/>
    <s v="Does not apply"/>
    <s v="Christian"/>
    <s v="North West"/>
    <x v="4"/>
    <x v="4"/>
    <s v="Manchester, Gorton"/>
    <s v="M14 6HW"/>
    <n v="5"/>
    <n v="237"/>
    <d v="2020-10-01T00:00:00"/>
    <d v="2020-11-05T00:00:00"/>
  </r>
  <r>
    <s v="Ofsted School Webpage"/>
    <n v="119779"/>
    <n v="8884606"/>
    <s v="Our Lady's Catholic High School"/>
    <x v="1"/>
    <s v="Voluntary Aided School"/>
    <s v="NULL"/>
    <s v="Non-selective"/>
    <s v="Does not have a sixth form"/>
    <s v="Roman Catholic"/>
    <s v="Does not apply"/>
    <s v="Christian"/>
    <s v="North West"/>
    <x v="4"/>
    <x v="27"/>
    <s v="Wyre and Preston North"/>
    <s v="PR2 3SQ"/>
    <n v="2"/>
    <n v="899"/>
    <d v="2020-10-01T00:00:00"/>
    <d v="2020-11-11T00:00:00"/>
  </r>
  <r>
    <s v="Ofsted School Webpage"/>
    <n v="110852"/>
    <n v="8743376"/>
    <s v="All Saints' CofE (Aided) Primary School"/>
    <x v="0"/>
    <s v="Voluntary Aided School"/>
    <d v="1899-12-31T00:00:00"/>
    <s v="Not applicable"/>
    <s v="Does not have a sixth form"/>
    <s v="Church of England"/>
    <s v="Does not apply"/>
    <s v="Christian"/>
    <s v="East of England"/>
    <x v="7"/>
    <x v="13"/>
    <s v="Peterborough"/>
    <s v="PE1 3PW"/>
    <n v="4"/>
    <n v="417"/>
    <d v="2020-10-01T00:00:00"/>
    <d v="2020-11-10T00:00:00"/>
  </r>
  <r>
    <s v="Ofsted School Webpage"/>
    <n v="114557"/>
    <n v="8453330"/>
    <s v="Little Horsted Church of England Primary School"/>
    <x v="0"/>
    <s v="Voluntary Aided School"/>
    <s v="NULL"/>
    <s v="Not applicable"/>
    <s v="Does not have a sixth form"/>
    <s v="Church of England"/>
    <s v="Does not apply"/>
    <s v="Christian"/>
    <s v="South East"/>
    <x v="2"/>
    <x v="80"/>
    <s v="Wealden"/>
    <s v="TN22 5TS"/>
    <n v="1"/>
    <n v="126"/>
    <d v="2020-10-01T00:00:00"/>
    <d v="2020-11-11T00:00:00"/>
  </r>
  <r>
    <s v="Ofsted School Webpage"/>
    <n v="110690"/>
    <n v="8732222"/>
    <s v="Spaldwick Community Primary School"/>
    <x v="0"/>
    <s v="Community School"/>
    <s v="NULL"/>
    <s v="Not applicable"/>
    <s v="Does not have a sixth form"/>
    <s v="Does not apply"/>
    <s v="Does not apply"/>
    <s v="Non-denominational"/>
    <s v="East of England"/>
    <x v="7"/>
    <x v="43"/>
    <s v="North West Cambridgeshire"/>
    <s v="PE28 0TH"/>
    <n v="1"/>
    <n v="102"/>
    <d v="2020-10-01T00:00:00"/>
    <d v="2020-11-11T00:00:00"/>
  </r>
  <r>
    <s v="Ofsted School Webpage"/>
    <n v="105505"/>
    <n v="3523301"/>
    <s v="All Saints C of E Primary School"/>
    <x v="0"/>
    <s v="Voluntary Aided School"/>
    <s v="NULL"/>
    <s v="Not applicable"/>
    <s v="Does not have a sixth form"/>
    <s v="Church of England"/>
    <s v="Does not apply"/>
    <s v="Christian"/>
    <s v="North West"/>
    <x v="4"/>
    <x v="4"/>
    <s v="Manchester Central"/>
    <s v="M40 1LS"/>
    <n v="5"/>
    <n v="241"/>
    <d v="2020-10-01T00:00:00"/>
    <d v="2020-11-26T00:00:00"/>
  </r>
  <r>
    <s v="Ofsted School Webpage"/>
    <n v="124619"/>
    <n v="9352125"/>
    <s v="Woodbridge Primary School"/>
    <x v="0"/>
    <s v="Community School"/>
    <d v="1899-12-31T00:00:00"/>
    <s v="Not applicable"/>
    <s v="Does not have a sixth form"/>
    <s v="Does not apply"/>
    <s v="Does not apply"/>
    <s v="Non-denominational"/>
    <s v="East of England"/>
    <x v="7"/>
    <x v="14"/>
    <s v="Suffolk Coastal"/>
    <s v="IP12 1SS"/>
    <n v="2"/>
    <n v="211"/>
    <d v="2020-10-01T00:00:00"/>
    <d v="2020-11-04T00:00:00"/>
  </r>
  <r>
    <s v="Ofsted School Webpage"/>
    <n v="121469"/>
    <n v="8152430"/>
    <s v="Woodfield Primary School"/>
    <x v="0"/>
    <s v="Community School"/>
    <d v="1899-12-31T00:00:00"/>
    <s v="Not applicable"/>
    <s v="Does not have a sixth form"/>
    <s v="Does not apply"/>
    <s v="Does not apply"/>
    <s v="Non-denominational"/>
    <s v="North East, Yorkshire and the Humber"/>
    <x v="0"/>
    <x v="60"/>
    <s v="Harrogate and Knaresborough"/>
    <s v="HG1 4HZ"/>
    <n v="2"/>
    <n v="84"/>
    <d v="2020-10-01T00:00:00"/>
    <d v="2020-11-11T00:00:00"/>
  </r>
  <r>
    <s v="Ofsted School Webpage"/>
    <n v="119655"/>
    <n v="8883759"/>
    <s v="St John Southworth Roman Catholic Primary School, Nelson"/>
    <x v="0"/>
    <s v="Voluntary Aided School"/>
    <s v="NULL"/>
    <s v="Not applicable"/>
    <s v="Does not have a sixth form"/>
    <s v="Roman Catholic"/>
    <s v="Does not apply"/>
    <s v="Christian"/>
    <s v="North West"/>
    <x v="4"/>
    <x v="27"/>
    <s v="Pendle"/>
    <s v="BB9 0DQ"/>
    <n v="4"/>
    <n v="213"/>
    <d v="2020-10-01T00:00:00"/>
    <d v="2020-11-05T00:00:00"/>
  </r>
  <r>
    <s v="Ofsted School Webpage"/>
    <n v="112647"/>
    <n v="8302268"/>
    <s v="Whaley Bridge Primary School"/>
    <x v="0"/>
    <s v="Community School"/>
    <s v="NULL"/>
    <s v="Not applicable"/>
    <s v="Does not have a sixth form"/>
    <s v="Does not apply"/>
    <s v="Does not apply"/>
    <s v="Non-denominational"/>
    <s v="East Midlands"/>
    <x v="6"/>
    <x v="6"/>
    <s v="High Peak"/>
    <s v="SK23 7HX"/>
    <n v="1"/>
    <n v="188"/>
    <d v="2020-10-01T00:00:00"/>
    <d v="2020-11-09T00:00:00"/>
  </r>
  <r>
    <s v="Ofsted School Webpage"/>
    <n v="112958"/>
    <n v="8304192"/>
    <s v="Whittington Green School"/>
    <x v="1"/>
    <s v="Community School"/>
    <s v="NULL"/>
    <s v="Non-selective"/>
    <s v="Does not have a sixth form"/>
    <s v="Does not apply"/>
    <s v="Does not apply"/>
    <s v="Non-denominational"/>
    <s v="East Midlands"/>
    <x v="6"/>
    <x v="6"/>
    <s v="North East Derbyshire"/>
    <s v="S41 9LG"/>
    <n v="4"/>
    <n v="377"/>
    <d v="2020-10-01T00:00:00"/>
    <d v="2020-11-08T00:00:00"/>
  </r>
  <r>
    <s v="Ofsted School Webpage"/>
    <n v="117299"/>
    <n v="9192365"/>
    <s v="Round Diamond Primary School"/>
    <x v="0"/>
    <s v="Community School"/>
    <s v="NULL"/>
    <s v="Not applicable"/>
    <s v="Does not have a sixth form"/>
    <s v="Does not apply"/>
    <s v="Does not apply"/>
    <s v="Non-denominational"/>
    <s v="East of England"/>
    <x v="7"/>
    <x v="56"/>
    <s v="Hitchin and Harpenden"/>
    <s v="SG1 6NH"/>
    <n v="2"/>
    <n v="482"/>
    <d v="2020-10-01T00:00:00"/>
    <d v="2020-11-12T00:00:00"/>
  </r>
  <r>
    <s v="Ofsted School Webpage"/>
    <n v="113112"/>
    <n v="8782073"/>
    <s v="Upottery Primary School"/>
    <x v="0"/>
    <s v="Community School"/>
    <s v="NULL"/>
    <s v="Not applicable"/>
    <s v="Does not have a sixth form"/>
    <s v="Does not apply"/>
    <s v="Does not apply"/>
    <s v="Non-denominational"/>
    <s v="South West"/>
    <x v="5"/>
    <x v="62"/>
    <s v="Tiverton and Honiton"/>
    <s v="EX14 9QT"/>
    <n v="1"/>
    <n v="108"/>
    <d v="2020-10-01T00:00:00"/>
    <d v="2020-11-04T00:00:00"/>
  </r>
  <r>
    <s v="Ofsted School Webpage"/>
    <n v="134855"/>
    <n v="8403516"/>
    <s v="Prince Bishops Community Primary School"/>
    <x v="0"/>
    <s v="Community School"/>
    <d v="2006-09-01T00:00:00"/>
    <s v="Not applicable"/>
    <s v="Does not have a sixth form"/>
    <s v="Does not apply"/>
    <s v="Does not apply"/>
    <s v="Non-denominational"/>
    <s v="North East, Yorkshire and the Humber"/>
    <x v="8"/>
    <x v="85"/>
    <s v="Bishop Auckland"/>
    <s v="DL14 8DY"/>
    <n v="5"/>
    <n v="225"/>
    <d v="2020-10-01T00:00:00"/>
    <d v="2020-11-19T00:00:00"/>
  </r>
  <r>
    <s v="Ofsted School Webpage"/>
    <n v="112120"/>
    <n v="9092054"/>
    <s v="Plumpton School"/>
    <x v="0"/>
    <s v="Community School"/>
    <s v="NULL"/>
    <s v="Not applicable"/>
    <s v="Does not have a sixth form"/>
    <s v="Does not apply"/>
    <s v="Does not apply"/>
    <s v="Non-denominational"/>
    <s v="North West"/>
    <x v="4"/>
    <x v="25"/>
    <s v="Penrith and The Border"/>
    <s v="CA11 9PA"/>
    <n v="1"/>
    <n v="80"/>
    <d v="2020-10-01T00:00:00"/>
    <d v="2020-11-12T00:00:00"/>
  </r>
  <r>
    <s v="Ofsted School Webpage"/>
    <n v="104569"/>
    <n v="3412123"/>
    <s v="Pleasant Street Primary School"/>
    <x v="0"/>
    <s v="Community School"/>
    <s v="NULL"/>
    <s v="Not applicable"/>
    <s v="Does not have a sixth form"/>
    <s v="Does not apply"/>
    <s v="Does not apply"/>
    <s v="Non-denominational"/>
    <s v="North West"/>
    <x v="4"/>
    <x v="29"/>
    <s v="Liverpool, Riverside"/>
    <s v="L3 5TS"/>
    <n v="5"/>
    <n v="237"/>
    <d v="2020-10-01T00:00:00"/>
    <d v="2020-10-15T00:00:00"/>
  </r>
  <r>
    <s v="Ofsted School Webpage"/>
    <n v="104345"/>
    <n v="3362106"/>
    <s v="Wodensfield Primary School"/>
    <x v="0"/>
    <s v="Community School"/>
    <s v="NULL"/>
    <s v="Not applicable"/>
    <s v="Does not have a sixth form"/>
    <s v="Does not apply"/>
    <s v="Does not apply"/>
    <s v="Non-denominational"/>
    <s v="West Midlands"/>
    <x v="1"/>
    <x v="1"/>
    <s v="Wolverhampton North East"/>
    <s v="WV11 1PW"/>
    <n v="4"/>
    <n v="486"/>
    <d v="2020-10-01T00:00:00"/>
    <d v="2020-11-09T00:00:00"/>
  </r>
  <r>
    <s v="Ofsted School Webpage"/>
    <n v="109793"/>
    <n v="8702024"/>
    <s v="Wilson Primary School"/>
    <x v="0"/>
    <s v="Community School"/>
    <s v="NULL"/>
    <s v="Not applicable"/>
    <s v="Does not have a sixth form"/>
    <s v="Does not apply"/>
    <s v="Does not apply"/>
    <s v="Non-denominational"/>
    <s v="South East"/>
    <x v="2"/>
    <x v="86"/>
    <s v="Reading West"/>
    <s v="RG30 2RW"/>
    <n v="3"/>
    <n v="466"/>
    <d v="2020-10-01T00:00:00"/>
    <d v="2020-11-01T00:00:00"/>
  </r>
  <r>
    <s v="Ofsted School Webpage"/>
    <n v="122233"/>
    <n v="9292254"/>
    <s v="Kielder Primary School and Nursery"/>
    <x v="0"/>
    <s v="Community School"/>
    <s v="NULL"/>
    <s v="Not applicable"/>
    <s v="Does not have a sixth form"/>
    <s v="Does not apply"/>
    <s v="Does not apply"/>
    <s v="Non-denominational"/>
    <s v="North East, Yorkshire and the Humber"/>
    <x v="8"/>
    <x v="39"/>
    <s v="Hexham"/>
    <s v="NE48 1HQ"/>
    <n v="2"/>
    <n v="10"/>
    <d v="2020-10-01T00:00:00"/>
    <d v="2020-11-12T00:00:00"/>
  </r>
  <r>
    <s v="Ofsted School Webpage"/>
    <n v="113104"/>
    <n v="8782055"/>
    <s v="Newton St Cyres Primary School"/>
    <x v="0"/>
    <s v="Community School"/>
    <s v="NULL"/>
    <s v="Not applicable"/>
    <s v="Does not have a sixth form"/>
    <s v="Does not apply"/>
    <s v="Does not apply"/>
    <s v="Non-denominational"/>
    <s v="South West"/>
    <x v="5"/>
    <x v="62"/>
    <s v="Central Devon"/>
    <s v="EX5 5DL"/>
    <n v="2"/>
    <n v="130"/>
    <d v="2020-10-01T00:00:00"/>
    <d v="2020-11-01T00:00:00"/>
  </r>
  <r>
    <s v="Ofsted School Webpage"/>
    <n v="115931"/>
    <n v="8502147"/>
    <s v="Newtown Soberton Infant School"/>
    <x v="0"/>
    <s v="Community School"/>
    <s v="NULL"/>
    <s v="Not applicable"/>
    <s v="Does not have a sixth form"/>
    <s v="Does not apply"/>
    <s v="Does not apply"/>
    <s v="Non-denominational"/>
    <s v="South East"/>
    <x v="2"/>
    <x v="2"/>
    <s v="Meon Valley"/>
    <s v="PO17 6LJ"/>
    <n v="2"/>
    <n v="61"/>
    <d v="2020-10-01T00:00:00"/>
    <d v="2020-11-11T00:00:00"/>
  </r>
  <r>
    <s v="Ofsted School Webpage"/>
    <n v="104179"/>
    <n v="3352106"/>
    <s v="Kings Hill Primary School"/>
    <x v="0"/>
    <s v="Community School"/>
    <s v="NULL"/>
    <s v="Not applicable"/>
    <s v="Does not have a sixth form"/>
    <s v="Does not apply"/>
    <s v="Does not apply"/>
    <s v="Non-denominational"/>
    <s v="West Midlands"/>
    <x v="1"/>
    <x v="73"/>
    <s v="Walsall South"/>
    <s v="WS10 9JG"/>
    <n v="5"/>
    <n v="442"/>
    <d v="2020-10-01T00:00:00"/>
    <d v="2020-10-20T00:00:00"/>
  </r>
  <r>
    <s v="Ofsted School Webpage"/>
    <n v="102153"/>
    <n v="3094029"/>
    <s v="Hornsey School for Girls"/>
    <x v="1"/>
    <s v="Community School"/>
    <s v="NULL"/>
    <s v="Non-selective"/>
    <s v="Does not have a sixth form"/>
    <s v="Does not apply"/>
    <s v="Does not apply"/>
    <s v="Non-denominational"/>
    <s v="London"/>
    <x v="3"/>
    <x v="24"/>
    <s v="Hornsey and Wood Green"/>
    <s v="N8 9JF"/>
    <n v="4"/>
    <n v="797"/>
    <d v="2020-10-01T00:00:00"/>
    <d v="2020-11-19T00:00:00"/>
  </r>
  <r>
    <s v="Ofsted School Webpage"/>
    <n v="130859"/>
    <n v="3842189"/>
    <s v="Northfield Primary School: With Communication Resource"/>
    <x v="0"/>
    <s v="Community School"/>
    <d v="1996-09-01T00:00:00"/>
    <s v="Not applicable"/>
    <s v="Does not have a sixth form"/>
    <s v="Does not apply"/>
    <s v="Does not apply"/>
    <s v="Non-denominational"/>
    <s v="North East, Yorkshire and the Humber"/>
    <x v="0"/>
    <x v="47"/>
    <s v="Hemsworth"/>
    <s v="WF9 3LY"/>
    <n v="4"/>
    <n v="359"/>
    <d v="2020-10-01T00:00:00"/>
    <d v="2020-11-23T00:00:00"/>
  </r>
  <r>
    <s v="Ofsted School Webpage"/>
    <n v="103978"/>
    <n v="3332173"/>
    <s v="Langley Primary School"/>
    <x v="0"/>
    <s v="Community School"/>
    <s v="NULL"/>
    <s v="Not applicable"/>
    <s v="Does not have a sixth form"/>
    <s v="Does not apply"/>
    <s v="Does not apply"/>
    <s v="Non-denominational"/>
    <s v="West Midlands"/>
    <x v="1"/>
    <x v="10"/>
    <s v="Warley"/>
    <s v="B69 4QB"/>
    <n v="5"/>
    <n v="446"/>
    <d v="2020-10-01T00:00:00"/>
    <d v="2020-11-09T00:00:00"/>
  </r>
  <r>
    <s v="Ofsted School Webpage"/>
    <n v="106057"/>
    <n v="3562053"/>
    <s v="Ludworth Primary School"/>
    <x v="0"/>
    <s v="Community School"/>
    <s v="NULL"/>
    <s v="Not applicable"/>
    <s v="Does not have a sixth form"/>
    <s v="Does not apply"/>
    <s v="Does not apply"/>
    <s v="Non-denominational"/>
    <s v="North West"/>
    <x v="4"/>
    <x v="16"/>
    <s v="Hazel Grove"/>
    <s v="SK6 5DU"/>
    <n v="1"/>
    <n v="337"/>
    <d v="2020-10-01T00:00:00"/>
    <d v="2020-11-10T00:00:00"/>
  </r>
  <r>
    <s v="Ofsted School Webpage"/>
    <n v="117105"/>
    <n v="9192039"/>
    <s v="Green Lanes Primary School"/>
    <x v="0"/>
    <s v="Community School"/>
    <s v="NULL"/>
    <s v="Not applicable"/>
    <s v="Does not have a sixth form"/>
    <s v="Does not apply"/>
    <s v="Does not apply"/>
    <s v="Non-denominational"/>
    <s v="East of England"/>
    <x v="7"/>
    <x v="56"/>
    <s v="Welwyn Hatfield"/>
    <s v="AL10 9JY"/>
    <n v="3"/>
    <n v="417"/>
    <d v="2020-10-01T00:00:00"/>
    <d v="2020-11-15T00:00:00"/>
  </r>
  <r>
    <s v="Ofsted School Webpage"/>
    <n v="124105"/>
    <n v="8602240"/>
    <s v="Green Lea First School"/>
    <x v="0"/>
    <s v="Community School"/>
    <s v="NULL"/>
    <s v="Not applicable"/>
    <s v="Does not have a sixth form"/>
    <s v="Does not apply"/>
    <s v="Does not apply"/>
    <s v="Non-denominational"/>
    <s v="West Midlands"/>
    <x v="1"/>
    <x v="36"/>
    <s v="Stone"/>
    <s v="ST18 0EU"/>
    <n v="1"/>
    <n v="65"/>
    <d v="2020-10-01T00:00:00"/>
    <d v="2020-10-19T00:00:00"/>
  </r>
  <r>
    <s v="Ofsted School Webpage"/>
    <n v="134857"/>
    <n v="8863898"/>
    <s v="Greenfields Community Primary School"/>
    <x v="0"/>
    <s v="Community School"/>
    <d v="2005-04-11T00:00:00"/>
    <s v="Not applicable"/>
    <s v="Does not have a sixth form"/>
    <s v="Does not apply"/>
    <s v="Does not apply"/>
    <s v="Non-denominational"/>
    <s v="South East"/>
    <x v="2"/>
    <x v="7"/>
    <s v="Faversham and Mid Kent"/>
    <s v="ME15 8DF"/>
    <n v="4"/>
    <n v="367"/>
    <d v="2020-10-01T00:00:00"/>
    <d v="2020-11-11T00:00:00"/>
  </r>
  <r>
    <s v="Ofsted School Webpage"/>
    <n v="112959"/>
    <n v="8304193"/>
    <s v="Hasland Hall Community School"/>
    <x v="1"/>
    <s v="Community School"/>
    <s v="NULL"/>
    <s v="Non-selective"/>
    <s v="Does not have a sixth form"/>
    <s v="Does not apply"/>
    <s v="Does not apply"/>
    <s v="Non-denominational"/>
    <s v="East Midlands"/>
    <x v="6"/>
    <x v="6"/>
    <s v="Chesterfield"/>
    <s v="S41 0LP"/>
    <n v="4"/>
    <n v="785"/>
    <d v="2020-10-01T00:00:00"/>
    <d v="2020-11-04T00:00:00"/>
  </r>
  <r>
    <s v="Ofsted School Webpage"/>
    <n v="113666"/>
    <n v="8382017"/>
    <s v="Gillingham Primary School"/>
    <x v="0"/>
    <s v="Community School"/>
    <s v="NULL"/>
    <s v="Not applicable"/>
    <s v="Does not have a sixth form"/>
    <s v="Does not apply"/>
    <s v="Does not apply"/>
    <s v="Non-denominational"/>
    <s v="South West"/>
    <x v="5"/>
    <x v="87"/>
    <s v="North Dorset"/>
    <s v="SP8 4QR"/>
    <n v="2"/>
    <n v="338"/>
    <d v="2020-10-01T00:00:00"/>
    <d v="2020-10-19T00:00:00"/>
  </r>
  <r>
    <s v="Ofsted School Webpage"/>
    <n v="100681"/>
    <n v="2092197"/>
    <s v="Elfrida Primary School"/>
    <x v="0"/>
    <s v="Community School"/>
    <s v="NULL"/>
    <s v="Not applicable"/>
    <s v="Does not have a sixth form"/>
    <s v="Does not apply"/>
    <s v="Does not apply"/>
    <s v="Non-denominational"/>
    <s v="London"/>
    <x v="3"/>
    <x v="88"/>
    <s v="Lewisham West and Penge"/>
    <s v="SE6 3EN"/>
    <n v="5"/>
    <n v="469"/>
    <d v="2020-10-01T00:00:00"/>
    <d v="2020-11-11T00:00:00"/>
  </r>
  <r>
    <s v="Ofsted School Webpage"/>
    <n v="106757"/>
    <n v="3712196"/>
    <s v="Carcroft Primary School"/>
    <x v="0"/>
    <s v="Community School"/>
    <s v="NULL"/>
    <s v="Not applicable"/>
    <s v="Does not have a sixth form"/>
    <s v="Does not apply"/>
    <s v="Does not apply"/>
    <s v="Non-denominational"/>
    <s v="North East, Yorkshire and the Humber"/>
    <x v="0"/>
    <x v="68"/>
    <s v="Doncaster North"/>
    <s v="DN6 8DR"/>
    <n v="5"/>
    <n v="320"/>
    <d v="2020-10-01T00:00:00"/>
    <d v="2020-11-16T00:00:00"/>
  </r>
  <r>
    <s v="Ofsted School Webpage"/>
    <n v="116749"/>
    <n v="8852161"/>
    <s v="Cherry Orchard Primary School"/>
    <x v="0"/>
    <s v="Community School"/>
    <s v="NULL"/>
    <s v="Not applicable"/>
    <s v="Does not have a sixth form"/>
    <s v="Does not apply"/>
    <s v="Does not apply"/>
    <s v="Non-denominational"/>
    <s v="West Midlands"/>
    <x v="1"/>
    <x v="89"/>
    <s v="Worcester"/>
    <s v="WR5 2DD"/>
    <n v="2"/>
    <n v="619"/>
    <d v="2020-10-06T00:00:00"/>
    <d v="2020-11-12T00:00:00"/>
  </r>
  <r>
    <s v="Ofsted School Webpage"/>
    <n v="118523"/>
    <n v="8862574"/>
    <s v="Downs View Infant School"/>
    <x v="0"/>
    <s v="Community School"/>
    <s v="NULL"/>
    <s v="Not applicable"/>
    <s v="Does not have a sixth form"/>
    <s v="Does not apply"/>
    <s v="Does not apply"/>
    <s v="Non-denominational"/>
    <s v="South East"/>
    <x v="2"/>
    <x v="7"/>
    <s v="Ashford"/>
    <s v="TN25 4PJ"/>
    <n v="3"/>
    <n v="259"/>
    <d v="2020-10-06T00:00:00"/>
    <d v="2020-11-15T00:00:00"/>
  </r>
  <r>
    <s v="Ofsted School Webpage"/>
    <n v="123719"/>
    <n v="9332302"/>
    <s v="East Coker Community Primary School"/>
    <x v="0"/>
    <s v="Community School"/>
    <s v="NULL"/>
    <s v="Not applicable"/>
    <s v="Does not have a sixth form"/>
    <s v="Does not apply"/>
    <s v="Does not apply"/>
    <s v="Non-denominational"/>
    <s v="South West"/>
    <x v="5"/>
    <x v="34"/>
    <s v="Yeovil"/>
    <s v="BA22 9HY"/>
    <n v="2"/>
    <n v="239"/>
    <d v="2020-10-06T00:00:00"/>
    <d v="2020-11-11T00:00:00"/>
  </r>
  <r>
    <s v="Ofsted School Webpage"/>
    <n v="114970"/>
    <n v="8812730"/>
    <s v="Great Sampford Community Primary School"/>
    <x v="0"/>
    <s v="Community School"/>
    <s v="NULL"/>
    <s v="Not applicable"/>
    <s v="Does not have a sixth form"/>
    <s v="Does not apply"/>
    <s v="Does not apply"/>
    <s v="Non-denominational"/>
    <s v="East of England"/>
    <x v="7"/>
    <x v="75"/>
    <s v="Saffron Walden"/>
    <s v="CB10 2RL"/>
    <n v="1"/>
    <n v="105"/>
    <d v="2020-10-06T00:00:00"/>
    <d v="2020-11-22T00:00:00"/>
  </r>
  <r>
    <s v="Ofsted School Webpage"/>
    <n v="112679"/>
    <n v="8302321"/>
    <s v="Heath Fields Primary School"/>
    <x v="0"/>
    <s v="Community School"/>
    <s v="NULL"/>
    <s v="Not applicable"/>
    <s v="Does not have a sixth form"/>
    <s v="Does not apply"/>
    <s v="Does not apply"/>
    <s v="Non-denominational"/>
    <s v="East Midlands"/>
    <x v="6"/>
    <x v="6"/>
    <s v="South Derbyshire"/>
    <s v="DE65 5EQ"/>
    <n v="3"/>
    <n v="218"/>
    <d v="2020-10-06T00:00:00"/>
    <d v="2020-11-17T00:00:00"/>
  </r>
  <r>
    <s v="Ofsted School Webpage"/>
    <n v="112675"/>
    <n v="8302310"/>
    <s v="Dallimore Primary &amp; Nursery School"/>
    <x v="0"/>
    <s v="Community School"/>
    <s v="NULL"/>
    <s v="Not applicable"/>
    <s v="Does not have a sixth form"/>
    <s v="Does not apply"/>
    <s v="Does not apply"/>
    <s v="Non-denominational"/>
    <s v="East Midlands"/>
    <x v="6"/>
    <x v="6"/>
    <s v="Erewash"/>
    <s v="DE7 4GZ"/>
    <n v="5"/>
    <n v="354"/>
    <d v="2020-10-06T00:00:00"/>
    <d v="2020-11-11T00:00:00"/>
  </r>
  <r>
    <s v="Ofsted School Webpage"/>
    <n v="117832"/>
    <n v="8112709"/>
    <s v="Burlington Junior School"/>
    <x v="0"/>
    <s v="Community School"/>
    <s v="NULL"/>
    <s v="Not applicable"/>
    <s v="Does not have a sixth form"/>
    <s v="Does not apply"/>
    <s v="Does not apply"/>
    <s v="Non-denominational"/>
    <s v="North East, Yorkshire and the Humber"/>
    <x v="0"/>
    <x v="31"/>
    <s v="East Yorkshire"/>
    <s v="YO16 7AQ"/>
    <n v="5"/>
    <n v="307"/>
    <d v="2020-10-06T00:00:00"/>
    <d v="2020-11-23T00:00:00"/>
  </r>
  <r>
    <s v="Ofsted School Webpage"/>
    <n v="118534"/>
    <n v="8862603"/>
    <s v="Bromstone Primary School, Broadstairs"/>
    <x v="0"/>
    <s v="Foundation School"/>
    <s v="NULL"/>
    <s v="Not applicable"/>
    <s v="Does not have a sixth form"/>
    <s v="Does not apply"/>
    <s v="Does not apply"/>
    <s v="Non-denominational"/>
    <s v="South East"/>
    <x v="2"/>
    <x v="7"/>
    <s v="South Thanet"/>
    <s v="CT10 2PW"/>
    <n v="4"/>
    <n v="482"/>
    <d v="2020-10-06T00:00:00"/>
    <d v="2020-11-12T00:00:00"/>
  </r>
  <r>
    <s v="Ofsted School Webpage"/>
    <n v="121369"/>
    <n v="8152245"/>
    <s v="Alne Primary School"/>
    <x v="0"/>
    <s v="Community School"/>
    <d v="1899-12-31T00:00:00"/>
    <s v="Not applicable"/>
    <s v="Does not have a sixth form"/>
    <s v="Does not apply"/>
    <s v="Does not apply"/>
    <s v="Non-denominational"/>
    <s v="North East, Yorkshire and the Humber"/>
    <x v="0"/>
    <x v="60"/>
    <s v="Thirsk and Malton"/>
    <s v="YO61 1RT"/>
    <n v="1"/>
    <n v="137"/>
    <d v="2020-10-06T00:00:00"/>
    <d v="2020-11-23T00:00:00"/>
  </r>
  <r>
    <s v="Ofsted School Webpage"/>
    <n v="116255"/>
    <n v="8502761"/>
    <s v="Hatch Warren Junior School"/>
    <x v="0"/>
    <s v="Community School"/>
    <s v="NULL"/>
    <s v="Not applicable"/>
    <s v="Does not have a sixth form"/>
    <s v="Does not apply"/>
    <s v="Does not apply"/>
    <s v="Non-denominational"/>
    <s v="South East"/>
    <x v="2"/>
    <x v="2"/>
    <s v="Basingstoke"/>
    <s v="RG22 4PQ"/>
    <n v="2"/>
    <n v="359"/>
    <d v="2020-10-06T00:00:00"/>
    <d v="2020-11-04T00:00:00"/>
  </r>
  <r>
    <s v="Ofsted School Webpage"/>
    <n v="100234"/>
    <n v="2042450"/>
    <s v="Orchard Primary School"/>
    <x v="0"/>
    <s v="Community School"/>
    <s v="NULL"/>
    <s v="Not applicable"/>
    <s v="Does not have a sixth form"/>
    <s v="Does not apply"/>
    <s v="Does not apply"/>
    <s v="Non-denominational"/>
    <s v="London"/>
    <x v="3"/>
    <x v="12"/>
    <s v="Hackney South and Shoreditch"/>
    <s v="E9 7BB"/>
    <n v="5"/>
    <n v="651"/>
    <d v="2020-10-06T00:00:00"/>
    <d v="2020-11-24T00:00:00"/>
  </r>
  <r>
    <s v="Ofsted School Webpage"/>
    <n v="116117"/>
    <n v="8522441"/>
    <s v="Mansbridge Primary School"/>
    <x v="0"/>
    <s v="Foundation School"/>
    <s v="NULL"/>
    <s v="Not applicable"/>
    <s v="Does not have a sixth form"/>
    <s v="Does not apply"/>
    <s v="Does not apply"/>
    <s v="Non-denominational"/>
    <s v="South East"/>
    <x v="2"/>
    <x v="76"/>
    <s v="Romsey and Southampton North"/>
    <s v="SO18 2LX"/>
    <n v="4"/>
    <n v="200"/>
    <d v="2020-10-06T00:00:00"/>
    <d v="2020-11-16T00:00:00"/>
  </r>
  <r>
    <s v="Ofsted School Webpage"/>
    <n v="116231"/>
    <n v="8502726"/>
    <s v="Kings Furlong Junior School"/>
    <x v="0"/>
    <s v="Community School"/>
    <s v="NULL"/>
    <s v="Not applicable"/>
    <s v="Does not have a sixth form"/>
    <s v="Does not apply"/>
    <s v="Does not apply"/>
    <s v="Non-denominational"/>
    <s v="South East"/>
    <x v="2"/>
    <x v="2"/>
    <s v="Basingstoke"/>
    <s v="RG21 8YJ"/>
    <n v="3"/>
    <n v="307"/>
    <d v="2020-10-06T00:00:00"/>
    <d v="2020-11-11T00:00:00"/>
  </r>
  <r>
    <s v="Ofsted School Webpage"/>
    <n v="130869"/>
    <n v="9372621"/>
    <s v="Lillington Primary School"/>
    <x v="0"/>
    <s v="Community School"/>
    <d v="1996-09-01T00:00:00"/>
    <s v="Not applicable"/>
    <s v="Does not have a sixth form"/>
    <s v="Does not apply"/>
    <s v="Does not apply"/>
    <s v="Non-denominational"/>
    <s v="West Midlands"/>
    <x v="1"/>
    <x v="65"/>
    <s v="Warwick and Leamington"/>
    <s v="CV32 7AG"/>
    <n v="4"/>
    <n v="303"/>
    <d v="2020-10-06T00:00:00"/>
    <d v="2020-11-09T00:00:00"/>
  </r>
  <r>
    <s v="Ofsted School Webpage"/>
    <n v="119120"/>
    <n v="8892008"/>
    <s v="Lower Darwen Primary School"/>
    <x v="0"/>
    <s v="Community School"/>
    <s v="NULL"/>
    <s v="Not applicable"/>
    <s v="Does not have a sixth form"/>
    <s v="Does not apply"/>
    <s v="Does not apply"/>
    <s v="Non-denominational"/>
    <s v="North West"/>
    <x v="4"/>
    <x v="90"/>
    <s v="Rossendale and Darwen"/>
    <s v="BB3 0RB"/>
    <n v="3"/>
    <n v="385"/>
    <d v="2020-10-06T00:00:00"/>
    <d v="2020-11-19T00:00:00"/>
  </r>
  <r>
    <s v="Ofsted School Webpage"/>
    <n v="112976"/>
    <n v="8305202"/>
    <s v="Repton Primary School"/>
    <x v="0"/>
    <s v="Community School"/>
    <s v="NULL"/>
    <s v="Not applicable"/>
    <s v="Does not have a sixth form"/>
    <s v="Does not apply"/>
    <s v="Does not apply"/>
    <s v="Non-denominational"/>
    <s v="East Midlands"/>
    <x v="6"/>
    <x v="6"/>
    <s v="South Derbyshire"/>
    <s v="DE65 6GN"/>
    <n v="1"/>
    <n v="206"/>
    <d v="2020-10-06T00:00:00"/>
    <d v="2020-11-15T00:00:00"/>
  </r>
  <r>
    <s v="Ofsted School Webpage"/>
    <n v="115908"/>
    <n v="8502100"/>
    <s v="Riders Junior School"/>
    <x v="0"/>
    <s v="Community School"/>
    <s v="NULL"/>
    <s v="Not applicable"/>
    <s v="Does not have a sixth form"/>
    <s v="Does not apply"/>
    <s v="Does not apply"/>
    <s v="Non-denominational"/>
    <s v="South East"/>
    <x v="2"/>
    <x v="2"/>
    <s v="Havant"/>
    <s v="PO9 4RY"/>
    <n v="5"/>
    <n v="328"/>
    <d v="2020-10-06T00:00:00"/>
    <d v="2020-11-19T00:00:00"/>
  </r>
  <r>
    <s v="Ofsted School Webpage"/>
    <n v="115602"/>
    <n v="9162173"/>
    <s v="Tuffley Primary School"/>
    <x v="0"/>
    <s v="Community School"/>
    <s v="NULL"/>
    <s v="Not applicable"/>
    <s v="Does not have a sixth form"/>
    <s v="Does not apply"/>
    <s v="Does not apply"/>
    <s v="Non-denominational"/>
    <s v="South West"/>
    <x v="5"/>
    <x v="28"/>
    <s v="Gloucester"/>
    <s v="GL4 0JY"/>
    <n v="5"/>
    <n v="188"/>
    <d v="2020-10-06T00:00:00"/>
    <d v="2020-11-09T00:00:00"/>
  </r>
  <r>
    <s v="Ofsted School Webpage"/>
    <n v="117259"/>
    <n v="9192300"/>
    <s v="Pixmore Junior School"/>
    <x v="0"/>
    <s v="Community School"/>
    <s v="NULL"/>
    <s v="Not applicable"/>
    <s v="Does not have a sixth form"/>
    <s v="Does not apply"/>
    <s v="Does not apply"/>
    <s v="Non-denominational"/>
    <s v="East of England"/>
    <x v="7"/>
    <x v="56"/>
    <s v="North East Hertfordshire"/>
    <s v="SG6 1RS"/>
    <n v="4"/>
    <n v="237"/>
    <d v="2020-10-06T00:00:00"/>
    <d v="2020-11-15T00:00:00"/>
  </r>
  <r>
    <s v="Ofsted School Webpage"/>
    <n v="120887"/>
    <n v="9262228"/>
    <s v="Walpole Highway Primary School"/>
    <x v="0"/>
    <s v="Community School"/>
    <s v="NULL"/>
    <s v="Not applicable"/>
    <s v="Does not have a sixth form"/>
    <s v="Does not apply"/>
    <s v="Does not apply"/>
    <s v="Non-denominational"/>
    <s v="East of England"/>
    <x v="7"/>
    <x v="33"/>
    <s v="South West Norfolk"/>
    <s v="PE14 7QQ"/>
    <n v="4"/>
    <n v="53"/>
    <d v="2020-10-06T00:00:00"/>
    <d v="2020-11-11T00:00:00"/>
  </r>
  <r>
    <s v="Ofsted School Webpage"/>
    <n v="111039"/>
    <n v="8952169"/>
    <s v="Scholar Green Primary School"/>
    <x v="0"/>
    <s v="Community School"/>
    <s v="NULL"/>
    <s v="Not applicable"/>
    <s v="Does not have a sixth form"/>
    <s v="Does not apply"/>
    <s v="Does not apply"/>
    <s v="Non-denominational"/>
    <s v="North West"/>
    <x v="4"/>
    <x v="91"/>
    <s v="Congleton"/>
    <s v="ST7 3HF"/>
    <n v="3"/>
    <n v="212"/>
    <d v="2020-10-06T00:00:00"/>
    <d v="2020-11-23T00:00:00"/>
  </r>
  <r>
    <s v="Ofsted School Webpage"/>
    <n v="105003"/>
    <n v="3442116"/>
    <s v="Sandbrook Primary School"/>
    <x v="0"/>
    <s v="Community School"/>
    <s v="NULL"/>
    <s v="Not applicable"/>
    <s v="Does not have a sixth form"/>
    <s v="Does not apply"/>
    <s v="Does not apply"/>
    <s v="Non-denominational"/>
    <s v="North West"/>
    <x v="4"/>
    <x v="92"/>
    <s v="Wallasey"/>
    <s v="CH46 9PS"/>
    <n v="5"/>
    <n v="93"/>
    <d v="2020-10-06T00:00:00"/>
    <d v="2020-11-23T00:00:00"/>
  </r>
  <r>
    <s v="Ofsted School Webpage"/>
    <n v="115175"/>
    <n v="8813530"/>
    <s v="Little Waltham Church of England Voluntary Aided Primary School"/>
    <x v="0"/>
    <s v="Voluntary Aided School"/>
    <s v="NULL"/>
    <s v="Not applicable"/>
    <s v="Does not have a sixth form"/>
    <s v="Church of England"/>
    <s v="Does not apply"/>
    <s v="Christian"/>
    <s v="East of England"/>
    <x v="7"/>
    <x v="75"/>
    <s v="Saffron Walden"/>
    <s v="CM3 3NY"/>
    <n v="2"/>
    <n v="208"/>
    <d v="2020-10-06T00:00:00"/>
    <d v="2020-11-19T00:00:00"/>
  </r>
  <r>
    <s v="Ofsted School Webpage"/>
    <n v="115705"/>
    <n v="9163354"/>
    <s v="St Catharine's Catholic Primary School"/>
    <x v="0"/>
    <s v="Voluntary Aided School"/>
    <s v="NULL"/>
    <s v="Not applicable"/>
    <s v="Does not have a sixth form"/>
    <s v="Roman Catholic"/>
    <s v="Does not apply"/>
    <s v="Christian"/>
    <s v="South West"/>
    <x v="5"/>
    <x v="28"/>
    <s v="The Cotswolds"/>
    <s v="GL55 6DZ"/>
    <n v="1"/>
    <n v="122"/>
    <d v="2020-10-06T00:00:00"/>
    <d v="2020-11-11T00:00:00"/>
  </r>
  <r>
    <s v="Ofsted School Webpage"/>
    <n v="104926"/>
    <n v="3433353"/>
    <s v="Great Crosby Catholic Primary School"/>
    <x v="0"/>
    <s v="Voluntary Aided School"/>
    <s v="NULL"/>
    <s v="Not applicable"/>
    <s v="Does not have a sixth form"/>
    <s v="Roman Catholic"/>
    <s v="Does not apply"/>
    <s v="Christian"/>
    <s v="North West"/>
    <x v="4"/>
    <x v="93"/>
    <s v="Bootle"/>
    <s v="L23 2RQ"/>
    <n v="2"/>
    <n v="731"/>
    <d v="2020-10-06T00:00:00"/>
    <d v="2020-11-26T00:00:00"/>
  </r>
  <r>
    <s v="Ofsted School Webpage"/>
    <n v="119599"/>
    <n v="8903626"/>
    <s v="St Kentigern's Catholic Primary School"/>
    <x v="0"/>
    <s v="Voluntary Aided School"/>
    <s v="NULL"/>
    <s v="Not applicable"/>
    <s v="Does not have a sixth form"/>
    <s v="Roman Catholic"/>
    <s v="Does not apply"/>
    <s v="Christian"/>
    <s v="North West"/>
    <x v="4"/>
    <x v="52"/>
    <s v="Blackpool South"/>
    <s v="FY3 8BT"/>
    <n v="5"/>
    <n v="208"/>
    <d v="2020-10-06T00:00:00"/>
    <d v="2020-11-17T00:00:00"/>
  </r>
  <r>
    <s v="Ofsted School Webpage"/>
    <n v="101364"/>
    <n v="3025407"/>
    <s v="St James' Catholic High School"/>
    <x v="1"/>
    <s v="Voluntary Aided School"/>
    <s v="NULL"/>
    <s v="Non-selective"/>
    <s v="Has a sixth form"/>
    <s v="Roman Catholic"/>
    <s v="Does not apply"/>
    <s v="Christian"/>
    <s v="London"/>
    <x v="3"/>
    <x v="94"/>
    <s v="Hendon"/>
    <s v="NW9 5PE"/>
    <n v="4"/>
    <n v="1151"/>
    <d v="2020-10-06T00:00:00"/>
    <d v="2020-11-24T00:00:00"/>
  </r>
  <r>
    <s v="Ofsted School Webpage"/>
    <n v="104833"/>
    <n v="3424713"/>
    <s v="St Augustine of Canterbury Catholic High School"/>
    <x v="1"/>
    <s v="Voluntary Aided School"/>
    <d v="1991-10-11T00:00:00"/>
    <s v="Non-selective"/>
    <s v="Does not have a sixth form"/>
    <s v="Roman Catholic"/>
    <s v="Does not apply"/>
    <s v="Christian"/>
    <s v="North West"/>
    <x v="4"/>
    <x v="95"/>
    <s v="St Helens North"/>
    <s v="WA11 9BB"/>
    <n v="5"/>
    <n v="569"/>
    <d v="2020-10-06T00:00:00"/>
    <d v="2020-11-22T00:00:00"/>
  </r>
  <r>
    <s v="Ofsted School Webpage"/>
    <n v="114577"/>
    <n v="8453362"/>
    <s v="St Thomas A Becket Catholic Primary School"/>
    <x v="0"/>
    <s v="Voluntary Aided School"/>
    <s v="NULL"/>
    <s v="Not applicable"/>
    <s v="Does not have a sixth form"/>
    <s v="Roman Catholic"/>
    <s v="Does not apply"/>
    <s v="Christian"/>
    <s v="South East"/>
    <x v="2"/>
    <x v="80"/>
    <s v="Eastbourne"/>
    <s v="BN22 8XT"/>
    <n v="4"/>
    <n v="475"/>
    <d v="2020-10-06T00:00:00"/>
    <d v="2020-11-11T00:00:00"/>
  </r>
  <r>
    <s v="Ofsted School Webpage"/>
    <n v="130327"/>
    <n v="3513351"/>
    <s v="St Stephen's Church of England Primary School"/>
    <x v="0"/>
    <s v="Voluntary Aided School"/>
    <d v="1995-08-31T00:00:00"/>
    <s v="Not applicable"/>
    <s v="Does not have a sixth form"/>
    <s v="Church of England"/>
    <s v="Does not apply"/>
    <s v="Christian"/>
    <s v="North West"/>
    <x v="4"/>
    <x v="96"/>
    <s v="Bury North"/>
    <s v="BL8 2DX"/>
    <n v="4"/>
    <n v="285"/>
    <d v="2020-10-06T00:00:00"/>
    <d v="2020-11-23T00:00:00"/>
  </r>
  <r>
    <s v="Ofsted School Webpage"/>
    <n v="110785"/>
    <n v="8733009"/>
    <s v="Cheveley CofE Primary School"/>
    <x v="0"/>
    <s v="Voluntary Controlled School"/>
    <s v="NULL"/>
    <s v="Not applicable"/>
    <s v="Does not have a sixth form"/>
    <s v="Church of England"/>
    <s v="Does not apply"/>
    <s v="Christian"/>
    <s v="East of England"/>
    <x v="7"/>
    <x v="43"/>
    <s v="South East Cambridgeshire"/>
    <s v="CB8 9DF"/>
    <n v="1"/>
    <n v="135"/>
    <d v="2020-10-06T00:00:00"/>
    <d v="2020-11-12T00:00:00"/>
  </r>
  <r>
    <s v="Ofsted School Webpage"/>
    <n v="111385"/>
    <n v="8773642"/>
    <s v="St Philip (Westbrook) CofE Aided Primary School"/>
    <x v="0"/>
    <s v="Voluntary Aided School"/>
    <s v="NULL"/>
    <s v="Not applicable"/>
    <s v="Does not have a sixth form"/>
    <s v="Church of England"/>
    <s v="Does not apply"/>
    <s v="Christian"/>
    <s v="North West"/>
    <x v="4"/>
    <x v="97"/>
    <s v="Warrington North"/>
    <s v="WA5 8UE"/>
    <n v="1"/>
    <n v="547"/>
    <d v="2020-10-06T00:00:00"/>
    <d v="2020-11-19T00:00:00"/>
  </r>
  <r>
    <s v="Ofsted School Webpage"/>
    <n v="121473"/>
    <n v="8163002"/>
    <s v="Saint Barnabas Church of England Voluntary Controlled Primary School"/>
    <x v="0"/>
    <s v="Voluntary Controlled School"/>
    <s v="NULL"/>
    <s v="Not applicable"/>
    <s v="Does not have a sixth form"/>
    <s v="Church of England"/>
    <s v="Does not apply"/>
    <s v="Christian"/>
    <s v="North East, Yorkshire and the Humber"/>
    <x v="0"/>
    <x v="35"/>
    <s v="York Central"/>
    <s v="YO26 4YZ"/>
    <n v="3"/>
    <n v="154"/>
    <d v="2020-10-06T00:00:00"/>
    <d v="2020-11-11T00:00:00"/>
  </r>
  <r>
    <s v="Ofsted School Webpage"/>
    <n v="109406"/>
    <n v="8027036"/>
    <s v="Westhaven School"/>
    <x v="2"/>
    <s v="Foundation Special School"/>
    <s v="NULL"/>
    <s v="Not applicable"/>
    <s v="Has a sixth form"/>
    <s v="Does not apply"/>
    <s v="Does not apply"/>
    <s v="Non-denominational"/>
    <s v="South West"/>
    <x v="5"/>
    <x v="98"/>
    <s v="Weston-Super-Mare"/>
    <s v="BS23 4UT"/>
    <n v="3"/>
    <n v="152"/>
    <d v="2020-10-06T00:00:00"/>
    <d v="2020-11-12T00:00:00"/>
  </r>
  <r>
    <s v="Ofsted School Webpage"/>
    <n v="137596"/>
    <n v="3731100"/>
    <s v="Sheffield Inclusion Centre"/>
    <x v="3"/>
    <s v="Pupil Referral Unit"/>
    <d v="2011-10-24T00:00:00"/>
    <s v="Not applicable"/>
    <s v="Not applicable"/>
    <s v="Does not apply"/>
    <s v="Does not apply"/>
    <s v="Non-denominational"/>
    <s v="North East, Yorkshire and the Humber"/>
    <x v="0"/>
    <x v="99"/>
    <s v="Sheffield, Heeley"/>
    <s v="S2 2JQ"/>
    <n v="5"/>
    <n v="226"/>
    <d v="2020-10-06T00:00:00"/>
    <d v="2020-11-23T00:00:00"/>
  </r>
  <r>
    <s v="Ofsted School Webpage"/>
    <n v="135911"/>
    <n v="3306907"/>
    <s v="Shenley Academy"/>
    <x v="1"/>
    <s v="Academy Sponsor Led"/>
    <d v="2009-09-01T00:00:00"/>
    <s v="Non-selective"/>
    <s v="Has a sixth form"/>
    <s v="Does not apply"/>
    <s v="None"/>
    <s v="Non-denominational"/>
    <s v="West Midlands"/>
    <x v="1"/>
    <x v="8"/>
    <s v="Birmingham, Edgbaston"/>
    <s v="B29 4HE"/>
    <n v="5"/>
    <n v="940"/>
    <d v="2020-10-06T00:00:00"/>
    <d v="2020-11-09T00:00:00"/>
  </r>
  <r>
    <s v="Ofsted School Webpage"/>
    <n v="104278"/>
    <n v="3361002"/>
    <s v="Low Hill Nursery School"/>
    <x v="4"/>
    <s v="LA Nursery School"/>
    <s v="NULL"/>
    <s v="Not applicable"/>
    <s v="Not applicable"/>
    <s v="Does not apply"/>
    <s v="Does not apply"/>
    <s v="Non-denominational"/>
    <s v="West Midlands"/>
    <x v="1"/>
    <x v="1"/>
    <s v="Wolverhampton North East"/>
    <s v="WV10 9JN"/>
    <n v="5"/>
    <n v="168"/>
    <d v="2020-10-06T00:00:00"/>
    <d v="2020-11-15T00:00:00"/>
  </r>
  <r>
    <s v="Ofsted School Webpage"/>
    <n v="105384"/>
    <n v="3521007"/>
    <s v="Martenscroft Nursery School &amp; Children's Centre"/>
    <x v="4"/>
    <s v="LA Nursery School"/>
    <s v="NULL"/>
    <s v="Not applicable"/>
    <s v="Not applicable"/>
    <s v="Does not apply"/>
    <s v="Does not apply"/>
    <s v="Non-denominational"/>
    <s v="North West"/>
    <x v="4"/>
    <x v="4"/>
    <s v="Manchester Central"/>
    <s v="M15 6PA"/>
    <n v="5"/>
    <n v="98"/>
    <d v="2020-10-06T00:00:00"/>
    <d v="2020-11-18T00:00:00"/>
  </r>
  <r>
    <s v="Ofsted School Webpage"/>
    <n v="123435"/>
    <n v="8945203"/>
    <s v="Moorfield Primary School"/>
    <x v="0"/>
    <s v="Foundation School"/>
    <s v="NULL"/>
    <s v="Not applicable"/>
    <s v="Does not have a sixth form"/>
    <s v="None"/>
    <s v="Does not apply"/>
    <s v="Non-denominational"/>
    <s v="West Midlands"/>
    <x v="1"/>
    <x v="100"/>
    <s v="The Wrekin"/>
    <s v="TF10 7QU"/>
    <n v="2"/>
    <n v="279"/>
    <d v="2020-10-06T00:00:00"/>
    <d v="2020-11-08T00:00:00"/>
  </r>
  <r>
    <s v="Ofsted School Webpage"/>
    <n v="118796"/>
    <n v="8864065"/>
    <s v="The Holmesdale School"/>
    <x v="1"/>
    <s v="Foundation School"/>
    <d v="1899-12-31T00:00:00"/>
    <s v="Non-selective"/>
    <s v="Has a sixth form"/>
    <s v="None"/>
    <s v="Does not apply"/>
    <s v="Non-denominational"/>
    <s v="South East"/>
    <x v="2"/>
    <x v="7"/>
    <s v="Chatham and Aylesford"/>
    <s v="ME6 5HS"/>
    <n v="3"/>
    <n v="502"/>
    <d v="2020-10-06T00:00:00"/>
    <d v="2020-11-12T00:00:00"/>
  </r>
  <r>
    <s v="Ofsted School Webpage"/>
    <n v="139402"/>
    <n v="8814010"/>
    <s v="Alec Hunter Academy"/>
    <x v="1"/>
    <s v="Academy Sponsor Led"/>
    <d v="2013-04-01T00:00:00"/>
    <s v="Non-selective"/>
    <s v="Does not have a sixth form"/>
    <s v="Does not apply"/>
    <s v="None"/>
    <s v="Non-denominational"/>
    <s v="East of England"/>
    <x v="7"/>
    <x v="75"/>
    <s v="Braintree"/>
    <s v="CM7 3NR"/>
    <n v="3"/>
    <n v="848"/>
    <d v="2020-10-06T00:00:00"/>
    <d v="2020-11-24T00:00:00"/>
  </r>
  <r>
    <s v="Ofsted School Webpage"/>
    <n v="100316"/>
    <n v="2051039"/>
    <s v="Vanessa Nursery School"/>
    <x v="4"/>
    <s v="LA Nursery School"/>
    <s v="NULL"/>
    <s v="Not applicable"/>
    <s v="Not applicable"/>
    <s v="Does not apply"/>
    <s v="Does not apply"/>
    <s v="Non-denominational"/>
    <s v="London"/>
    <x v="3"/>
    <x v="101"/>
    <s v="Hammersmith"/>
    <s v="W12 9JA"/>
    <n v="3"/>
    <n v="98"/>
    <d v="2020-10-06T00:00:00"/>
    <d v="2020-11-25T00:00:00"/>
  </r>
  <r>
    <s v="Ofsted School Webpage"/>
    <n v="138559"/>
    <n v="8062005"/>
    <s v="Brambles Primary Academy"/>
    <x v="0"/>
    <s v="Academy Converter"/>
    <d v="2012-09-01T00:00:00"/>
    <s v="Not applicable"/>
    <s v="Not applicable"/>
    <s v="None"/>
    <s v="None"/>
    <s v="Non-denominational"/>
    <s v="North East, Yorkshire and the Humber"/>
    <x v="8"/>
    <x v="61"/>
    <s v="Middlesbrough"/>
    <s v="TS3 9DB"/>
    <n v="5"/>
    <n v="321"/>
    <d v="2020-10-06T00:00:00"/>
    <d v="2020-11-22T00:00:00"/>
  </r>
  <r>
    <s v="Ofsted School Webpage"/>
    <n v="139852"/>
    <n v="3944037"/>
    <s v="Farringdon Community Academy"/>
    <x v="1"/>
    <s v="Academy Converter"/>
    <d v="2013-07-01T00:00:00"/>
    <s v="Non-selective"/>
    <s v="Does not have a sixth form"/>
    <s v="Does not apply"/>
    <s v="Does not apply"/>
    <s v="Non-denominational"/>
    <s v="North East, Yorkshire and the Humber"/>
    <x v="8"/>
    <x v="102"/>
    <s v="Houghton and Sunderland South"/>
    <s v="SR3 3EL"/>
    <n v="5"/>
    <n v="737"/>
    <d v="2020-10-06T00:00:00"/>
    <d v="2020-11-18T00:00:00"/>
  </r>
  <r>
    <s v="Ofsted School Webpage"/>
    <n v="138087"/>
    <n v="3804041"/>
    <s v="Belle Vue Girls' Academy"/>
    <x v="1"/>
    <s v="Academy Converter"/>
    <d v="2012-04-01T00:00:00"/>
    <s v="Non-selective"/>
    <s v="Has a sixth form"/>
    <s v="Does not apply"/>
    <s v="Does not apply"/>
    <s v="Non-denominational"/>
    <s v="North East, Yorkshire and the Humber"/>
    <x v="0"/>
    <x v="103"/>
    <s v="Bradford West"/>
    <s v="BD9 6NA"/>
    <n v="5"/>
    <n v="1130"/>
    <d v="2020-10-06T00:00:00"/>
    <d v="2020-11-18T00:00:00"/>
  </r>
  <r>
    <s v="Ofsted School Webpage"/>
    <n v="141304"/>
    <n v="8812785"/>
    <s v="Pear Tree Mead Academy"/>
    <x v="0"/>
    <s v="Academy Converter"/>
    <d v="2014-09-01T00:00:00"/>
    <s v="Not applicable"/>
    <s v="Does not have a sixth form"/>
    <s v="Does not apply"/>
    <s v="Does not apply"/>
    <s v="Non-denominational"/>
    <s v="East of England"/>
    <x v="7"/>
    <x v="75"/>
    <s v="Harlow"/>
    <s v="CM18 7BY"/>
    <n v="4"/>
    <n v="464"/>
    <d v="2020-10-06T00:00:00"/>
    <d v="2020-11-11T00:00:00"/>
  </r>
  <r>
    <s v="Ofsted School Webpage"/>
    <n v="141617"/>
    <n v="2054002"/>
    <s v="The Hurlingham Academy"/>
    <x v="1"/>
    <s v="Academy Sponsor Led"/>
    <d v="2015-01-01T00:00:00"/>
    <s v="Non-selective"/>
    <s v="Does not have a sixth form"/>
    <s v="Does not apply"/>
    <s v="None"/>
    <s v="Non-denominational"/>
    <s v="London"/>
    <x v="3"/>
    <x v="101"/>
    <s v="Chelsea and Fulham"/>
    <s v="SW6 3ED"/>
    <n v="4"/>
    <n v="548"/>
    <d v="2020-10-06T00:00:00"/>
    <d v="2020-11-23T00:00:00"/>
  </r>
  <r>
    <s v="Ofsted School Webpage"/>
    <n v="137254"/>
    <n v="9095413"/>
    <s v="Caldew School"/>
    <x v="1"/>
    <s v="Academy Converter"/>
    <d v="2011-08-01T00:00:00"/>
    <s v="Non-selective"/>
    <s v="Has a sixth form"/>
    <s v="None"/>
    <s v="Does not apply"/>
    <s v="Non-denominational"/>
    <s v="North West"/>
    <x v="4"/>
    <x v="25"/>
    <s v="Carlisle"/>
    <s v="CA5 7NN"/>
    <n v="2"/>
    <n v="949"/>
    <d v="2020-10-06T00:00:00"/>
    <d v="2020-11-24T00:00:00"/>
  </r>
  <r>
    <s v="Ofsted School Webpage"/>
    <n v="136602"/>
    <n v="8802456"/>
    <s v="St Margaret's Academy"/>
    <x v="0"/>
    <s v="Academy Converter"/>
    <d v="2011-04-01T00:00:00"/>
    <s v="Not applicable"/>
    <s v="Not applicable"/>
    <s v="Does not apply"/>
    <s v="Does not apply"/>
    <s v="Non-denominational"/>
    <s v="South West"/>
    <x v="5"/>
    <x v="48"/>
    <s v="Torbay"/>
    <s v="TQ1 4PA"/>
    <n v="5"/>
    <n v="414"/>
    <d v="2020-10-06T00:00:00"/>
    <d v="2020-11-12T00:00:00"/>
  </r>
  <r>
    <s v="Ofsted School Webpage"/>
    <n v="140117"/>
    <n v="9364190"/>
    <s v="Tomlinscote School"/>
    <x v="1"/>
    <s v="Academy Converter"/>
    <d v="2013-09-01T00:00:00"/>
    <s v="Non-selective"/>
    <s v="Has a sixth form"/>
    <s v="None"/>
    <s v="Does not apply"/>
    <s v="Non-denominational"/>
    <s v="South East"/>
    <x v="2"/>
    <x v="21"/>
    <s v="Surrey Heath"/>
    <s v="GU16 8PY"/>
    <n v="1"/>
    <n v="1479"/>
    <d v="2020-10-06T00:00:00"/>
    <d v="2020-11-25T00:00:00"/>
  </r>
  <r>
    <s v="Ofsted School Webpage"/>
    <n v="138481"/>
    <n v="8914008"/>
    <s v="Kirkby College"/>
    <x v="1"/>
    <s v="Academy Converter"/>
    <d v="2012-08-01T00:00:00"/>
    <s v="Non-selective"/>
    <s v="Has a sixth form"/>
    <s v="Does not apply"/>
    <s v="Does not apply"/>
    <s v="Non-denominational"/>
    <s v="East Midlands"/>
    <x v="6"/>
    <x v="49"/>
    <s v="Ashfield"/>
    <s v="NG17 7DH"/>
    <n v="5"/>
    <n v="395"/>
    <d v="2020-10-06T00:00:00"/>
    <d v="2020-11-24T00:00:00"/>
  </r>
  <r>
    <s v="Ofsted School Webpage"/>
    <n v="141454"/>
    <n v="8573117"/>
    <s v="Whissendine Church of England Primary School"/>
    <x v="0"/>
    <s v="Academy Converter"/>
    <d v="2014-10-01T00:00:00"/>
    <s v="Not applicable"/>
    <s v="Does not have a sixth form"/>
    <s v="Church of England"/>
    <s v="Does not apply"/>
    <s v="Christian"/>
    <s v="East Midlands"/>
    <x v="6"/>
    <x v="51"/>
    <s v="Rutland and Melton"/>
    <s v="LE15 7ET"/>
    <n v="2"/>
    <n v="196"/>
    <d v="2020-10-06T00:00:00"/>
    <d v="2020-11-19T00:00:00"/>
  </r>
  <r>
    <s v="Ofsted School Webpage"/>
    <n v="137402"/>
    <n v="9082437"/>
    <s v="St Mewan Community Primary School"/>
    <x v="0"/>
    <s v="Academy Converter"/>
    <d v="2011-09-01T00:00:00"/>
    <s v="Not applicable"/>
    <s v="Not applicable"/>
    <s v="Does not apply"/>
    <s v="Does not apply"/>
    <s v="Non-denominational"/>
    <s v="South West"/>
    <x v="5"/>
    <x v="42"/>
    <s v="St Austell and Newquay"/>
    <s v="PL26 7DP"/>
    <n v="3"/>
    <n v="475"/>
    <d v="2020-10-06T00:00:00"/>
    <d v="2020-11-12T00:00:00"/>
  </r>
  <r>
    <s v="Ofsted School Webpage"/>
    <n v="139488"/>
    <n v="3072185"/>
    <s v="Brentside Primary School"/>
    <x v="0"/>
    <s v="Academy Converter"/>
    <d v="2013-04-01T00:00:00"/>
    <s v="Not applicable"/>
    <s v="Does not have a sixth form"/>
    <s v="None"/>
    <s v="Does not apply"/>
    <s v="Non-denominational"/>
    <s v="London"/>
    <x v="3"/>
    <x v="57"/>
    <s v="Ealing North"/>
    <s v="W7 1JL"/>
    <n v="4"/>
    <n v="426"/>
    <d v="2020-10-06T00:00:00"/>
    <d v="2020-11-19T00:00:00"/>
  </r>
  <r>
    <s v="Ofsted School Webpage"/>
    <n v="142306"/>
    <n v="9094103"/>
    <s v="Cockermouth School"/>
    <x v="1"/>
    <s v="Academy Converter"/>
    <d v="2015-09-01T00:00:00"/>
    <s v="Non-selective"/>
    <s v="Has a sixth form"/>
    <s v="Does not apply"/>
    <s v="Does not apply"/>
    <s v="Non-denominational"/>
    <s v="North West"/>
    <x v="4"/>
    <x v="25"/>
    <s v="Workington"/>
    <s v="CA13 9HF"/>
    <n v="1"/>
    <n v="1340"/>
    <d v="2020-10-06T00:00:00"/>
    <d v="2020-11-18T00:00:00"/>
  </r>
  <r>
    <s v="Ofsted School Webpage"/>
    <n v="143170"/>
    <n v="9082238"/>
    <s v="Mabe Community Primary School"/>
    <x v="0"/>
    <s v="Academy Converter"/>
    <d v="2016-09-01T00:00:00"/>
    <s v="Not applicable"/>
    <s v="Does not have a sixth form"/>
    <s v="Does not apply"/>
    <s v="Does not apply"/>
    <s v="Non-denominational"/>
    <s v="South West"/>
    <x v="5"/>
    <x v="42"/>
    <s v="Camborne and Redruth"/>
    <s v="TR10 9HB"/>
    <n v="3"/>
    <n v="181"/>
    <d v="2020-10-06T00:00:00"/>
    <d v="2020-11-11T00:00:00"/>
  </r>
  <r>
    <s v="Ofsted School Webpage"/>
    <n v="141470"/>
    <n v="3824800"/>
    <s v="St John Fisher Catholic Voluntary Academy"/>
    <x v="1"/>
    <s v="Academy Converter"/>
    <d v="2014-10-01T00:00:00"/>
    <s v="Non-selective"/>
    <s v="Has a sixth form"/>
    <s v="Roman Catholic"/>
    <s v="Does not apply"/>
    <s v="Christian"/>
    <s v="North East, Yorkshire and the Humber"/>
    <x v="0"/>
    <x v="104"/>
    <s v="Dewsbury"/>
    <s v="WF13 4LL"/>
    <n v="4"/>
    <n v="1117"/>
    <d v="2020-10-06T00:00:00"/>
    <d v="2020-11-23T00:00:00"/>
  </r>
  <r>
    <s v="Ofsted School Webpage"/>
    <n v="140204"/>
    <n v="3806102"/>
    <s v="Bradford Girls' Grammar School"/>
    <x v="1"/>
    <s v="Free School"/>
    <d v="2013-09-02T00:00:00"/>
    <s v="Non-selective"/>
    <s v="Has a sixth form"/>
    <s v="None"/>
    <s v="Christian"/>
    <s v="Non-denominational"/>
    <s v="North East, Yorkshire and the Humber"/>
    <x v="0"/>
    <x v="103"/>
    <s v="Bradford West"/>
    <s v="BD9 6RB"/>
    <n v="4"/>
    <n v="1048"/>
    <d v="2020-10-06T00:00:00"/>
    <d v="2020-11-11T00:00:00"/>
  </r>
  <r>
    <s v="Ofsted School Webpage"/>
    <n v="141943"/>
    <n v="3304020"/>
    <s v="King Solomon International Business School"/>
    <x v="1"/>
    <s v="Free School"/>
    <d v="2015-09-01T00:00:00"/>
    <s v="Unknown"/>
    <s v="Does not have a sixth form"/>
    <s v="Christian"/>
    <s v="None"/>
    <s v="Christian"/>
    <s v="West Midlands"/>
    <x v="1"/>
    <x v="8"/>
    <s v="Birmingham, Ladywood"/>
    <s v="B7 4AA"/>
    <n v="5"/>
    <n v="590"/>
    <d v="2020-10-06T00:00:00"/>
    <d v="2020-11-11T00:00:00"/>
  </r>
  <r>
    <s v="Ofsted School Webpage"/>
    <n v="144879"/>
    <n v="9351111"/>
    <s v="Alderwood Academy"/>
    <x v="3"/>
    <s v="Academy Alternative Provision Converter"/>
    <d v="2017-09-01T00:00:00"/>
    <s v="Not applicable"/>
    <s v="Not applicable"/>
    <s v="Does not apply"/>
    <s v="Does not apply"/>
    <s v="Non-denominational"/>
    <s v="East of England"/>
    <x v="7"/>
    <x v="14"/>
    <s v="Ipswich"/>
    <s v="IP3 0EW"/>
    <n v="3"/>
    <n v="5"/>
    <d v="2020-10-06T00:00:00"/>
    <d v="2020-11-19T00:00:00"/>
  </r>
  <r>
    <s v="Ofsted School Webpage"/>
    <n v="145034"/>
    <n v="8734010"/>
    <s v="Trumpington Community College"/>
    <x v="1"/>
    <s v="Academy Converter"/>
    <d v="2018-03-01T00:00:00"/>
    <s v="Unknown"/>
    <s v="Does not have a sixth form"/>
    <s v="None"/>
    <s v="Does not apply"/>
    <s v="Non-denominational"/>
    <s v="East of England"/>
    <x v="7"/>
    <x v="43"/>
    <s v="Cambridge"/>
    <s v="CB2 9FD"/>
    <n v="2"/>
    <n v="406"/>
    <d v="2020-10-06T00:00:00"/>
    <d v="2020-11-24T00:00:00"/>
  </r>
  <r>
    <s v="Ofsted School Webpage"/>
    <n v="140934"/>
    <n v="3052031"/>
    <s v="Harris Primary Academy Beckenham"/>
    <x v="0"/>
    <s v="Free School"/>
    <d v="2015-09-01T00:00:00"/>
    <s v="Non-selective"/>
    <s v="Does not have a sixth form"/>
    <s v="None"/>
    <s v="None"/>
    <s v="Non-denominational"/>
    <s v="London"/>
    <x v="3"/>
    <x v="105"/>
    <s v="Beckenham"/>
    <s v="BR3 3SJ"/>
    <n v="2"/>
    <n v="279"/>
    <d v="2020-10-06T00:00:00"/>
    <d v="2020-11-22T00:00:00"/>
  </r>
  <r>
    <s v="Ofsted School Webpage"/>
    <n v="144649"/>
    <n v="3582016"/>
    <s v="Barton Clough Primary School"/>
    <x v="0"/>
    <s v="Academy Sponsor Led"/>
    <d v="2018-03-01T00:00:00"/>
    <s v="Not applicable"/>
    <s v="Does not have a sixth form"/>
    <s v="Does not apply"/>
    <s v="Unknown"/>
    <s v="Non-denominational"/>
    <s v="North West"/>
    <x v="4"/>
    <x v="106"/>
    <s v="Stretford and Urmston"/>
    <s v="M32 9TG"/>
    <n v="4"/>
    <n v="194"/>
    <d v="2020-10-06T00:00:00"/>
    <d v="2020-11-15T00:00:00"/>
  </r>
  <r>
    <s v="Ofsted School Webpage"/>
    <n v="141082"/>
    <n v="3164006"/>
    <s v="Oasis Academy Silvertown"/>
    <x v="1"/>
    <s v="Free School"/>
    <d v="2014-09-01T00:00:00"/>
    <s v="Non-selective"/>
    <s v="Does not have a sixth form"/>
    <s v="None"/>
    <s v="None"/>
    <s v="Non-denominational"/>
    <s v="London"/>
    <x v="3"/>
    <x v="107"/>
    <s v="East Ham"/>
    <s v="E16 2TX"/>
    <n v="4"/>
    <n v="329"/>
    <d v="2020-10-06T00:00:00"/>
    <d v="2020-11-09T00:00:00"/>
  </r>
  <r>
    <s v="Ofsted School Webpage"/>
    <n v="142739"/>
    <n v="8083304"/>
    <s v="St Paul's Catholic Primary School"/>
    <x v="0"/>
    <s v="Academy Converter"/>
    <d v="2016-04-01T00:00:00"/>
    <s v="Not applicable"/>
    <s v="Does not have a sixth form"/>
    <s v="Roman Catholic"/>
    <s v="Does not apply"/>
    <s v="Christian"/>
    <s v="North East, Yorkshire and the Humber"/>
    <x v="8"/>
    <x v="40"/>
    <s v="Stockton North"/>
    <s v="TS22 5LU"/>
    <n v="2"/>
    <n v="244"/>
    <d v="2020-10-06T00:00:00"/>
    <d v="2020-11-11T00:00:00"/>
  </r>
  <r>
    <s v="Ofsted School Webpage"/>
    <n v="143477"/>
    <n v="8392264"/>
    <s v="Bearwood Primary and Nursery School"/>
    <x v="0"/>
    <s v="Academy Converter"/>
    <d v="2016-10-01T00:00:00"/>
    <s v="Not applicable"/>
    <s v="Does not have a sixth form"/>
    <s v="Does not apply"/>
    <s v="Does not apply"/>
    <s v="Non-denominational"/>
    <s v="South West"/>
    <x v="5"/>
    <x v="108"/>
    <s v="Mid Dorset and North Poole"/>
    <s v="BH11 9UN"/>
    <n v="3"/>
    <n v="205"/>
    <d v="2020-10-06T00:00:00"/>
    <d v="2020-11-11T00:00:00"/>
  </r>
  <r>
    <s v="Ofsted School Webpage"/>
    <n v="145774"/>
    <n v="8064136"/>
    <s v="Acklam Grange School"/>
    <x v="1"/>
    <s v="Academy Converter"/>
    <d v="2018-07-01T00:00:00"/>
    <s v="Non-selective"/>
    <s v="Does not have a sixth form"/>
    <s v="Does not apply"/>
    <s v="Does not apply"/>
    <s v="Non-denominational"/>
    <s v="North East, Yorkshire and the Humber"/>
    <x v="8"/>
    <x v="61"/>
    <s v="Middlesbrough"/>
    <s v="TS5 8PB"/>
    <n v="5"/>
    <n v="1442"/>
    <d v="2020-10-06T00:00:00"/>
    <d v="2020-11-19T00:00:00"/>
  </r>
  <r>
    <s v="Ofsted School Webpage"/>
    <n v="138017"/>
    <n v="8133326"/>
    <s v="Saint Augustine Webster Catholic Voluntary Academy"/>
    <x v="0"/>
    <s v="Academy Converter"/>
    <d v="2012-04-01T00:00:00"/>
    <s v="Non-selective"/>
    <s v="Does not have a sixth form"/>
    <s v="Roman Catholic"/>
    <s v="Does not apply"/>
    <s v="Christian"/>
    <s v="North East, Yorkshire and the Humber"/>
    <x v="0"/>
    <x v="109"/>
    <s v="Scunthorpe"/>
    <s v="DN15 8BU"/>
    <n v="4"/>
    <n v="411"/>
    <d v="2020-10-07T00:00:00"/>
    <d v="2020-11-12T00:00:00"/>
  </r>
  <r>
    <s v="Ofsted School Webpage"/>
    <n v="114033"/>
    <n v="8402232"/>
    <s v="Stanley Burnside Primary School"/>
    <x v="0"/>
    <s v="Community School"/>
    <s v="NULL"/>
    <s v="Not applicable"/>
    <s v="Does not have a sixth form"/>
    <s v="Does not apply"/>
    <s v="Does not apply"/>
    <s v="Non-denominational"/>
    <s v="North East, Yorkshire and the Humber"/>
    <x v="8"/>
    <x v="85"/>
    <s v="North Durham"/>
    <s v="DH9 6QP"/>
    <n v="5"/>
    <n v="205"/>
    <d v="2020-10-07T00:00:00"/>
    <d v="2020-11-19T00:00:00"/>
  </r>
  <r>
    <s v="Ofsted School Webpage"/>
    <n v="113533"/>
    <n v="8794172"/>
    <s v="Sir John Hunt Community Sports College"/>
    <x v="1"/>
    <s v="Foundation School"/>
    <s v="NULL"/>
    <s v="Non-selective"/>
    <s v="Has a sixth form"/>
    <s v="Does not apply"/>
    <s v="Does not apply"/>
    <s v="Non-denominational"/>
    <s v="South West"/>
    <x v="5"/>
    <x v="23"/>
    <s v="Plymouth, Moor View"/>
    <s v="PL5 4AA"/>
    <n v="5"/>
    <n v="771"/>
    <d v="2020-10-08T00:00:00"/>
    <d v="2020-11-12T00:00:00"/>
  </r>
  <r>
    <s v="Ofsted School Webpage"/>
    <n v="123696"/>
    <n v="9332184"/>
    <s v="West Huntspill Community Primary School"/>
    <x v="0"/>
    <s v="Community School"/>
    <s v="NULL"/>
    <s v="Not applicable"/>
    <s v="Does not have a sixth form"/>
    <s v="Does not apply"/>
    <s v="Does not apply"/>
    <s v="Non-denominational"/>
    <s v="South West"/>
    <x v="5"/>
    <x v="34"/>
    <s v="Bridgwater and West Somerset"/>
    <s v="TA9 3QE"/>
    <n v="4"/>
    <n v="107"/>
    <d v="2020-10-08T00:00:00"/>
    <d v="2020-11-11T00:00:00"/>
  </r>
  <r>
    <s v="Ofsted School Webpage"/>
    <n v="114467"/>
    <n v="8452143"/>
    <s v="West Rise Junior School"/>
    <x v="0"/>
    <s v="Community School"/>
    <s v="NULL"/>
    <s v="Not applicable"/>
    <s v="Does not have a sixth form"/>
    <s v="Does not apply"/>
    <s v="Does not apply"/>
    <s v="Non-denominational"/>
    <s v="South East"/>
    <x v="2"/>
    <x v="80"/>
    <s v="Eastbourne"/>
    <s v="BN23 7SL"/>
    <n v="4"/>
    <n v="356"/>
    <d v="2020-10-08T00:00:00"/>
    <d v="2020-11-19T00:00:00"/>
  </r>
  <r>
    <s v="Ofsted School Webpage"/>
    <n v="123551"/>
    <n v="8933350"/>
    <s v="St John's Catholic Primary School"/>
    <x v="0"/>
    <s v="Voluntary Aided School"/>
    <s v="NULL"/>
    <s v="Not applicable"/>
    <s v="Does not have a sixth form"/>
    <s v="Roman Catholic"/>
    <s v="Does not apply"/>
    <s v="Christian"/>
    <s v="West Midlands"/>
    <x v="1"/>
    <x v="78"/>
    <s v="Ludlow"/>
    <s v="WV16 4HW"/>
    <n v="2"/>
    <n v="200"/>
    <d v="2020-10-08T00:00:00"/>
    <d v="2020-11-17T00:00:00"/>
  </r>
  <r>
    <s v="Ofsted School Webpage"/>
    <n v="124552"/>
    <n v="9352034"/>
    <s v="Westgate Community Primary School and Nursery"/>
    <x v="0"/>
    <s v="Community School"/>
    <s v="NULL"/>
    <s v="Not applicable"/>
    <s v="Does not have a sixth form"/>
    <s v="Does not apply"/>
    <s v="Does not apply"/>
    <s v="Non-denominational"/>
    <s v="East of England"/>
    <x v="7"/>
    <x v="14"/>
    <s v="Bury St Edmunds"/>
    <s v="IP33 3JX"/>
    <n v="2"/>
    <n v="335"/>
    <d v="2020-10-08T00:00:00"/>
    <d v="2020-11-24T00:00:00"/>
  </r>
  <r>
    <s v="Ofsted School Webpage"/>
    <n v="122172"/>
    <n v="9292015"/>
    <s v="Swansfield Park Primary School"/>
    <x v="0"/>
    <s v="Community School"/>
    <s v="NULL"/>
    <s v="Not applicable"/>
    <s v="Does not have a sixth form"/>
    <s v="Does not apply"/>
    <s v="Does not apply"/>
    <s v="Non-denominational"/>
    <s v="North East, Yorkshire and the Humber"/>
    <x v="8"/>
    <x v="39"/>
    <s v="Berwick-upon-Tweed"/>
    <s v="NE66 1UL"/>
    <n v="2"/>
    <n v="379"/>
    <d v="2020-10-08T00:00:00"/>
    <d v="2020-11-23T00:00:00"/>
  </r>
  <r>
    <s v="Ofsted School Webpage"/>
    <n v="112385"/>
    <n v="9094152"/>
    <s v="Ulverston Victoria High School"/>
    <x v="1"/>
    <s v="Community School"/>
    <s v="NULL"/>
    <s v="Non-selective"/>
    <s v="Has a sixth form"/>
    <s v="Does not apply"/>
    <s v="Does not apply"/>
    <s v="Non-denominational"/>
    <s v="North West"/>
    <x v="4"/>
    <x v="25"/>
    <s v="Barrow and Furness"/>
    <s v="LA12 0EB"/>
    <n v="1"/>
    <n v="1364"/>
    <d v="2020-10-08T00:00:00"/>
    <d v="2020-11-19T00:00:00"/>
  </r>
  <r>
    <s v="Ofsted School Webpage"/>
    <n v="121281"/>
    <n v="8162014"/>
    <s v="Poppleton Road Primary School"/>
    <x v="0"/>
    <s v="Community School"/>
    <s v="NULL"/>
    <s v="Not applicable"/>
    <s v="Does not have a sixth form"/>
    <s v="Does not apply"/>
    <s v="Does not apply"/>
    <s v="Non-denominational"/>
    <s v="North East, Yorkshire and the Humber"/>
    <x v="0"/>
    <x v="35"/>
    <s v="York Central"/>
    <s v="YO26 4UP"/>
    <n v="3"/>
    <n v="390"/>
    <d v="2020-10-08T00:00:00"/>
    <d v="2020-11-25T00:00:00"/>
  </r>
  <r>
    <s v="Ofsted School Webpage"/>
    <n v="114410"/>
    <n v="8452078"/>
    <s v="Plumpton Primary School"/>
    <x v="0"/>
    <s v="Community School"/>
    <s v="NULL"/>
    <s v="Not applicable"/>
    <s v="Does not have a sixth form"/>
    <s v="Does not apply"/>
    <s v="Does not apply"/>
    <s v="Non-denominational"/>
    <s v="South East"/>
    <x v="2"/>
    <x v="80"/>
    <s v="Lewes"/>
    <s v="BN7 3EB"/>
    <n v="1"/>
    <n v="111"/>
    <d v="2020-10-08T00:00:00"/>
    <d v="2020-11-22T00:00:00"/>
  </r>
  <r>
    <s v="Ofsted School Webpage"/>
    <n v="104859"/>
    <n v="3432023"/>
    <s v="The Grange Primary School"/>
    <x v="0"/>
    <s v="Community School"/>
    <s v="NULL"/>
    <s v="Not applicable"/>
    <s v="Does not have a sixth form"/>
    <s v="Does not apply"/>
    <s v="Does not apply"/>
    <s v="Non-denominational"/>
    <s v="North West"/>
    <x v="4"/>
    <x v="93"/>
    <s v="Bootle"/>
    <s v="L30 0QS"/>
    <n v="5"/>
    <n v="289"/>
    <d v="2020-10-08T00:00:00"/>
    <d v="2020-11-22T00:00:00"/>
  </r>
  <r>
    <s v="Ofsted School Webpage"/>
    <n v="111143"/>
    <n v="8952328"/>
    <s v="Vine Tree Primary School"/>
    <x v="0"/>
    <s v="Community School"/>
    <s v="NULL"/>
    <s v="Not applicable"/>
    <s v="Does not have a sixth form"/>
    <s v="Does not apply"/>
    <s v="Does not apply"/>
    <s v="Non-denominational"/>
    <s v="North West"/>
    <x v="4"/>
    <x v="91"/>
    <s v="Crewe and Nantwich"/>
    <s v="CW2 8AD"/>
    <n v="3"/>
    <n v="198"/>
    <d v="2020-10-08T00:00:00"/>
    <d v="2020-11-22T00:00:00"/>
  </r>
  <r>
    <s v="Ofsted School Webpage"/>
    <n v="119692"/>
    <n v="8903813"/>
    <s v="St Teresa's Catholic Primary School"/>
    <x v="0"/>
    <s v="Voluntary Aided School"/>
    <s v="NULL"/>
    <s v="Not applicable"/>
    <s v="Does not have a sixth form"/>
    <s v="Roman Catholic"/>
    <s v="Does not apply"/>
    <s v="Christian"/>
    <s v="North West"/>
    <x v="4"/>
    <x v="52"/>
    <s v="Blackpool North and Cleveleys"/>
    <s v="FY5 3JW"/>
    <n v="3"/>
    <n v="202"/>
    <d v="2020-10-08T00:00:00"/>
    <d v="2020-11-18T00:00:00"/>
  </r>
  <r>
    <s v="Ofsted School Webpage"/>
    <n v="119510"/>
    <n v="8893500"/>
    <s v="Sacred Heart Roman Catholic Primary School Blackburn"/>
    <x v="0"/>
    <s v="Voluntary Aided School"/>
    <s v="NULL"/>
    <s v="Not applicable"/>
    <s v="Does not have a sixth form"/>
    <s v="Roman Catholic"/>
    <s v="Does not apply"/>
    <s v="Christian"/>
    <s v="North West"/>
    <x v="4"/>
    <x v="90"/>
    <s v="Blackburn"/>
    <s v="BB2 6HQ"/>
    <n v="3"/>
    <n v="169"/>
    <d v="2020-10-08T00:00:00"/>
    <d v="2020-11-11T00:00:00"/>
  </r>
  <r>
    <s v="Ofsted School Webpage"/>
    <n v="123858"/>
    <n v="9333488"/>
    <s v="Our Lady of Mount Carmel Catholic Primary School, Wincanton"/>
    <x v="0"/>
    <s v="Voluntary Aided School"/>
    <s v="NULL"/>
    <s v="Not applicable"/>
    <s v="Does not have a sixth form"/>
    <s v="Roman Catholic"/>
    <s v="Does not apply"/>
    <s v="Christian"/>
    <s v="South West"/>
    <x v="5"/>
    <x v="34"/>
    <s v="Somerton and Frome"/>
    <s v="BA9 9DH"/>
    <n v="2"/>
    <n v="158"/>
    <d v="2020-10-08T00:00:00"/>
    <d v="2020-11-17T00:00:00"/>
  </r>
  <r>
    <s v="Ofsted School Webpage"/>
    <n v="106343"/>
    <n v="3583307"/>
    <s v="St Anne's CofE Primary School"/>
    <x v="0"/>
    <s v="Voluntary Aided School"/>
    <s v="NULL"/>
    <s v="Not applicable"/>
    <s v="Does not have a sixth form"/>
    <s v="Church of England"/>
    <s v="Does not apply"/>
    <s v="Christian"/>
    <s v="North West"/>
    <x v="4"/>
    <x v="106"/>
    <s v="Wythenshawe and Sale East"/>
    <s v="M33 3ES"/>
    <n v="3"/>
    <n v="244"/>
    <d v="2020-10-08T00:00:00"/>
    <d v="2020-11-19T00:00:00"/>
  </r>
  <r>
    <s v="Ofsted School Webpage"/>
    <n v="100446"/>
    <n v="2063527"/>
    <s v="St Mary's CofE Primary School"/>
    <x v="0"/>
    <s v="Voluntary Aided School"/>
    <s v="NULL"/>
    <s v="Not applicable"/>
    <s v="Does not have a sixth form"/>
    <s v="Church of England"/>
    <s v="Does not apply"/>
    <s v="Christian"/>
    <s v="London"/>
    <x v="3"/>
    <x v="70"/>
    <s v="Islington South and Finsbury"/>
    <s v="N1 2EP"/>
    <n v="5"/>
    <n v="198"/>
    <d v="2020-10-08T00:00:00"/>
    <d v="2020-11-30T00:00:00"/>
  </r>
  <r>
    <s v="Ofsted School Webpage"/>
    <n v="119813"/>
    <n v="8885404"/>
    <s v="Baines School"/>
    <x v="1"/>
    <s v="Voluntary Aided School"/>
    <s v="NULL"/>
    <s v="Non-selective"/>
    <s v="Does not have a sixth form"/>
    <s v="None"/>
    <s v="Does not apply"/>
    <s v="Non-denominational"/>
    <s v="North West"/>
    <x v="4"/>
    <x v="27"/>
    <s v="Wyre and Preston North"/>
    <s v="FY6 8BE"/>
    <n v="4"/>
    <n v="841"/>
    <d v="2020-10-08T00:00:00"/>
    <d v="2020-11-19T00:00:00"/>
  </r>
  <r>
    <s v="Ofsted School Webpage"/>
    <n v="133274"/>
    <n v="8913779"/>
    <s v="King Edward Primary School"/>
    <x v="0"/>
    <s v="Community School"/>
    <d v="2001-09-01T00:00:00"/>
    <s v="Not applicable"/>
    <s v="Does not have a sixth form"/>
    <s v="Does not apply"/>
    <s v="Does not apply"/>
    <s v="Non-denominational"/>
    <s v="East Midlands"/>
    <x v="6"/>
    <x v="49"/>
    <s v="Mansfield"/>
    <s v="NG18 2RG"/>
    <n v="4"/>
    <n v="431"/>
    <d v="2020-10-08T00:00:00"/>
    <d v="2020-11-22T00:00:00"/>
  </r>
  <r>
    <s v="Ofsted School Webpage"/>
    <n v="110734"/>
    <n v="8742295"/>
    <s v="Norwood Primary School"/>
    <x v="0"/>
    <s v="Community School"/>
    <s v="NULL"/>
    <s v="Not applicable"/>
    <s v="Does not have a sixth form"/>
    <s v="Does not apply"/>
    <s v="Does not apply"/>
    <s v="Non-denominational"/>
    <s v="East of England"/>
    <x v="7"/>
    <x v="13"/>
    <s v="Peterborough"/>
    <s v="PE4 7DZ"/>
    <n v="4"/>
    <n v="209"/>
    <d v="2020-10-08T00:00:00"/>
    <d v="2020-11-19T00:00:00"/>
  </r>
  <r>
    <s v="Ofsted School Webpage"/>
    <n v="100411"/>
    <n v="2062379"/>
    <s v="Laycock Primary School"/>
    <x v="0"/>
    <s v="Community School"/>
    <s v="NULL"/>
    <s v="Not applicable"/>
    <s v="Does not have a sixth form"/>
    <s v="Does not apply"/>
    <s v="Does not apply"/>
    <s v="Non-denominational"/>
    <s v="London"/>
    <x v="3"/>
    <x v="70"/>
    <s v="Islington South and Finsbury"/>
    <s v="N1 1SW"/>
    <n v="5"/>
    <n v="427"/>
    <d v="2020-10-08T00:00:00"/>
    <d v="2020-11-24T00:00:00"/>
  </r>
  <r>
    <s v="Ofsted School Webpage"/>
    <n v="107283"/>
    <n v="3802168"/>
    <s v="Hoyle Court Primary School"/>
    <x v="0"/>
    <s v="Community School"/>
    <s v="NULL"/>
    <s v="Not applicable"/>
    <s v="Does not have a sixth form"/>
    <s v="Does not apply"/>
    <s v="Does not apply"/>
    <s v="Non-denominational"/>
    <s v="North East, Yorkshire and the Humber"/>
    <x v="0"/>
    <x v="103"/>
    <s v="Shipley"/>
    <s v="BD17 6DN"/>
    <n v="3"/>
    <n v="294"/>
    <d v="2020-10-08T00:00:00"/>
    <d v="2020-11-24T00:00:00"/>
  </r>
  <r>
    <s v="Ofsted School Webpage"/>
    <n v="107242"/>
    <n v="3802093"/>
    <s v="Grove House Primary School"/>
    <x v="0"/>
    <s v="Community School"/>
    <s v="NULL"/>
    <s v="Not applicable"/>
    <s v="Does not have a sixth form"/>
    <s v="Does not apply"/>
    <s v="Does not apply"/>
    <s v="Non-denominational"/>
    <s v="North East, Yorkshire and the Humber"/>
    <x v="0"/>
    <x v="103"/>
    <s v="Bradford East"/>
    <s v="BD2 4ED"/>
    <n v="4"/>
    <n v="441"/>
    <d v="2020-10-08T00:00:00"/>
    <d v="2020-11-19T00:00:00"/>
  </r>
  <r>
    <s v="Ofsted School Webpage"/>
    <n v="131943"/>
    <n v="3332188"/>
    <s v="Hateley Heath Primary School"/>
    <x v="0"/>
    <s v="Community School"/>
    <d v="1999-09-01T00:00:00"/>
    <s v="Not applicable"/>
    <s v="Does not have a sixth form"/>
    <s v="Does not apply"/>
    <s v="Does not apply"/>
    <s v="Non-denominational"/>
    <s v="West Midlands"/>
    <x v="1"/>
    <x v="10"/>
    <s v="West Bromwich East"/>
    <s v="B71 2RP"/>
    <n v="4"/>
    <n v="455"/>
    <d v="2020-10-08T00:00:00"/>
    <d v="2020-11-11T00:00:00"/>
  </r>
  <r>
    <s v="Ofsted School Webpage"/>
    <n v="101900"/>
    <n v="3072170"/>
    <s v="Havelock Primary School and Nursery"/>
    <x v="0"/>
    <s v="Community School"/>
    <s v="NULL"/>
    <s v="Not applicable"/>
    <s v="Does not have a sixth form"/>
    <s v="Does not apply"/>
    <s v="Does not apply"/>
    <s v="Non-denominational"/>
    <s v="London"/>
    <x v="3"/>
    <x v="57"/>
    <s v="Ealing, Southall"/>
    <s v="UB2 4PA"/>
    <n v="4"/>
    <n v="448"/>
    <d v="2020-10-08T00:00:00"/>
    <d v="2020-11-16T00:00:00"/>
  </r>
  <r>
    <s v="Ofsted School Webpage"/>
    <n v="112648"/>
    <n v="8302269"/>
    <s v="Furness Vale Primary and Nursery School"/>
    <x v="0"/>
    <s v="Community School"/>
    <s v="NULL"/>
    <s v="Not applicable"/>
    <s v="Does not have a sixth form"/>
    <s v="Does not apply"/>
    <s v="Does not apply"/>
    <s v="Non-denominational"/>
    <s v="East Midlands"/>
    <x v="6"/>
    <x v="6"/>
    <s v="High Peak"/>
    <s v="SK23 7PQ"/>
    <n v="3"/>
    <n v="94"/>
    <d v="2020-10-08T00:00:00"/>
    <d v="2020-11-17T00:00:00"/>
  </r>
  <r>
    <s v="Ofsted School Webpage"/>
    <n v="103788"/>
    <n v="3322068"/>
    <s v="Foxyards Primary School"/>
    <x v="0"/>
    <s v="Community School"/>
    <s v="NULL"/>
    <s v="Not applicable"/>
    <s v="Does not have a sixth form"/>
    <s v="Does not apply"/>
    <s v="Does not apply"/>
    <s v="Non-denominational"/>
    <s v="West Midlands"/>
    <x v="1"/>
    <x v="110"/>
    <s v="Dudley North"/>
    <s v="DY4 8BH"/>
    <n v="5"/>
    <n v="342"/>
    <d v="2020-10-08T00:00:00"/>
    <d v="2020-11-16T00:00:00"/>
  </r>
  <r>
    <s v="Ofsted School Webpage"/>
    <n v="112523"/>
    <n v="8302062"/>
    <s v="Harpur Hill Primary School"/>
    <x v="0"/>
    <s v="Community School"/>
    <s v="NULL"/>
    <s v="Not applicable"/>
    <s v="Does not have a sixth form"/>
    <s v="Does not apply"/>
    <s v="Does not apply"/>
    <s v="Non-denominational"/>
    <s v="East Midlands"/>
    <x v="6"/>
    <x v="6"/>
    <s v="High Peak"/>
    <s v="SK17 9LP"/>
    <n v="1"/>
    <n v="314"/>
    <d v="2020-10-08T00:00:00"/>
    <d v="2020-11-24T00:00:00"/>
  </r>
  <r>
    <s v="Ofsted School Webpage"/>
    <n v="118262"/>
    <n v="8862109"/>
    <s v="Higham Primary School"/>
    <x v="0"/>
    <s v="Community School"/>
    <s v="NULL"/>
    <s v="Not applicable"/>
    <s v="Does not have a sixth form"/>
    <s v="Does not apply"/>
    <s v="Does not apply"/>
    <s v="Non-denominational"/>
    <s v="South East"/>
    <x v="2"/>
    <x v="7"/>
    <s v="Gravesham"/>
    <s v="ME3 7JL"/>
    <n v="2"/>
    <n v="207"/>
    <d v="2020-10-08T00:00:00"/>
    <d v="2020-11-18T00:00:00"/>
  </r>
  <r>
    <s v="Ofsted School Webpage"/>
    <n v="119137"/>
    <n v="8882027"/>
    <s v="Lancaster Road Primary School"/>
    <x v="0"/>
    <s v="Community School"/>
    <s v="NULL"/>
    <s v="Not applicable"/>
    <s v="Does not have a sixth form"/>
    <s v="Does not apply"/>
    <s v="Does not apply"/>
    <s v="Non-denominational"/>
    <s v="North West"/>
    <x v="4"/>
    <x v="27"/>
    <s v="Morecambe and Lunesdale"/>
    <s v="LA4 5TH"/>
    <n v="4"/>
    <n v="536"/>
    <d v="2020-10-08T00:00:00"/>
    <d v="2020-11-24T00:00:00"/>
  </r>
  <r>
    <s v="Ofsted School Webpage"/>
    <n v="122473"/>
    <n v="8912150"/>
    <s v="Woodland View Primary School"/>
    <x v="0"/>
    <s v="Community School"/>
    <s v="NULL"/>
    <s v="Not applicable"/>
    <s v="Does not have a sixth form"/>
    <s v="Does not apply"/>
    <s v="Does not apply"/>
    <s v="Non-denominational"/>
    <s v="East Midlands"/>
    <x v="6"/>
    <x v="49"/>
    <s v="Ashfield"/>
    <s v="NG17 2LH"/>
    <n v="4"/>
    <n v="381"/>
    <d v="2020-10-08T00:00:00"/>
    <d v="2020-11-16T00:00:00"/>
  </r>
  <r>
    <s v="Ofsted School Webpage"/>
    <n v="113335"/>
    <n v="8782715"/>
    <s v="Modbury Primary School"/>
    <x v="0"/>
    <s v="Community School"/>
    <s v="NULL"/>
    <s v="Not applicable"/>
    <s v="Does not have a sixth form"/>
    <s v="Does not apply"/>
    <s v="Does not apply"/>
    <s v="Non-denominational"/>
    <s v="South West"/>
    <x v="5"/>
    <x v="62"/>
    <s v="South West Devon"/>
    <s v="PL21 0RB"/>
    <n v="2"/>
    <n v="180"/>
    <d v="2020-10-08T00:00:00"/>
    <d v="2020-11-16T00:00:00"/>
  </r>
  <r>
    <s v="Ofsted School Webpage"/>
    <n v="116431"/>
    <n v="8504163"/>
    <s v="Harrow Way Community School"/>
    <x v="1"/>
    <s v="Community School"/>
    <s v="NULL"/>
    <s v="Non-selective"/>
    <s v="Does not have a sixth form"/>
    <s v="Does not apply"/>
    <s v="Does not apply"/>
    <s v="Non-denominational"/>
    <s v="South East"/>
    <x v="2"/>
    <x v="2"/>
    <s v="North West Hampshire"/>
    <s v="SP10 3RH"/>
    <n v="2"/>
    <n v="937"/>
    <d v="2020-10-08T00:00:00"/>
    <d v="2020-11-16T00:00:00"/>
  </r>
  <r>
    <s v="Ofsted School Webpage"/>
    <n v="103300"/>
    <n v="3302254"/>
    <s v="Blakesley Hall Primary School"/>
    <x v="0"/>
    <s v="Community School"/>
    <s v="NULL"/>
    <s v="Not applicable"/>
    <s v="Not applicable"/>
    <s v="Does not apply"/>
    <s v="Does not apply"/>
    <s v="Non-denominational"/>
    <s v="West Midlands"/>
    <x v="1"/>
    <x v="8"/>
    <s v="Birmingham, Yardley"/>
    <s v="B33 8TH"/>
    <n v="5"/>
    <n v="611"/>
    <d v="2020-10-08T00:00:00"/>
    <d v="2020-11-16T00:00:00"/>
  </r>
  <r>
    <s v="Ofsted School Webpage"/>
    <n v="117221"/>
    <n v="9192226"/>
    <s v="Almond Hill Junior School"/>
    <x v="0"/>
    <s v="Community School"/>
    <s v="NULL"/>
    <s v="Not applicable"/>
    <s v="Does not have a sixth form"/>
    <s v="Does not apply"/>
    <s v="Does not apply"/>
    <s v="Non-denominational"/>
    <s v="East of England"/>
    <x v="7"/>
    <x v="56"/>
    <s v="Stevenage"/>
    <s v="SG1 3RP"/>
    <n v="3"/>
    <n v="285"/>
    <d v="2020-10-08T00:00:00"/>
    <d v="2020-11-11T00:00:00"/>
  </r>
  <r>
    <s v="Ofsted School Webpage"/>
    <n v="110602"/>
    <n v="8732002"/>
    <s v="Bassingbourn Primary School"/>
    <x v="0"/>
    <s v="Community School"/>
    <s v="NULL"/>
    <s v="Not applicable"/>
    <s v="Does not have a sixth form"/>
    <s v="Does not apply"/>
    <s v="Does not apply"/>
    <s v="Non-denominational"/>
    <s v="East of England"/>
    <x v="7"/>
    <x v="43"/>
    <s v="South Cambridgeshire"/>
    <s v="SG8 5NP"/>
    <n v="1"/>
    <n v="344"/>
    <d v="2020-10-08T00:00:00"/>
    <d v="2020-11-16T00:00:00"/>
  </r>
  <r>
    <s v="Ofsted School Webpage"/>
    <n v="105032"/>
    <n v="3442232"/>
    <s v="Black Horse Hill Junior School"/>
    <x v="0"/>
    <s v="Community School"/>
    <s v="NULL"/>
    <s v="Not applicable"/>
    <s v="Does not have a sixth form"/>
    <s v="Does not apply"/>
    <s v="Does not apply"/>
    <s v="Non-denominational"/>
    <s v="North West"/>
    <x v="4"/>
    <x v="92"/>
    <s v="Wirral West"/>
    <s v="CH48 6DR"/>
    <n v="2"/>
    <n v="206"/>
    <d v="2020-10-08T00:00:00"/>
    <d v="2020-11-11T00:00:00"/>
  </r>
  <r>
    <s v="Ofsted School Webpage"/>
    <n v="100457"/>
    <n v="2064324"/>
    <s v="Elizabeth Garrett Anderson School"/>
    <x v="1"/>
    <s v="Community School"/>
    <s v="NULL"/>
    <s v="Non-selective"/>
    <s v="Does not have a sixth form"/>
    <s v="Does not apply"/>
    <s v="Does not apply"/>
    <s v="Non-denominational"/>
    <s v="London"/>
    <x v="3"/>
    <x v="70"/>
    <s v="Islington South and Finsbury"/>
    <s v="N1 9QG"/>
    <n v="5"/>
    <n v="892"/>
    <d v="2020-10-08T00:00:00"/>
    <d v="2020-11-19T00:00:00"/>
  </r>
  <r>
    <s v="Ofsted School Webpage"/>
    <n v="103333"/>
    <n v="3302313"/>
    <s v="Heath Mount Primary School"/>
    <x v="0"/>
    <s v="Community School"/>
    <s v="NULL"/>
    <s v="Not applicable"/>
    <s v="Not applicable"/>
    <s v="Does not apply"/>
    <s v="Does not apply"/>
    <s v="Non-denominational"/>
    <s v="West Midlands"/>
    <x v="1"/>
    <x v="8"/>
    <s v="Birmingham, Hall Green"/>
    <s v="B12 9SR"/>
    <n v="5"/>
    <n v="358"/>
    <d v="2020-10-08T00:00:00"/>
    <d v="2020-11-11T00:00:00"/>
  </r>
  <r>
    <s v="Ofsted School Webpage"/>
    <n v="113209"/>
    <n v="8782431"/>
    <s v="Decoy Primary School"/>
    <x v="0"/>
    <s v="Community School"/>
    <s v="NULL"/>
    <s v="Not applicable"/>
    <s v="Does not have a sixth form"/>
    <s v="Does not apply"/>
    <s v="Does not apply"/>
    <s v="Non-denominational"/>
    <s v="South West"/>
    <x v="5"/>
    <x v="62"/>
    <s v="Newton Abbot"/>
    <s v="TQ12 1DH"/>
    <n v="3"/>
    <n v="439"/>
    <d v="2020-10-08T00:00:00"/>
    <d v="2020-11-16T00:00:00"/>
  </r>
  <r>
    <s v="Ofsted School Webpage"/>
    <n v="136281"/>
    <n v="3055406"/>
    <s v="Kemnal Technology College"/>
    <x v="1"/>
    <s v="Academy Converter"/>
    <d v="2010-09-01T00:00:00"/>
    <s v="Non-selective"/>
    <s v="Has a sixth form"/>
    <s v="None"/>
    <s v="Does not apply"/>
    <s v="Non-denominational"/>
    <s v="London"/>
    <x v="3"/>
    <x v="105"/>
    <s v="Bromley and Chislehurst"/>
    <s v="DA14 5AA"/>
    <n v="5"/>
    <n v="512"/>
    <d v="2020-10-08T00:00:00"/>
    <d v="2020-11-24T00:00:00"/>
  </r>
  <r>
    <s v="Ofsted School Webpage"/>
    <n v="138129"/>
    <n v="8412001"/>
    <s v="Firthmoor Primary School"/>
    <x v="0"/>
    <s v="Academy Converter"/>
    <d v="2012-05-01T00:00:00"/>
    <s v="Not applicable"/>
    <s v="Does not have a sixth form"/>
    <s v="Does not apply"/>
    <s v="Does not apply"/>
    <s v="Non-denominational"/>
    <s v="North East, Yorkshire and the Humber"/>
    <x v="8"/>
    <x v="54"/>
    <s v="Darlington"/>
    <s v="DL1 4RW"/>
    <n v="5"/>
    <n v="313"/>
    <d v="2020-10-08T00:00:00"/>
    <d v="2020-11-17T00:00:00"/>
  </r>
  <r>
    <s v="Ofsted School Webpage"/>
    <n v="141446"/>
    <n v="9363353"/>
    <s v="Queen Eleanor's Church of England School"/>
    <x v="0"/>
    <s v="Academy Converter"/>
    <d v="2014-10-01T00:00:00"/>
    <s v="Not applicable"/>
    <s v="Does not have a sixth form"/>
    <s v="Church of England"/>
    <s v="Does not apply"/>
    <s v="Christian"/>
    <s v="South East"/>
    <x v="2"/>
    <x v="21"/>
    <s v="Guildford"/>
    <s v="GU2 7SD"/>
    <n v="1"/>
    <n v="353"/>
    <d v="2020-10-08T00:00:00"/>
    <d v="2020-11-12T00:00:00"/>
  </r>
  <r>
    <s v="Ofsted School Webpage"/>
    <n v="137131"/>
    <n v="3024208"/>
    <s v="Queen Elizabeth's Girls' School"/>
    <x v="1"/>
    <s v="Academy Converter"/>
    <d v="2011-08-01T00:00:00"/>
    <s v="Non-selective"/>
    <s v="Has a sixth form"/>
    <s v="Does not apply"/>
    <s v="Does not apply"/>
    <s v="Non-denominational"/>
    <s v="London"/>
    <x v="3"/>
    <x v="94"/>
    <s v="Chipping Barnet"/>
    <s v="EN5 5RR"/>
    <n v="3"/>
    <n v="1040"/>
    <d v="2020-10-08T00:00:00"/>
    <d v="2020-11-23T00:00:00"/>
  </r>
  <r>
    <s v="Ofsted School Webpage"/>
    <n v="144845"/>
    <n v="8512694"/>
    <s v="Langstone Infant School"/>
    <x v="0"/>
    <s v="Academy Converter"/>
    <d v="2017-10-01T00:00:00"/>
    <s v="Not applicable"/>
    <s v="Does not have a sixth form"/>
    <s v="Does not apply"/>
    <s v="Does not apply"/>
    <s v="Non-denominational"/>
    <s v="South East"/>
    <x v="2"/>
    <x v="58"/>
    <s v="Portsmouth North"/>
    <s v="PO3 6HL"/>
    <n v="3"/>
    <n v="259"/>
    <d v="2020-10-08T00:00:00"/>
    <d v="2020-11-11T00:00:00"/>
  </r>
  <r>
    <s v="Ofsted School Webpage"/>
    <n v="144634"/>
    <n v="8862086"/>
    <s v="Bishop Chavasse Primary School"/>
    <x v="0"/>
    <s v="Free School"/>
    <d v="2017-09-01T00:00:00"/>
    <s v="Unknown"/>
    <s v="Does not have a sixth form"/>
    <s v="Church of England"/>
    <s v="Church of England"/>
    <s v="Christian"/>
    <s v="South East"/>
    <x v="2"/>
    <x v="7"/>
    <s v="Tonbridge and Malling"/>
    <s v="TN11 0FB"/>
    <n v="4"/>
    <n v="161"/>
    <d v="2020-10-08T00:00:00"/>
    <d v="2020-11-22T00:00:00"/>
  </r>
  <r>
    <s v="Ofsted School Webpage"/>
    <n v="141971"/>
    <n v="8884014"/>
    <s v="Eden Boys' School, Preston"/>
    <x v="1"/>
    <s v="Free School"/>
    <d v="2015-09-01T00:00:00"/>
    <s v="Non-selective"/>
    <s v="Has a sixth form"/>
    <s v="Muslim"/>
    <s v="None"/>
    <s v="Muslim"/>
    <s v="North West"/>
    <x v="4"/>
    <x v="27"/>
    <s v="Preston"/>
    <s v="PR1 4BD"/>
    <n v="4"/>
    <n v="580"/>
    <d v="2020-10-08T00:00:00"/>
    <d v="2020-11-19T00:00:00"/>
  </r>
  <r>
    <s v="Ofsted School Webpage"/>
    <n v="138005"/>
    <n v="8662151"/>
    <s v="Seven Fields Primary School"/>
    <x v="0"/>
    <s v="Academy Converter"/>
    <d v="2012-04-01T00:00:00"/>
    <s v="Not applicable"/>
    <s v="Does not have a sixth form"/>
    <s v="Does not apply"/>
    <s v="Does not apply"/>
    <s v="Non-denominational"/>
    <s v="South West"/>
    <x v="5"/>
    <x v="111"/>
    <s v="North Swindon"/>
    <s v="SN2 5DE"/>
    <n v="5"/>
    <n v="336"/>
    <d v="2020-10-08T00:00:00"/>
    <d v="2020-11-22T00:00:00"/>
  </r>
  <r>
    <s v="Ofsted School Webpage"/>
    <n v="141760"/>
    <n v="8913292"/>
    <s v="The Sir Donald Bailey Academy"/>
    <x v="0"/>
    <s v="Academy Converter"/>
    <d v="2015-03-01T00:00:00"/>
    <s v="Not applicable"/>
    <s v="Does not have a sixth form"/>
    <s v="Does not apply"/>
    <s v="Does not apply"/>
    <s v="Non-denominational"/>
    <s v="East Midlands"/>
    <x v="6"/>
    <x v="49"/>
    <s v="Newark"/>
    <s v="NG24 4EP"/>
    <n v="5"/>
    <n v="552"/>
    <d v="2020-10-08T00:00:00"/>
    <d v="2020-11-16T00:00:00"/>
  </r>
  <r>
    <s v="Ofsted School Webpage"/>
    <n v="140254"/>
    <n v="3724020"/>
    <s v="Thrybergh Academy and Sports College"/>
    <x v="1"/>
    <s v="Academy Converter"/>
    <d v="2013-10-01T00:00:00"/>
    <s v="Non-selective"/>
    <s v="Does not have a sixth form"/>
    <s v="Does not apply"/>
    <s v="Does not apply"/>
    <s v="Non-denominational"/>
    <s v="North East, Yorkshire and the Humber"/>
    <x v="0"/>
    <x v="0"/>
    <s v="Wentworth and Dearne"/>
    <s v="S65 4BJ"/>
    <n v="5"/>
    <n v="673"/>
    <d v="2020-10-08T00:00:00"/>
    <d v="2020-11-23T00:00:00"/>
  </r>
  <r>
    <s v="Ofsted School Webpage"/>
    <n v="136528"/>
    <n v="9165200"/>
    <s v="Robinswood Primary Academy"/>
    <x v="0"/>
    <s v="Academy Converter"/>
    <d v="2011-04-01T00:00:00"/>
    <s v="Not applicable"/>
    <s v="Not applicable"/>
    <s v="None"/>
    <s v="Does not apply"/>
    <s v="Non-denominational"/>
    <s v="South West"/>
    <x v="5"/>
    <x v="28"/>
    <s v="Gloucester"/>
    <s v="GL4 6HE"/>
    <n v="5"/>
    <n v="440"/>
    <d v="2020-10-08T00:00:00"/>
    <d v="2020-11-11T00:00:00"/>
  </r>
  <r>
    <s v="Ofsted School Webpage"/>
    <n v="140790"/>
    <n v="9082224"/>
    <s v="Troon Community Primary School"/>
    <x v="0"/>
    <s v="Academy Converter"/>
    <d v="2014-04-01T00:00:00"/>
    <s v="Not applicable"/>
    <s v="Does not have a sixth form"/>
    <s v="Does not apply"/>
    <s v="Does not apply"/>
    <s v="Non-denominational"/>
    <s v="South West"/>
    <x v="5"/>
    <x v="42"/>
    <s v="Camborne and Redruth"/>
    <s v="TR14 9ED"/>
    <n v="4"/>
    <n v="170"/>
    <d v="2020-10-08T00:00:00"/>
    <d v="2020-11-22T00:00:00"/>
  </r>
  <r>
    <s v="Ofsted School Webpage"/>
    <n v="138059"/>
    <n v="3304323"/>
    <s v="Rockwood Academy"/>
    <x v="1"/>
    <s v="Academy Converter"/>
    <d v="2012-04-01T00:00:00"/>
    <s v="Non-selective"/>
    <s v="Does not have a sixth form"/>
    <s v="Does not apply"/>
    <s v="Does not apply"/>
    <s v="Non-denominational"/>
    <s v="West Midlands"/>
    <x v="1"/>
    <x v="8"/>
    <s v="Birmingham, Hodge Hill"/>
    <s v="B8 3HG"/>
    <n v="5"/>
    <n v="785"/>
    <d v="2020-10-08T00:00:00"/>
    <d v="2020-11-16T00:00:00"/>
  </r>
  <r>
    <s v="Ofsted School Webpage"/>
    <n v="136958"/>
    <n v="9254049"/>
    <s v="Caistor Yarborough Academy"/>
    <x v="1"/>
    <s v="Academy Converter"/>
    <d v="2011-08-01T00:00:00"/>
    <s v="Non-selective"/>
    <s v="Does not have a sixth form"/>
    <s v="Does not apply"/>
    <s v="Does not apply"/>
    <s v="Non-denominational"/>
    <s v="East Midlands"/>
    <x v="6"/>
    <x v="18"/>
    <s v="Gainsborough"/>
    <s v="LN7 6QZ"/>
    <n v="3"/>
    <n v="373"/>
    <d v="2020-10-08T00:00:00"/>
    <d v="2020-11-15T00:00:00"/>
  </r>
  <r>
    <s v="Ofsted School Webpage"/>
    <n v="140018"/>
    <n v="8152000"/>
    <s v="Thomas Hinderwell Primary Academy"/>
    <x v="0"/>
    <s v="Academy Sponsor Led"/>
    <d v="2013-11-01T00:00:00"/>
    <s v="Not applicable"/>
    <s v="Does not have a sixth form"/>
    <s v="Does not apply"/>
    <s v="None"/>
    <s v="Non-denominational"/>
    <s v="North East, Yorkshire and the Humber"/>
    <x v="0"/>
    <x v="60"/>
    <s v="Scarborough and Whitby"/>
    <s v="YO12 4HF"/>
    <n v="5"/>
    <n v="270"/>
    <d v="2020-10-08T00:00:00"/>
    <d v="2020-11-25T00:00:00"/>
  </r>
  <r>
    <s v="Ofsted School Webpage"/>
    <n v="138359"/>
    <n v="8553059"/>
    <s v="Great Bowden Academy, A Church of England Primary School"/>
    <x v="0"/>
    <s v="Academy Converter"/>
    <d v="2012-07-01T00:00:00"/>
    <s v="Not applicable"/>
    <s v="Does not have a sixth form"/>
    <s v="Church of England"/>
    <s v="Does not apply"/>
    <s v="Christian"/>
    <s v="East Midlands"/>
    <x v="6"/>
    <x v="112"/>
    <s v="Harborough"/>
    <s v="LE16 7HZ"/>
    <n v="1"/>
    <n v="138"/>
    <d v="2020-10-08T00:00:00"/>
    <d v="2020-11-16T00:00:00"/>
  </r>
  <r>
    <s v="Ofsted School Webpage"/>
    <n v="137656"/>
    <n v="9194140"/>
    <s v="King James Academy Royston"/>
    <x v="1"/>
    <s v="Academy Converter"/>
    <d v="2011-11-01T00:00:00"/>
    <s v="Non-selective"/>
    <s v="Has a sixth form"/>
    <s v="Does not apply"/>
    <s v="Does not apply"/>
    <s v="Non-denominational"/>
    <s v="East of England"/>
    <x v="7"/>
    <x v="56"/>
    <s v="North East Hertfordshire"/>
    <s v="SG8 7JH"/>
    <n v="1"/>
    <n v="861"/>
    <d v="2020-10-08T00:00:00"/>
    <d v="2020-11-29T00:00:00"/>
  </r>
  <r>
    <s v="Ofsted School Webpage"/>
    <n v="136903"/>
    <n v="8505418"/>
    <s v="The Petersfield School"/>
    <x v="1"/>
    <s v="Academy Converter"/>
    <d v="2011-07-01T00:00:00"/>
    <s v="Non-selective"/>
    <s v="Does not have a sixth form"/>
    <s v="None"/>
    <s v="Does not apply"/>
    <s v="Non-denominational"/>
    <s v="South East"/>
    <x v="2"/>
    <x v="2"/>
    <s v="East Hampshire"/>
    <s v="GU32 3LU"/>
    <n v="1"/>
    <n v="1394"/>
    <d v="2020-10-08T00:00:00"/>
    <d v="2020-11-15T00:00:00"/>
  </r>
  <r>
    <s v="Ofsted School Webpage"/>
    <n v="136530"/>
    <n v="8575406"/>
    <s v="Catmose College"/>
    <x v="1"/>
    <s v="Academy Converter"/>
    <d v="2011-04-01T00:00:00"/>
    <s v="Non-selective"/>
    <s v="Does not have a sixth form"/>
    <s v="None"/>
    <s v="Does not apply"/>
    <s v="Non-denominational"/>
    <s v="East Midlands"/>
    <x v="6"/>
    <x v="51"/>
    <s v="Rutland and Melton"/>
    <s v="LE15 6RP"/>
    <n v="1"/>
    <n v="1017"/>
    <d v="2020-10-08T00:00:00"/>
    <d v="2020-11-22T00:00:00"/>
  </r>
  <r>
    <s v="Ofsted School Webpage"/>
    <n v="138738"/>
    <n v="8863128"/>
    <s v="Sturry Church of England Primary School"/>
    <x v="0"/>
    <s v="Academy Converter"/>
    <d v="2012-09-01T00:00:00"/>
    <s v="Not applicable"/>
    <s v="Does not have a sixth form"/>
    <s v="Church of England"/>
    <s v="Does not apply"/>
    <s v="Christian"/>
    <s v="South East"/>
    <x v="2"/>
    <x v="7"/>
    <s v="Canterbury"/>
    <s v="CT2 0NR"/>
    <n v="3"/>
    <n v="398"/>
    <d v="2020-10-08T00:00:00"/>
    <d v="2020-11-25T00:00:00"/>
  </r>
  <r>
    <s v="Ofsted School Webpage"/>
    <n v="136409"/>
    <n v="3414797"/>
    <s v="The De La Salle Academy"/>
    <x v="1"/>
    <s v="Academy Sponsor Led"/>
    <d v="2011-01-01T00:00:00"/>
    <s v="Non-selective"/>
    <s v="Has a sixth form"/>
    <s v="Roman Catholic"/>
    <s v="None"/>
    <s v="Christian"/>
    <s v="North West"/>
    <x v="4"/>
    <x v="29"/>
    <s v="Liverpool, West Derby"/>
    <s v="L11 4SG"/>
    <n v="5"/>
    <n v="376"/>
    <d v="2020-10-08T00:00:00"/>
    <d v="2020-11-25T00:00:00"/>
  </r>
  <r>
    <s v="Ofsted School Webpage"/>
    <n v="139282"/>
    <n v="3834055"/>
    <s v="John Smeaton Academy"/>
    <x v="1"/>
    <s v="Academy Sponsor Led"/>
    <d v="2014-01-01T00:00:00"/>
    <s v="Non-selective"/>
    <s v="Has a sixth form"/>
    <s v="Does not apply"/>
    <s v="None"/>
    <s v="Non-denominational"/>
    <s v="North East, Yorkshire and the Humber"/>
    <x v="0"/>
    <x v="26"/>
    <s v="Leeds East"/>
    <s v="LS15 8TA"/>
    <n v="5"/>
    <n v="804"/>
    <d v="2020-10-08T00:00:00"/>
    <d v="2020-11-23T00:00:00"/>
  </r>
  <r>
    <s v="Ofsted School Webpage"/>
    <n v="103619"/>
    <n v="3307040"/>
    <s v="Mayfield School"/>
    <x v="2"/>
    <s v="Community Special School"/>
    <s v="NULL"/>
    <s v="Not applicable"/>
    <s v="Has a sixth form"/>
    <s v="Does not apply"/>
    <s v="Does not apply"/>
    <s v="Non-denominational"/>
    <s v="West Midlands"/>
    <x v="1"/>
    <x v="8"/>
    <s v="Birmingham, Ladywood"/>
    <s v="B19 2EP"/>
    <n v="5"/>
    <n v="299"/>
    <d v="2020-10-08T00:00:00"/>
    <d v="2020-11-11T00:00:00"/>
  </r>
  <r>
    <s v="Ofsted School Webpage"/>
    <n v="140658"/>
    <n v="3362012"/>
    <s v="Berrybrook Primary School"/>
    <x v="0"/>
    <s v="Academy Sponsor Led"/>
    <d v="2014-04-01T00:00:00"/>
    <s v="Unknown"/>
    <s v="Does not have a sixth form"/>
    <s v="Does not apply"/>
    <s v="None"/>
    <s v="Non-denominational"/>
    <s v="West Midlands"/>
    <x v="1"/>
    <x v="1"/>
    <s v="Wolverhampton North East"/>
    <s v="WV10 8NZ"/>
    <n v="5"/>
    <n v="257"/>
    <d v="2020-10-08T00:00:00"/>
    <d v="2020-11-25T00:00:00"/>
  </r>
  <r>
    <s v="Ofsted School Webpage"/>
    <n v="135653"/>
    <n v="8816907"/>
    <s v="Maltings Academy"/>
    <x v="1"/>
    <s v="Academy Sponsor Led"/>
    <d v="2008-09-01T00:00:00"/>
    <s v="Non-selective"/>
    <s v="Has a sixth form"/>
    <s v="Does not apply"/>
    <s v="None"/>
    <s v="Non-denominational"/>
    <s v="East of England"/>
    <x v="7"/>
    <x v="75"/>
    <s v="Witham"/>
    <s v="CM8 1EP"/>
    <n v="3"/>
    <n v="987"/>
    <d v="2020-10-08T00:00:00"/>
    <d v="2020-11-23T00:00:00"/>
  </r>
  <r>
    <s v="Ofsted School Webpage"/>
    <n v="104271"/>
    <n v="3357004"/>
    <s v="The Jane Lane School,  A College for Cognition &amp; Learning"/>
    <x v="2"/>
    <s v="Community Special School"/>
    <s v="NULL"/>
    <s v="Not applicable"/>
    <s v="Has a sixth form"/>
    <s v="Does not apply"/>
    <s v="Does not apply"/>
    <s v="Non-denominational"/>
    <s v="West Midlands"/>
    <x v="1"/>
    <x v="73"/>
    <s v="Walsall South"/>
    <s v="WS2 0JH"/>
    <n v="5"/>
    <n v="123"/>
    <d v="2020-10-08T00:00:00"/>
    <d v="2020-11-11T00:00:00"/>
  </r>
  <r>
    <s v="Ofsted School Webpage"/>
    <n v="141989"/>
    <n v="3057001"/>
    <s v="Bromley Beacon Academy"/>
    <x v="2"/>
    <s v="Academy Special Sponsor Led"/>
    <d v="2016-02-01T00:00:00"/>
    <s v="Not applicable"/>
    <s v="Has a sixth form"/>
    <s v="Does not apply"/>
    <s v="None"/>
    <s v="Non-denominational"/>
    <s v="London"/>
    <x v="3"/>
    <x v="105"/>
    <s v="Orpington"/>
    <s v="BR6 9BD"/>
    <n v="4"/>
    <n v="119"/>
    <d v="2020-10-08T00:00:00"/>
    <d v="2020-11-24T00:00:00"/>
  </r>
  <r>
    <s v="Ofsted School Webpage"/>
    <n v="108652"/>
    <n v="3927001"/>
    <s v="Woodlawn School"/>
    <x v="2"/>
    <s v="Foundation Special School"/>
    <s v="NULL"/>
    <s v="Not applicable"/>
    <s v="Has a sixth form"/>
    <s v="Does not apply"/>
    <s v="Does not apply"/>
    <s v="Non-denominational"/>
    <s v="North East, Yorkshire and the Humber"/>
    <x v="8"/>
    <x v="113"/>
    <s v="Tynemouth"/>
    <s v="NE25 9DL"/>
    <n v="4"/>
    <n v="111"/>
    <d v="2020-10-08T00:00:00"/>
    <d v="2020-11-19T00:00:00"/>
  </r>
  <r>
    <s v="Ofsted School Webpage"/>
    <n v="133397"/>
    <n v="3907010"/>
    <s v="Eslington Primary School"/>
    <x v="2"/>
    <s v="Community Special School"/>
    <d v="2001-09-01T00:00:00"/>
    <s v="Not applicable"/>
    <s v="Not applicable"/>
    <s v="Does not apply"/>
    <s v="Does not apply"/>
    <s v="Non-denominational"/>
    <s v="North East, Yorkshire and the Humber"/>
    <x v="8"/>
    <x v="114"/>
    <s v="Gateshead"/>
    <s v="NE8 2EP"/>
    <n v="4"/>
    <n v="61"/>
    <d v="2020-10-08T00:00:00"/>
    <d v="2020-11-19T00:00:00"/>
  </r>
  <r>
    <s v="Ofsted School Webpage"/>
    <n v="125661"/>
    <n v="9373146"/>
    <s v="St Nicholas CofE Primary School"/>
    <x v="0"/>
    <s v="Voluntary Controlled School"/>
    <s v="NULL"/>
    <s v="Not applicable"/>
    <s v="Does not have a sixth form"/>
    <s v="Church of England"/>
    <s v="Does not apply"/>
    <s v="Christian"/>
    <s v="West Midlands"/>
    <x v="1"/>
    <x v="65"/>
    <s v="Kenilworth and Southam"/>
    <s v="CV8 2PE"/>
    <n v="2"/>
    <n v="407"/>
    <d v="2020-10-08T00:00:00"/>
    <d v="2020-11-22T00:00:00"/>
  </r>
  <r>
    <s v="Ofsted School Webpage"/>
    <n v="109221"/>
    <n v="8023119"/>
    <s v="Wrington Church of England Primary School"/>
    <x v="0"/>
    <s v="Voluntary Controlled School"/>
    <s v="NULL"/>
    <s v="Not applicable"/>
    <s v="Does not have a sixth form"/>
    <s v="Church of England"/>
    <s v="Does not apply"/>
    <s v="Christian"/>
    <s v="South West"/>
    <x v="5"/>
    <x v="98"/>
    <s v="North Somerset"/>
    <s v="BS40 5NA"/>
    <n v="1"/>
    <n v="202"/>
    <d v="2020-10-08T00:00:00"/>
    <d v="2020-11-22T00:00:00"/>
  </r>
  <r>
    <s v="Ofsted School Webpage"/>
    <n v="116280"/>
    <n v="8503027"/>
    <s v="Catherington Church of England Infant School"/>
    <x v="0"/>
    <s v="Voluntary Controlled School"/>
    <s v="NULL"/>
    <s v="Not applicable"/>
    <s v="Does not have a sixth form"/>
    <s v="Church of England"/>
    <s v="Does not apply"/>
    <s v="Christian"/>
    <s v="South East"/>
    <x v="2"/>
    <x v="2"/>
    <s v="Meon Valley"/>
    <s v="PO8 0TD"/>
    <n v="1"/>
    <n v="80"/>
    <d v="2020-10-08T00:00:00"/>
    <d v="2020-11-24T00:00:00"/>
  </r>
  <r>
    <s v="Ofsted School Webpage"/>
    <n v="145529"/>
    <n v="9267021"/>
    <s v="Churchill Park Complex Needs School"/>
    <x v="2"/>
    <s v="Academy Special Converter"/>
    <d v="2018-03-01T00:00:00"/>
    <s v="Not applicable"/>
    <s v="Has a sixth form"/>
    <s v="Does not apply"/>
    <s v="Does not apply"/>
    <s v="Non-denominational"/>
    <s v="East of England"/>
    <x v="7"/>
    <x v="33"/>
    <s v="North West Norfolk"/>
    <s v="PE30 4RP"/>
    <n v="3"/>
    <n v="221"/>
    <d v="2020-10-08T00:00:00"/>
    <d v="2020-11-16T00:00:00"/>
  </r>
  <r>
    <s v="Ofsted School Webpage"/>
    <n v="140286"/>
    <n v="8237018"/>
    <s v="Oak Bank School"/>
    <x v="2"/>
    <s v="Academy Special Converter"/>
    <d v="2013-11-01T00:00:00"/>
    <s v="Not applicable"/>
    <s v="Has a sixth form"/>
    <s v="Does not apply"/>
    <s v="None"/>
    <s v="Non-denominational"/>
    <s v="East of England"/>
    <x v="7"/>
    <x v="115"/>
    <s v="South West Bedfordshire"/>
    <s v="LU7 3BE"/>
    <n v="4"/>
    <n v="111"/>
    <d v="2020-10-08T00:00:00"/>
    <d v="2020-11-22T00:00:00"/>
  </r>
  <r>
    <s v="Ofsted School Webpage"/>
    <n v="144575"/>
    <n v="3512033"/>
    <s v="Higher Lane Primary School"/>
    <x v="0"/>
    <s v="Academy Converter"/>
    <d v="2017-07-01T00:00:00"/>
    <s v="Not applicable"/>
    <s v="Does not have a sixth form"/>
    <s v="Does not apply"/>
    <s v="Does not apply"/>
    <s v="Non-denominational"/>
    <s v="North West"/>
    <x v="4"/>
    <x v="96"/>
    <s v="Bury South"/>
    <s v="M45 7EX"/>
    <n v="3"/>
    <n v="459"/>
    <d v="2020-10-08T00:00:00"/>
    <d v="2020-11-26T00:00:00"/>
  </r>
  <r>
    <s v="Ofsted School Webpage"/>
    <n v="143030"/>
    <n v="3502081"/>
    <s v="Red Lane Primary School"/>
    <x v="0"/>
    <s v="Academy Converter"/>
    <d v="2016-08-01T00:00:00"/>
    <s v="Not applicable"/>
    <s v="Does not have a sixth form"/>
    <s v="Does not apply"/>
    <s v="Does not apply"/>
    <s v="Non-denominational"/>
    <s v="North West"/>
    <x v="4"/>
    <x v="116"/>
    <s v="Bolton North East"/>
    <s v="BL2 5HP"/>
    <n v="5"/>
    <n v="502"/>
    <d v="2020-10-08T00:00:00"/>
    <d v="2020-11-11T00:00:00"/>
  </r>
  <r>
    <s v="Ofsted School Webpage"/>
    <n v="107326"/>
    <n v="3803335"/>
    <s v="St Columba's Catholic Primary School"/>
    <x v="0"/>
    <s v="Voluntary Aided School"/>
    <s v="NULL"/>
    <s v="Not applicable"/>
    <s v="Does not have a sixth form"/>
    <s v="Roman Catholic"/>
    <s v="Does not apply"/>
    <s v="Christian"/>
    <s v="North East, Yorkshire and the Humber"/>
    <x v="0"/>
    <x v="103"/>
    <s v="Bradford South"/>
    <s v="BD4 9PY"/>
    <n v="5"/>
    <n v="389"/>
    <d v="2020-10-09T00:00:00"/>
    <d v="2020-11-26T00:00:00"/>
  </r>
  <r>
    <s v="Ofsted School Webpage"/>
    <n v="105247"/>
    <n v="3503364"/>
    <s v="St Teresa's RC Primary School"/>
    <x v="0"/>
    <s v="Voluntary Aided School"/>
    <s v="NULL"/>
    <s v="Not applicable"/>
    <s v="Does not have a sixth form"/>
    <s v="Roman Catholic"/>
    <s v="Does not apply"/>
    <s v="Christian"/>
    <s v="North West"/>
    <x v="4"/>
    <x v="116"/>
    <s v="Bolton South East"/>
    <s v="BL3 1EN"/>
    <n v="3"/>
    <n v="140"/>
    <d v="2020-10-13T00:00:00"/>
    <d v="2020-11-25T00:00:00"/>
  </r>
  <r>
    <s v="Ofsted School Webpage"/>
    <n v="105577"/>
    <n v="3524762"/>
    <s v="St Matthew's RC High School"/>
    <x v="1"/>
    <s v="Voluntary Aided School"/>
    <d v="1899-12-31T00:00:00"/>
    <s v="Non-selective"/>
    <s v="Does not have a sixth form"/>
    <s v="Roman Catholic"/>
    <s v="Does not apply"/>
    <s v="Christian"/>
    <s v="North West"/>
    <x v="4"/>
    <x v="4"/>
    <s v="Blackley and Broughton"/>
    <s v="M40 0EW"/>
    <n v="5"/>
    <n v="1295"/>
    <d v="2020-10-13T00:00:00"/>
    <d v="2020-11-23T00:00:00"/>
  </r>
  <r>
    <s v="Ofsted School Webpage"/>
    <n v="118044"/>
    <n v="8113331"/>
    <s v="Pollington-Balne Church of England Primary School"/>
    <x v="0"/>
    <s v="Voluntary Aided School"/>
    <s v="NULL"/>
    <s v="Not applicable"/>
    <s v="Does not have a sixth form"/>
    <s v="Church of England"/>
    <s v="Does not apply"/>
    <s v="Christian"/>
    <s v="North East, Yorkshire and the Humber"/>
    <x v="0"/>
    <x v="31"/>
    <s v="Brigg and Goole"/>
    <s v="DN14 0DZ"/>
    <n v="2"/>
    <n v="108"/>
    <d v="2020-10-13T00:00:00"/>
    <d v="2020-11-18T00:00:00"/>
  </r>
  <r>
    <s v="Ofsted School Webpage"/>
    <n v="119538"/>
    <n v="8883537"/>
    <s v="Poulton-le-Sands Church of England Primary School"/>
    <x v="0"/>
    <s v="Voluntary Aided School"/>
    <s v="NULL"/>
    <s v="Not applicable"/>
    <s v="Does not have a sixth form"/>
    <s v="Church of England"/>
    <s v="Does not apply"/>
    <s v="Christian"/>
    <s v="North West"/>
    <x v="4"/>
    <x v="27"/>
    <s v="Morecambe and Lunesdale"/>
    <s v="LA4 5QA"/>
    <n v="5"/>
    <n v="179"/>
    <d v="2020-10-13T00:00:00"/>
    <d v="2020-11-19T00:00:00"/>
  </r>
  <r>
    <s v="Ofsted School Webpage"/>
    <n v="134009"/>
    <n v="2053649"/>
    <s v="Larmenier &amp; Sacred Heart Catholic Primary School"/>
    <x v="0"/>
    <s v="Voluntary Aided School"/>
    <d v="2002-09-01T00:00:00"/>
    <s v="Not applicable"/>
    <s v="Does not have a sixth form"/>
    <s v="Roman Catholic"/>
    <s v="Does not apply"/>
    <s v="Christian"/>
    <s v="London"/>
    <x v="3"/>
    <x v="101"/>
    <s v="Hammersmith"/>
    <s v="W6 7BL"/>
    <n v="3"/>
    <n v="440"/>
    <d v="2020-10-13T00:00:00"/>
    <d v="2020-11-23T00:00:00"/>
  </r>
  <r>
    <s v="Ofsted School Webpage"/>
    <n v="133293"/>
    <n v="8054000"/>
    <s v="St Hild's Church of England Voluntary Aided School"/>
    <x v="1"/>
    <s v="Voluntary Aided School"/>
    <d v="2001-09-01T00:00:00"/>
    <s v="Non-selective"/>
    <s v="Does not have a sixth form"/>
    <s v="Church of England"/>
    <s v="Does not apply"/>
    <s v="Christian"/>
    <s v="North East, Yorkshire and the Humber"/>
    <x v="8"/>
    <x v="117"/>
    <s v="Hartlepool"/>
    <s v="TS24 9PB"/>
    <n v="5"/>
    <n v="707"/>
    <d v="2020-10-13T00:00:00"/>
    <d v="2020-11-18T00:00:00"/>
  </r>
  <r>
    <s v="Ofsted School Webpage"/>
    <n v="115239"/>
    <n v="8834733"/>
    <s v="Grays Convent High School"/>
    <x v="1"/>
    <s v="Voluntary Aided School"/>
    <s v="NULL"/>
    <s v="Non-selective"/>
    <s v="Does not have a sixth form"/>
    <s v="Roman Catholic"/>
    <s v="Does not apply"/>
    <s v="Christian"/>
    <s v="East of England"/>
    <x v="7"/>
    <x v="44"/>
    <s v="Thurrock"/>
    <s v="RM17 5UX"/>
    <n v="4"/>
    <n v="643"/>
    <d v="2020-10-13T00:00:00"/>
    <d v="2020-11-24T00:00:00"/>
  </r>
  <r>
    <s v="Ofsted School Webpage"/>
    <n v="105342"/>
    <n v="3513334"/>
    <s v="St Mary's Church of England Aided Primary School, Prestwich"/>
    <x v="0"/>
    <s v="Voluntary Aided School"/>
    <s v="NULL"/>
    <s v="Not applicable"/>
    <s v="Does not have a sixth form"/>
    <s v="Church of England"/>
    <s v="Does not apply"/>
    <s v="Christian"/>
    <s v="North West"/>
    <x v="4"/>
    <x v="96"/>
    <s v="Bury South"/>
    <s v="M25 1BP"/>
    <n v="3"/>
    <n v="236"/>
    <d v="2020-10-13T00:00:00"/>
    <d v="2020-11-18T00:00:00"/>
  </r>
  <r>
    <s v="Ofsted School Webpage"/>
    <n v="102909"/>
    <n v="3183309"/>
    <s v="St Mary Magdalen's Catholic Primary School"/>
    <x v="0"/>
    <s v="Voluntary Aided School"/>
    <s v="NULL"/>
    <s v="Not applicable"/>
    <s v="Does not have a sixth form"/>
    <s v="Roman Catholic"/>
    <s v="Does not apply"/>
    <s v="Christian"/>
    <s v="London"/>
    <x v="3"/>
    <x v="81"/>
    <s v="Richmond Park"/>
    <s v="SW14 8HE"/>
    <n v="1"/>
    <n v="244"/>
    <d v="2020-10-13T00:00:00"/>
    <d v="2020-11-15T00:00:00"/>
  </r>
  <r>
    <s v="Ofsted School Webpage"/>
    <n v="104672"/>
    <n v="3413601"/>
    <s v="St Ambrose Catholic Primary School"/>
    <x v="0"/>
    <s v="Voluntary Aided School"/>
    <s v="NULL"/>
    <s v="Not applicable"/>
    <s v="Does not have a sixth form"/>
    <s v="Roman Catholic"/>
    <s v="Does not apply"/>
    <s v="Christian"/>
    <s v="North West"/>
    <x v="4"/>
    <x v="29"/>
    <s v="Garston and Halewood"/>
    <s v="L24 7SF"/>
    <n v="5"/>
    <n v="228"/>
    <d v="2020-10-13T00:00:00"/>
    <d v="2020-11-18T00:00:00"/>
  </r>
  <r>
    <s v="Ofsted School Webpage"/>
    <n v="103809"/>
    <n v="3322126"/>
    <s v="Withymoor Primary School"/>
    <x v="0"/>
    <s v="Community School"/>
    <s v="NULL"/>
    <s v="Not applicable"/>
    <s v="Does not have a sixth form"/>
    <s v="Does not apply"/>
    <s v="Does not apply"/>
    <s v="Non-denominational"/>
    <s v="West Midlands"/>
    <x v="1"/>
    <x v="110"/>
    <s v="Stourbridge"/>
    <s v="DY5 2BH"/>
    <n v="3"/>
    <n v="413"/>
    <d v="2020-10-13T00:00:00"/>
    <d v="2020-11-15T00:00:00"/>
  </r>
  <r>
    <s v="Ofsted School Webpage"/>
    <n v="111057"/>
    <n v="8962191"/>
    <s v="Winsford High Street Community Primary School"/>
    <x v="0"/>
    <s v="Community School"/>
    <s v="NULL"/>
    <s v="Not applicable"/>
    <s v="Does not have a sixth form"/>
    <s v="Does not apply"/>
    <s v="Does not apply"/>
    <s v="Non-denominational"/>
    <s v="North West"/>
    <x v="4"/>
    <x v="20"/>
    <s v="Eddisbury"/>
    <s v="CW7 2AU"/>
    <n v="4"/>
    <n v="563"/>
    <d v="2020-10-13T00:00:00"/>
    <d v="2020-11-19T00:00:00"/>
  </r>
  <r>
    <s v="Ofsted School Webpage"/>
    <n v="118411"/>
    <n v="8862337"/>
    <s v="St Crispin's Community Primary Infant School"/>
    <x v="0"/>
    <s v="Community School"/>
    <s v="NULL"/>
    <s v="Not applicable"/>
    <s v="Does not have a sixth form"/>
    <s v="Does not apply"/>
    <s v="Does not apply"/>
    <s v="Non-denominational"/>
    <s v="South East"/>
    <x v="2"/>
    <x v="7"/>
    <s v="North Thanet"/>
    <s v="CT8 8EB"/>
    <n v="3"/>
    <n v="269"/>
    <d v="2020-10-13T00:00:00"/>
    <d v="2020-11-22T00:00:00"/>
  </r>
  <r>
    <s v="Ofsted School Webpage"/>
    <n v="135077"/>
    <n v="8113509"/>
    <s v="Thorngumbald Primary School"/>
    <x v="0"/>
    <s v="Community School"/>
    <d v="2007-09-01T00:00:00"/>
    <s v="Not applicable"/>
    <s v="Does not have a sixth form"/>
    <s v="Does not apply"/>
    <s v="Does not apply"/>
    <s v="Non-denominational"/>
    <s v="North East, Yorkshire and the Humber"/>
    <x v="0"/>
    <x v="31"/>
    <s v="Beverley and Holderness"/>
    <s v="HU12 9QQ"/>
    <n v="1"/>
    <n v="215"/>
    <d v="2020-10-13T00:00:00"/>
    <d v="2020-11-12T00:00:00"/>
  </r>
  <r>
    <s v="Ofsted School Webpage"/>
    <n v="120230"/>
    <n v="8563431"/>
    <s v="St John the Baptist CofE Primary School"/>
    <x v="0"/>
    <s v="Voluntary Aided School"/>
    <s v="NULL"/>
    <s v="Not applicable"/>
    <s v="Does not have a sixth form"/>
    <s v="Church of England"/>
    <s v="Does not apply"/>
    <s v="Christian"/>
    <s v="East Midlands"/>
    <x v="6"/>
    <x v="79"/>
    <s v="Leicester South"/>
    <s v="LE2 1TE"/>
    <n v="3"/>
    <n v="545"/>
    <d v="2020-10-13T00:00:00"/>
    <d v="2020-11-18T00:00:00"/>
  </r>
  <r>
    <s v="Ofsted School Webpage"/>
    <n v="109481"/>
    <n v="8232124"/>
    <s v="Southill Lower School"/>
    <x v="0"/>
    <s v="Community School"/>
    <s v="NULL"/>
    <s v="Not applicable"/>
    <s v="Does not have a sixth form"/>
    <s v="Does not apply"/>
    <s v="Does not apply"/>
    <s v="Non-denominational"/>
    <s v="East of England"/>
    <x v="7"/>
    <x v="115"/>
    <s v="Mid Bedfordshire"/>
    <s v="SG18 9JA"/>
    <n v="2"/>
    <n v="61"/>
    <d v="2020-10-13T00:00:00"/>
    <d v="2020-11-24T00:00:00"/>
  </r>
  <r>
    <s v="Ofsted School Webpage"/>
    <n v="113327"/>
    <n v="8792706"/>
    <s v="Tor Bridge Primary School"/>
    <x v="0"/>
    <s v="Community School"/>
    <s v="NULL"/>
    <s v="Not applicable"/>
    <s v="Does not have a sixth form"/>
    <s v="Does not apply"/>
    <s v="Does not apply"/>
    <s v="Non-denominational"/>
    <s v="South West"/>
    <x v="5"/>
    <x v="23"/>
    <s v="Plymouth, Moor View"/>
    <s v="PL6 8EE"/>
    <n v="4"/>
    <n v="170"/>
    <d v="2020-10-13T00:00:00"/>
    <d v="2020-11-18T00:00:00"/>
  </r>
  <r>
    <s v="Ofsted School Webpage"/>
    <n v="101243"/>
    <n v="3014023"/>
    <s v="Eastbrook School"/>
    <x v="1"/>
    <s v="Community School"/>
    <s v="NULL"/>
    <s v="Non-selective"/>
    <s v="Has a sixth form"/>
    <s v="Does not apply"/>
    <s v="Does not apply"/>
    <s v="Non-denominational"/>
    <s v="London"/>
    <x v="3"/>
    <x v="118"/>
    <s v="Dagenham and Rainham"/>
    <s v="RM10 7UR"/>
    <n v="4"/>
    <n v="1190"/>
    <d v="2020-10-13T00:00:00"/>
    <d v="2020-11-23T00:00:00"/>
  </r>
  <r>
    <s v="Ofsted School Webpage"/>
    <n v="104692"/>
    <n v="3414420"/>
    <s v="Fazakerley High School"/>
    <x v="1"/>
    <s v="Community School"/>
    <s v="NULL"/>
    <s v="Non-selective"/>
    <s v="Does not have a sixth form"/>
    <s v="Does not apply"/>
    <s v="Does not apply"/>
    <s v="Non-denominational"/>
    <s v="North West"/>
    <x v="4"/>
    <x v="29"/>
    <s v="Liverpool, Walton"/>
    <s v="L10 1LB"/>
    <n v="5"/>
    <n v="817"/>
    <d v="2020-10-13T00:00:00"/>
    <d v="2020-11-18T00:00:00"/>
  </r>
  <r>
    <s v="Ofsted School Webpage"/>
    <n v="109116"/>
    <n v="8012312"/>
    <s v="Bishop Road Primary School"/>
    <x v="0"/>
    <s v="Community School"/>
    <s v="NULL"/>
    <s v="Not applicable"/>
    <s v="Does not have a sixth form"/>
    <s v="Does not apply"/>
    <s v="Does not apply"/>
    <s v="Non-denominational"/>
    <s v="South West"/>
    <x v="5"/>
    <x v="38"/>
    <s v="Bristol West"/>
    <s v="BS7 8LS"/>
    <n v="1"/>
    <n v="819"/>
    <d v="2020-10-13T00:00:00"/>
    <d v="2020-11-16T00:00:00"/>
  </r>
  <r>
    <s v="Ofsted School Webpage"/>
    <n v="117361"/>
    <n v="9192462"/>
    <s v="Bengeo Primary School"/>
    <x v="0"/>
    <s v="Community School"/>
    <s v="NULL"/>
    <s v="Not applicable"/>
    <s v="Does not have a sixth form"/>
    <s v="Does not apply"/>
    <s v="Does not apply"/>
    <s v="Non-denominational"/>
    <s v="East of England"/>
    <x v="7"/>
    <x v="56"/>
    <s v="Hertford and Stortford"/>
    <s v="SG14 3DX"/>
    <n v="1"/>
    <n v="462"/>
    <d v="2020-10-13T00:00:00"/>
    <d v="2020-11-11T00:00:00"/>
  </r>
  <r>
    <s v="Ofsted School Webpage"/>
    <n v="131706"/>
    <n v="2042899"/>
    <s v="Betty Layward Primary School"/>
    <x v="0"/>
    <s v="Community School"/>
    <d v="1999-09-01T00:00:00"/>
    <s v="Not applicable"/>
    <s v="Does not have a sixth form"/>
    <s v="Does not apply"/>
    <s v="Does not apply"/>
    <s v="Non-denominational"/>
    <s v="London"/>
    <x v="3"/>
    <x v="12"/>
    <s v="Hackney North and Stoke Newington"/>
    <s v="N16 9EX"/>
    <n v="4"/>
    <n v="446"/>
    <d v="2020-10-13T00:00:00"/>
    <d v="2020-11-25T00:00:00"/>
  </r>
  <r>
    <s v="Ofsted School Webpage"/>
    <n v="103168"/>
    <n v="3302024"/>
    <s v="Birches Green Junior School"/>
    <x v="0"/>
    <s v="Community School"/>
    <s v="NULL"/>
    <s v="Not applicable"/>
    <s v="Not applicable"/>
    <s v="Does not apply"/>
    <s v="Does not apply"/>
    <s v="Non-denominational"/>
    <s v="West Midlands"/>
    <x v="1"/>
    <x v="8"/>
    <s v="Birmingham, Erdington"/>
    <s v="B24 9SR"/>
    <n v="5"/>
    <n v="217"/>
    <d v="2020-10-13T00:00:00"/>
    <d v="2020-11-11T00:00:00"/>
  </r>
  <r>
    <s v="Ofsted School Webpage"/>
    <n v="123672"/>
    <n v="9332106"/>
    <s v="Bowlish Infant School"/>
    <x v="0"/>
    <s v="Community School"/>
    <s v="NULL"/>
    <s v="Not applicable"/>
    <s v="Does not have a sixth form"/>
    <s v="Does not apply"/>
    <s v="Does not apply"/>
    <s v="Non-denominational"/>
    <s v="South West"/>
    <x v="5"/>
    <x v="34"/>
    <s v="Wells"/>
    <s v="BA4 5JQ"/>
    <n v="4"/>
    <n v="108"/>
    <d v="2020-10-13T00:00:00"/>
    <d v="2020-11-18T00:00:00"/>
  </r>
  <r>
    <s v="Ofsted School Webpage"/>
    <n v="112575"/>
    <n v="8302146"/>
    <s v="Charlotte Nursery and Infant School"/>
    <x v="0"/>
    <s v="Community School"/>
    <s v="NULL"/>
    <s v="Not applicable"/>
    <s v="Does not have a sixth form"/>
    <s v="Does not apply"/>
    <s v="Does not apply"/>
    <s v="Non-denominational"/>
    <s v="East Midlands"/>
    <x v="6"/>
    <x v="6"/>
    <s v="Erewash"/>
    <s v="DE7 8LQ"/>
    <n v="4"/>
    <n v="330"/>
    <d v="2020-10-13T00:00:00"/>
    <d v="2020-11-23T00:00:00"/>
  </r>
  <r>
    <s v="Ofsted School Webpage"/>
    <n v="134999"/>
    <n v="8943362"/>
    <s v="Meadows Primary School and Nursery"/>
    <x v="0"/>
    <s v="Community School"/>
    <d v="2005-09-01T00:00:00"/>
    <s v="Not applicable"/>
    <s v="Does not have a sixth form"/>
    <s v="Does not apply"/>
    <s v="Does not apply"/>
    <s v="Non-denominational"/>
    <s v="West Midlands"/>
    <x v="1"/>
    <x v="100"/>
    <s v="Telford"/>
    <s v="TF1 5HF"/>
    <n v="4"/>
    <n v="455"/>
    <d v="2020-10-13T00:00:00"/>
    <d v="2020-11-23T00:00:00"/>
  </r>
  <r>
    <s v="Ofsted School Webpage"/>
    <n v="109548"/>
    <n v="8212239"/>
    <s v="Norton Road Primary School"/>
    <x v="0"/>
    <s v="Community School"/>
    <s v="NULL"/>
    <s v="Not applicable"/>
    <s v="Does not have a sixth form"/>
    <s v="Does not apply"/>
    <s v="Does not apply"/>
    <s v="Non-denominational"/>
    <s v="East of England"/>
    <x v="7"/>
    <x v="32"/>
    <s v="Luton North"/>
    <s v="LU3 2NX"/>
    <n v="4"/>
    <n v="399"/>
    <d v="2020-10-13T00:00:00"/>
    <d v="2020-11-29T00:00:00"/>
  </r>
  <r>
    <s v="Ofsted School Webpage"/>
    <n v="132185"/>
    <n v="3802197"/>
    <s v="Newhall Park Primary School"/>
    <x v="0"/>
    <s v="Community School"/>
    <d v="2000-09-01T00:00:00"/>
    <s v="Not applicable"/>
    <s v="Does not have a sixth form"/>
    <s v="Does not apply"/>
    <s v="Does not apply"/>
    <s v="Non-denominational"/>
    <s v="North East, Yorkshire and the Humber"/>
    <x v="0"/>
    <x v="103"/>
    <s v="Bradford South"/>
    <s v="BD4 6AF"/>
    <n v="4"/>
    <n v="460"/>
    <d v="2020-10-13T00:00:00"/>
    <d v="2020-11-23T00:00:00"/>
  </r>
  <r>
    <s v="Ofsted School Webpage"/>
    <n v="112162"/>
    <n v="9092223"/>
    <s v="Moresby Primary School"/>
    <x v="0"/>
    <s v="Community School"/>
    <s v="NULL"/>
    <s v="Not applicable"/>
    <s v="Does not have a sixth form"/>
    <s v="Does not apply"/>
    <s v="Does not apply"/>
    <s v="Non-denominational"/>
    <s v="North West"/>
    <x v="4"/>
    <x v="25"/>
    <s v="Copeland"/>
    <s v="CA28 8UX"/>
    <n v="2"/>
    <n v="123"/>
    <d v="2020-10-13T00:00:00"/>
    <d v="2020-11-23T00:00:00"/>
  </r>
  <r>
    <s v="Ofsted School Webpage"/>
    <n v="100967"/>
    <n v="2114150"/>
    <s v="Morpeth School"/>
    <x v="1"/>
    <s v="Community School"/>
    <s v="NULL"/>
    <s v="Non-selective"/>
    <s v="Has a sixth form"/>
    <s v="Does not apply"/>
    <s v="Does not apply"/>
    <s v="Non-denominational"/>
    <s v="London"/>
    <x v="3"/>
    <x v="119"/>
    <s v="Bethnal Green and Bow"/>
    <s v="E2 0PX"/>
    <n v="5"/>
    <n v="1522"/>
    <d v="2020-10-13T00:00:00"/>
    <d v="2020-11-19T00:00:00"/>
  </r>
  <r>
    <s v="Ofsted School Webpage"/>
    <n v="101509"/>
    <n v="3042038"/>
    <s v="Park Lane Primary School"/>
    <x v="0"/>
    <s v="Community School"/>
    <s v="NULL"/>
    <s v="Not applicable"/>
    <s v="Does not have a sixth form"/>
    <s v="Does not apply"/>
    <s v="Does not apply"/>
    <s v="Non-denominational"/>
    <s v="London"/>
    <x v="3"/>
    <x v="72"/>
    <s v="Brent North"/>
    <s v="HA9 7RY"/>
    <n v="3"/>
    <n v="460"/>
    <d v="2020-10-13T00:00:00"/>
    <d v="2020-11-11T00:00:00"/>
  </r>
  <r>
    <s v="Ofsted School Webpage"/>
    <n v="125049"/>
    <n v="9362409"/>
    <s v="Moss Lane School"/>
    <x v="0"/>
    <s v="Foundation School"/>
    <s v="NULL"/>
    <s v="Not applicable"/>
    <s v="Does not have a sixth form"/>
    <s v="Does not apply"/>
    <s v="Does not apply"/>
    <s v="Non-denominational"/>
    <s v="South East"/>
    <x v="2"/>
    <x v="21"/>
    <s v="South West Surrey"/>
    <s v="GU7 1EF"/>
    <n v="1"/>
    <n v="174"/>
    <d v="2020-10-13T00:00:00"/>
    <d v="2020-11-11T00:00:00"/>
  </r>
  <r>
    <s v="Ofsted School Webpage"/>
    <n v="113350"/>
    <n v="8783004"/>
    <s v="Burlescombe Church of England Primary School"/>
    <x v="0"/>
    <s v="Voluntary Controlled School"/>
    <s v="NULL"/>
    <s v="Not applicable"/>
    <s v="Does not have a sixth form"/>
    <s v="Church of England"/>
    <s v="Does not apply"/>
    <s v="Christian"/>
    <s v="South West"/>
    <x v="5"/>
    <x v="62"/>
    <s v="Tiverton and Honiton"/>
    <s v="EX16 7JH"/>
    <n v="2"/>
    <n v="52"/>
    <d v="2020-10-13T00:00:00"/>
    <d v="2020-11-18T00:00:00"/>
  </r>
  <r>
    <s v="Ofsted School Webpage"/>
    <n v="124856"/>
    <n v="9354500"/>
    <s v="King Edward VI Church of England Voluntary Controlled Upper School"/>
    <x v="1"/>
    <s v="Voluntary Controlled School"/>
    <s v="NULL"/>
    <s v="Non-selective"/>
    <s v="Does not have a sixth form"/>
    <s v="Church of England"/>
    <s v="Does not apply"/>
    <s v="Christian"/>
    <s v="East of England"/>
    <x v="7"/>
    <x v="14"/>
    <s v="Bury St Edmunds"/>
    <s v="IP33 3BH"/>
    <n v="2"/>
    <n v="1345"/>
    <d v="2020-10-13T00:00:00"/>
    <d v="2020-11-23T00:00:00"/>
  </r>
  <r>
    <s v="Ofsted School Webpage"/>
    <n v="122328"/>
    <n v="9294130"/>
    <s v="Haydon Bridge Community High School and Sports College"/>
    <x v="1"/>
    <s v="Foundation School"/>
    <d v="1899-12-31T00:00:00"/>
    <s v="Non-selective"/>
    <s v="Has a sixth form"/>
    <s v="None"/>
    <s v="Does not apply"/>
    <s v="Non-denominational"/>
    <s v="North East, Yorkshire and the Humber"/>
    <x v="8"/>
    <x v="39"/>
    <s v="Hexham"/>
    <s v="NE47 6LR"/>
    <n v="2"/>
    <n v="405"/>
    <d v="2020-10-13T00:00:00"/>
    <d v="2020-11-22T00:00:00"/>
  </r>
  <r>
    <s v="Ofsted School Webpage"/>
    <n v="120558"/>
    <n v="9253102"/>
    <s v="Swineshead St Mary's Church of England Primary School"/>
    <x v="0"/>
    <s v="Voluntary Controlled School"/>
    <s v="NULL"/>
    <s v="Not applicable"/>
    <s v="Does not have a sixth form"/>
    <s v="Church of England"/>
    <s v="Does not apply"/>
    <s v="Christian"/>
    <s v="East Midlands"/>
    <x v="6"/>
    <x v="18"/>
    <s v="Boston and Skegness"/>
    <s v="PE20 3EN"/>
    <n v="3"/>
    <n v="255"/>
    <d v="2020-10-13T00:00:00"/>
    <d v="2020-11-16T00:00:00"/>
  </r>
  <r>
    <s v="Ofsted School Webpage"/>
    <n v="131644"/>
    <n v="8073396"/>
    <s v="Chaloner Primary School "/>
    <x v="0"/>
    <s v="Foundation School"/>
    <d v="2006-09-01T00:00:00"/>
    <s v="Not applicable"/>
    <s v="Does not have a sixth form"/>
    <s v="Does not apply"/>
    <s v="Does not apply"/>
    <s v="Non-denominational"/>
    <s v="North East, Yorkshire and the Humber"/>
    <x v="8"/>
    <x v="59"/>
    <s v="Middlesbrough South and East Cleveland"/>
    <s v="TS14 6JA"/>
    <n v="5"/>
    <n v="244"/>
    <d v="2020-10-13T00:00:00"/>
    <d v="2020-11-25T00:00:00"/>
  </r>
  <r>
    <s v="Ofsted School Webpage"/>
    <n v="134768"/>
    <n v="3321104"/>
    <s v="Sycamore Short Stay School"/>
    <x v="3"/>
    <s v="Pupil Referral Unit"/>
    <d v="2010-09-01T00:00:00"/>
    <s v="Not applicable"/>
    <s v="Not applicable"/>
    <s v="Does not apply"/>
    <s v="Does not apply"/>
    <s v="Non-denominational"/>
    <s v="West Midlands"/>
    <x v="1"/>
    <x v="110"/>
    <s v="Dudley North"/>
    <s v="DY1 3QE"/>
    <n v="5"/>
    <n v="30"/>
    <d v="2020-10-13T00:00:00"/>
    <d v="2020-11-18T00:00:00"/>
  </r>
  <r>
    <s v="Ofsted School Webpage"/>
    <n v="142050"/>
    <n v="3117004"/>
    <s v="Lime Academy Forest Approach"/>
    <x v="2"/>
    <s v="Academy Special Sponsor Led"/>
    <d v="2015-09-01T00:00:00"/>
    <s v="Not applicable"/>
    <s v="Has a sixth form"/>
    <s v="Does not apply"/>
    <s v="None"/>
    <s v="Non-denominational"/>
    <s v="London"/>
    <x v="3"/>
    <x v="46"/>
    <s v="Hornchurch and Upminster"/>
    <s v="RM3 9YA"/>
    <n v="4"/>
    <n v="124"/>
    <d v="2020-10-13T00:00:00"/>
    <d v="2020-11-26T00:00:00"/>
  </r>
  <r>
    <s v="Ofsted School Webpage"/>
    <n v="141990"/>
    <n v="8252018"/>
    <s v="Ivingswood Academy"/>
    <x v="0"/>
    <s v="Academy Sponsor Led"/>
    <d v="2015-09-01T00:00:00"/>
    <s v="Not applicable"/>
    <s v="Does not have a sixth form"/>
    <s v="Does not apply"/>
    <s v="None"/>
    <s v="Non-denominational"/>
    <s v="South East"/>
    <x v="2"/>
    <x v="120"/>
    <s v="Chesham and Amersham"/>
    <s v="HP5 2BY"/>
    <n v="4"/>
    <n v="183"/>
    <d v="2020-10-13T00:00:00"/>
    <d v="2020-11-16T00:00:00"/>
  </r>
  <r>
    <s v="Ofsted School Webpage"/>
    <n v="139060"/>
    <n v="9284009"/>
    <s v="Lodge Park Academy"/>
    <x v="1"/>
    <s v="Academy Sponsor Led"/>
    <d v="2013-01-01T00:00:00"/>
    <s v="Non-selective"/>
    <s v="Has a sixth form"/>
    <s v="None"/>
    <s v="None"/>
    <s v="Non-denominational"/>
    <s v="East Midlands"/>
    <x v="6"/>
    <x v="64"/>
    <s v="Corby"/>
    <s v="NN17 2JH"/>
    <n v="4"/>
    <n v="884"/>
    <d v="2020-10-13T00:00:00"/>
    <d v="2020-11-19T00:00:00"/>
  </r>
  <r>
    <s v="Ofsted School Webpage"/>
    <n v="140888"/>
    <n v="8732026"/>
    <s v="Kingsfield Primary School"/>
    <x v="0"/>
    <s v="Academy Sponsor Led"/>
    <d v="2014-07-01T00:00:00"/>
    <s v="Not applicable"/>
    <s v="Does not have a sixth form"/>
    <s v="Does not apply"/>
    <s v="None"/>
    <s v="Non-denominational"/>
    <s v="East of England"/>
    <x v="7"/>
    <x v="43"/>
    <s v="North East Cambridgeshire"/>
    <s v="PE16 6ET"/>
    <n v="4"/>
    <n v="460"/>
    <d v="2020-10-13T00:00:00"/>
    <d v="2020-11-24T00:00:00"/>
  </r>
  <r>
    <s v="Ofsted School Webpage"/>
    <n v="141378"/>
    <n v="8394006"/>
    <s v="The Grange School"/>
    <x v="1"/>
    <s v="Academy Sponsor Led"/>
    <d v="2015-02-01T00:00:00"/>
    <s v="Non-selective"/>
    <s v="Has a sixth form"/>
    <s v="Does not apply"/>
    <s v="None"/>
    <s v="Non-denominational"/>
    <s v="South West"/>
    <x v="5"/>
    <x v="108"/>
    <s v="Christchurch"/>
    <s v="BH23 3AU"/>
    <n v="4"/>
    <n v="387"/>
    <d v="2020-10-13T00:00:00"/>
    <d v="2020-11-19T00:00:00"/>
  </r>
  <r>
    <s v="Ofsted School Webpage"/>
    <n v="135721"/>
    <n v="8866915"/>
    <s v="Oasis Academy Isle of Sheppey"/>
    <x v="1"/>
    <s v="Academy Sponsor Led"/>
    <d v="2009-09-01T00:00:00"/>
    <s v="Non-selective"/>
    <s v="Has a sixth form"/>
    <s v="Does not apply"/>
    <s v="None"/>
    <s v="Non-denominational"/>
    <s v="South East"/>
    <x v="2"/>
    <x v="7"/>
    <s v="Sittingbourne and Sheppey"/>
    <s v="ME12 3JQ"/>
    <n v="5"/>
    <n v="1337"/>
    <d v="2020-10-13T00:00:00"/>
    <d v="2020-11-25T00:00:00"/>
  </r>
  <r>
    <s v="Ofsted School Webpage"/>
    <n v="135662"/>
    <n v="8846905"/>
    <s v="The Hereford Academy"/>
    <x v="1"/>
    <s v="Academy Sponsor Led"/>
    <d v="2008-09-01T00:00:00"/>
    <s v="Non-selective"/>
    <s v="Has a sixth form"/>
    <s v="Christian"/>
    <s v="None"/>
    <s v="Christian"/>
    <s v="West Midlands"/>
    <x v="1"/>
    <x v="19"/>
    <s v="Hereford and South Herefordshire"/>
    <s v="HR2 7NG"/>
    <n v="4"/>
    <n v="584"/>
    <d v="2020-10-13T00:00:00"/>
    <d v="2020-11-22T00:00:00"/>
  </r>
  <r>
    <s v="Ofsted School Webpage"/>
    <n v="136577"/>
    <n v="8815403"/>
    <s v="The King John School"/>
    <x v="1"/>
    <s v="Academy Converter"/>
    <d v="2011-04-01T00:00:00"/>
    <s v="Non-selective"/>
    <s v="Has a sixth form"/>
    <s v="None"/>
    <s v="Does not apply"/>
    <s v="Non-denominational"/>
    <s v="East of England"/>
    <x v="7"/>
    <x v="75"/>
    <s v="Castle Point"/>
    <s v="SS7 1RQ"/>
    <n v="2"/>
    <n v="2128"/>
    <d v="2020-10-13T00:00:00"/>
    <d v="2020-11-16T00:00:00"/>
  </r>
  <r>
    <s v="Ofsted School Webpage"/>
    <n v="139441"/>
    <n v="8552069"/>
    <s v="Mercenfeld Primary School"/>
    <x v="0"/>
    <s v="Academy Converter"/>
    <d v="2013-04-01T00:00:00"/>
    <s v="Not applicable"/>
    <s v="Does not have a sixth form"/>
    <s v="Does not apply"/>
    <s v="Does not apply"/>
    <s v="Non-denominational"/>
    <s v="East Midlands"/>
    <x v="6"/>
    <x v="112"/>
    <s v="Bosworth"/>
    <s v="LE67 9WG"/>
    <n v="1"/>
    <n v="321"/>
    <d v="2020-10-13T00:00:00"/>
    <d v="2020-11-26T00:00:00"/>
  </r>
  <r>
    <s v="Ofsted School Webpage"/>
    <n v="140230"/>
    <n v="8553008"/>
    <s v="Barrow Hall Orchard Church of England Primary School"/>
    <x v="0"/>
    <s v="Academy Converter"/>
    <d v="2013-10-01T00:00:00"/>
    <s v="Not applicable"/>
    <s v="Does not have a sixth form"/>
    <s v="Church of England"/>
    <s v="Does not apply"/>
    <s v="Christian"/>
    <s v="East Midlands"/>
    <x v="6"/>
    <x v="112"/>
    <s v="Loughborough"/>
    <s v="LE12 8HP"/>
    <n v="2"/>
    <n v="529"/>
    <d v="2020-10-13T00:00:00"/>
    <d v="2020-11-12T00:00:00"/>
  </r>
  <r>
    <s v="Ofsted School Webpage"/>
    <n v="141588"/>
    <n v="3723328"/>
    <s v="Thrybergh Fullerton Church of England Primary Academy"/>
    <x v="0"/>
    <s v="Academy Converter"/>
    <d v="2015-02-01T00:00:00"/>
    <s v="Not applicable"/>
    <s v="Does not have a sixth form"/>
    <s v="Church of England"/>
    <s v="Does not apply"/>
    <s v="Christian"/>
    <s v="North East, Yorkshire and the Humber"/>
    <x v="0"/>
    <x v="0"/>
    <s v="Wentworth and Dearne"/>
    <s v="S65 4BL"/>
    <n v="5"/>
    <n v="164"/>
    <d v="2020-10-13T00:00:00"/>
    <d v="2020-11-22T00:00:00"/>
  </r>
  <r>
    <s v="Ofsted School Webpage"/>
    <n v="138620"/>
    <n v="9384044"/>
    <s v="Thomas Bennett Community College"/>
    <x v="1"/>
    <s v="Academy Converter"/>
    <d v="2012-09-01T00:00:00"/>
    <s v="Non-selective"/>
    <s v="Has a sixth form"/>
    <s v="Does not apply"/>
    <s v="Does not apply"/>
    <s v="Non-denominational"/>
    <s v="South East"/>
    <x v="2"/>
    <x v="55"/>
    <s v="Crawley"/>
    <s v="RH10 5AD"/>
    <n v="4"/>
    <n v="1018"/>
    <d v="2020-10-13T00:00:00"/>
    <d v="2020-11-22T00:00:00"/>
  </r>
  <r>
    <s v="Ofsted School Webpage"/>
    <n v="141457"/>
    <n v="8073308"/>
    <s v="Saint Joseph's Catholic Primary School, A Catholic Voluntary Academy"/>
    <x v="0"/>
    <s v="Academy Converter"/>
    <d v="2014-10-01T00:00:00"/>
    <s v="Not applicable"/>
    <s v="Does not have a sixth form"/>
    <s v="Roman Catholic"/>
    <s v="Does not apply"/>
    <s v="Christian"/>
    <s v="North East, Yorkshire and the Humber"/>
    <x v="8"/>
    <x v="59"/>
    <s v="Middlesbrough South and East Cleveland"/>
    <s v="TS13 4PZ"/>
    <n v="5"/>
    <n v="181"/>
    <d v="2020-10-13T00:00:00"/>
    <d v="2020-11-23T00:00:00"/>
  </r>
  <r>
    <s v="Ofsted School Webpage"/>
    <n v="142429"/>
    <n v="8863140"/>
    <s v="Kingsnorth Church of England Primary School"/>
    <x v="0"/>
    <s v="Academy Converter"/>
    <d v="2015-11-01T00:00:00"/>
    <s v="Not applicable"/>
    <s v="Does not have a sixth form"/>
    <s v="Church of England"/>
    <s v="Does not apply"/>
    <s v="Christian"/>
    <s v="South East"/>
    <x v="2"/>
    <x v="7"/>
    <s v="Ashford"/>
    <s v="TN23 3EF"/>
    <n v="2"/>
    <n v="421"/>
    <d v="2020-10-13T00:00:00"/>
    <d v="2020-11-25T00:00:00"/>
  </r>
  <r>
    <s v="Ofsted School Webpage"/>
    <n v="144982"/>
    <n v="3542010"/>
    <s v="Alice Ingham Catholic Primary School, A Voluntary Academy"/>
    <x v="0"/>
    <s v="Academy Sponsor Led"/>
    <d v="2017-10-01T00:00:00"/>
    <s v="Not applicable"/>
    <s v="Not applicable"/>
    <s v="Roman Catholic"/>
    <s v="Unknown"/>
    <s v="Christian"/>
    <s v="North West"/>
    <x v="4"/>
    <x v="9"/>
    <s v="Rochdale"/>
    <s v="OL16 2NU"/>
    <n v="5"/>
    <n v="151"/>
    <d v="2020-10-13T00:00:00"/>
    <d v="2020-11-19T00:00:00"/>
  </r>
  <r>
    <s v="Ofsted School Webpage"/>
    <n v="140799"/>
    <n v="3722067"/>
    <s v="Rawmarsh Ashwood Primary School"/>
    <x v="0"/>
    <s v="Academy Converter"/>
    <d v="2014-04-01T00:00:00"/>
    <s v="Not applicable"/>
    <s v="Does not have a sixth form"/>
    <s v="Does not apply"/>
    <s v="Does not apply"/>
    <s v="Non-denominational"/>
    <s v="North East, Yorkshire and the Humber"/>
    <x v="0"/>
    <x v="0"/>
    <s v="Wentworth and Dearne"/>
    <s v="S62 6HT"/>
    <n v="4"/>
    <n v="205"/>
    <d v="2020-10-13T00:00:00"/>
    <d v="2020-11-23T00:00:00"/>
  </r>
  <r>
    <s v="Ofsted School Webpage"/>
    <n v="143306"/>
    <n v="8792708"/>
    <s v="Thornbury Primary School"/>
    <x v="0"/>
    <s v="Academy Converter"/>
    <d v="2016-09-01T00:00:00"/>
    <s v="Not applicable"/>
    <s v="Does not have a sixth form"/>
    <s v="Does not apply"/>
    <s v="Does not apply"/>
    <s v="Non-denominational"/>
    <s v="South West"/>
    <x v="5"/>
    <x v="23"/>
    <s v="Plymouth, Moor View"/>
    <s v="PL6 8UL"/>
    <n v="4"/>
    <n v="285"/>
    <d v="2020-10-13T00:00:00"/>
    <d v="2020-11-22T00:00:00"/>
  </r>
  <r>
    <s v="Ofsted School Webpage"/>
    <n v="137359"/>
    <n v="8902222"/>
    <s v="Westcliff Primary Academy"/>
    <x v="0"/>
    <s v="Academy Converter"/>
    <d v="2011-09-01T00:00:00"/>
    <s v="Not applicable"/>
    <s v="Not applicable"/>
    <s v="Does not apply"/>
    <s v="Does not apply"/>
    <s v="Non-denominational"/>
    <s v="North West"/>
    <x v="4"/>
    <x v="52"/>
    <s v="Blackpool North and Cleveleys"/>
    <s v="FY2 9BY"/>
    <n v="3"/>
    <n v="228"/>
    <d v="2020-10-13T00:00:00"/>
    <d v="2020-11-17T00:00:00"/>
  </r>
  <r>
    <s v="Ofsted School Webpage"/>
    <n v="143209"/>
    <n v="2032919"/>
    <s v="Timbercroft Primary School"/>
    <x v="0"/>
    <s v="Academy Converter"/>
    <d v="2016-09-01T00:00:00"/>
    <s v="Not applicable"/>
    <s v="Does not have a sixth form"/>
    <s v="Does not apply"/>
    <s v="Does not apply"/>
    <s v="Non-denominational"/>
    <s v="London"/>
    <x v="3"/>
    <x v="121"/>
    <s v="Eltham"/>
    <s v="SE18 2SG"/>
    <n v="4"/>
    <n v="405"/>
    <d v="2020-10-13T00:00:00"/>
    <d v="2020-11-18T00:00:00"/>
  </r>
  <r>
    <s v="Ofsted School Webpage"/>
    <n v="141037"/>
    <n v="8101104"/>
    <s v="Aspire Academy"/>
    <x v="3"/>
    <s v="Free School - Alternative Provision"/>
    <d v="2014-09-01T00:00:00"/>
    <s v="Unknown"/>
    <s v="Does not have a sixth form"/>
    <s v="Does not apply"/>
    <s v="Christian"/>
    <s v="Non-denominational"/>
    <s v="North East, Yorkshire and the Humber"/>
    <x v="0"/>
    <x v="122"/>
    <s v="Kingston upon Hull East"/>
    <s v="HU9 5DE"/>
    <n v="5"/>
    <n v="144"/>
    <d v="2020-10-13T00:00:00"/>
    <d v="2020-11-23T00:00:00"/>
  </r>
  <r>
    <s v="Ofsted School Webpage"/>
    <n v="145222"/>
    <n v="8522002"/>
    <s v="Thornhill Primary School"/>
    <x v="0"/>
    <s v="Academy Converter"/>
    <d v="2017-11-01T00:00:00"/>
    <s v="Not applicable"/>
    <s v="Does not have a sixth form"/>
    <s v="Does not apply"/>
    <s v="Does not apply"/>
    <s v="Non-denominational"/>
    <s v="South East"/>
    <x v="2"/>
    <x v="76"/>
    <s v="Southampton, Itchen"/>
    <s v="SO19 6FH"/>
    <n v="5"/>
    <n v="393"/>
    <d v="2020-10-13T00:00:00"/>
    <d v="2020-11-23T00:00:00"/>
  </r>
  <r>
    <s v="Ofsted School Webpage"/>
    <n v="144445"/>
    <n v="9352088"/>
    <s v="Ilketshall St Lawrence School"/>
    <x v="0"/>
    <s v="Academy Converter"/>
    <d v="2017-05-01T00:00:00"/>
    <s v="Not applicable"/>
    <s v="Does not have a sixth form"/>
    <s v="Does not apply"/>
    <s v="Does not apply"/>
    <s v="Non-denominational"/>
    <s v="East of England"/>
    <x v="7"/>
    <x v="14"/>
    <s v="Waveney"/>
    <s v="NR34 8ND"/>
    <n v="2"/>
    <n v="98"/>
    <d v="2020-10-13T00:00:00"/>
    <d v="2020-11-11T00:00:00"/>
  </r>
  <r>
    <s v="Ofsted School Webpage"/>
    <n v="142736"/>
    <n v="8083305"/>
    <s v="St Joseph's Catholic Primary School"/>
    <x v="0"/>
    <s v="Academy Converter"/>
    <d v="2016-04-01T00:00:00"/>
    <s v="Not applicable"/>
    <s v="Does not have a sixth form"/>
    <s v="Roman Catholic"/>
    <s v="Does not apply"/>
    <s v="Christian"/>
    <s v="North East, Yorkshire and the Humber"/>
    <x v="8"/>
    <x v="40"/>
    <s v="Stockton North"/>
    <s v="TS23 3NN"/>
    <n v="4"/>
    <n v="221"/>
    <d v="2020-10-13T00:00:00"/>
    <d v="2020-11-26T00:00:00"/>
  </r>
  <r>
    <s v="Ofsted School Webpage"/>
    <n v="138266"/>
    <n v="3134000"/>
    <s v="Reach Academy Feltham"/>
    <x v="1"/>
    <s v="Free School"/>
    <d v="2012-09-01T00:00:00"/>
    <s v="Non-selective"/>
    <s v="Has a sixth form"/>
    <s v="None"/>
    <s v="None"/>
    <s v="Non-denominational"/>
    <s v="London"/>
    <x v="3"/>
    <x v="37"/>
    <s v="Feltham and Heston"/>
    <s v="TW13 4AB"/>
    <n v="4"/>
    <n v="878"/>
    <d v="2020-10-13T00:00:00"/>
    <d v="2020-11-23T00:00:00"/>
  </r>
  <r>
    <s v="Ofsted School Webpage"/>
    <n v="142802"/>
    <n v="8782031"/>
    <s v="Redhills Primary School"/>
    <x v="0"/>
    <s v="Academy Converter"/>
    <d v="2016-06-01T00:00:00"/>
    <s v="Unknown"/>
    <s v="Does not have a sixth form"/>
    <s v="Does not apply"/>
    <s v="Does not apply"/>
    <s v="Non-denominational"/>
    <s v="South West"/>
    <x v="5"/>
    <x v="62"/>
    <s v="Exeter"/>
    <s v="EX4 2BY"/>
    <n v="4"/>
    <n v="224"/>
    <d v="2020-10-13T00:00:00"/>
    <d v="2020-11-18T00:00:00"/>
  </r>
  <r>
    <s v="Ofsted School Webpage"/>
    <n v="143345"/>
    <n v="8602358"/>
    <s v="Chesterton Primary School"/>
    <x v="0"/>
    <s v="Academy Converter"/>
    <d v="2016-10-01T00:00:00"/>
    <s v="Not applicable"/>
    <s v="Does not have a sixth form"/>
    <s v="Does not apply"/>
    <s v="Does not apply"/>
    <s v="Non-denominational"/>
    <s v="West Midlands"/>
    <x v="1"/>
    <x v="36"/>
    <s v="Newcastle-under-Lyme"/>
    <s v="ST5 7NT"/>
    <n v="5"/>
    <n v="135"/>
    <d v="2020-10-13T00:00:00"/>
    <d v="2020-11-11T00:00:00"/>
  </r>
  <r>
    <s v="Ofsted School Webpage"/>
    <n v="146067"/>
    <n v="8072233"/>
    <s v="Wilton Primary Academy"/>
    <x v="0"/>
    <s v="Academy Converter"/>
    <d v="2018-08-01T00:00:00"/>
    <s v="Not applicable"/>
    <s v="Does not have a sixth form"/>
    <s v="Does not apply"/>
    <s v="Does not apply"/>
    <s v="Non-denominational"/>
    <s v="North East, Yorkshire and the Humber"/>
    <x v="8"/>
    <x v="59"/>
    <s v="Redcar"/>
    <s v="TS6 8DY"/>
    <n v="5"/>
    <n v="58"/>
    <d v="2020-10-13T00:00:00"/>
    <d v="2020-11-19T00:00:00"/>
  </r>
  <r>
    <s v="Ofsted School Webpage"/>
    <n v="147513"/>
    <n v="8662024"/>
    <s v="Orchid Vale Primary School"/>
    <x v="0"/>
    <s v="Academy Sponsor Led"/>
    <d v="2020-10-01T00:00:00"/>
    <s v="Not applicable"/>
    <s v="Does not have a sixth form"/>
    <s v="Does not apply"/>
    <s v="Does not apply"/>
    <s v="Non-denominational"/>
    <s v="South West"/>
    <x v="5"/>
    <x v="111"/>
    <s v="North Swindon"/>
    <s v="SN25 1UG"/>
    <s v="NULL"/>
    <s v="NULL"/>
    <d v="2020-10-13T00:00:00"/>
    <d v="2020-11-16T00:00:00"/>
  </r>
  <r>
    <s v="Ofsted School Webpage"/>
    <n v="147757"/>
    <n v="3304038"/>
    <s v="Starbank School"/>
    <x v="1"/>
    <s v="Academy Sponsor Led"/>
    <d v="2020-10-01T00:00:00"/>
    <s v="Not applicable"/>
    <s v="Does not have a sixth form"/>
    <s v="Does not apply"/>
    <s v="Does not apply"/>
    <s v="Non-denominational"/>
    <s v="West Midlands"/>
    <x v="1"/>
    <x v="8"/>
    <s v="Birmingham, Hodge Hill"/>
    <s v="B10 9BT"/>
    <s v="NULL"/>
    <s v="NULL"/>
    <d v="2020-10-13T00:00:00"/>
    <d v="2020-11-24T00:00:00"/>
  </r>
  <r>
    <s v="Ofsted School Webpage"/>
    <n v="147816"/>
    <n v="8812134"/>
    <s v="Beckers Green Primary School"/>
    <x v="0"/>
    <s v="Academy Converter"/>
    <d v="2020-09-01T00:00:00"/>
    <s v="Not applicable"/>
    <s v="Does not have a sixth form"/>
    <s v="Does not apply"/>
    <s v="Does not apply"/>
    <s v="Non-denominational"/>
    <s v="East of England"/>
    <x v="7"/>
    <x v="75"/>
    <s v="Braintree"/>
    <s v="CM7 3PR"/>
    <s v="NULL"/>
    <s v="NULL"/>
    <d v="2020-10-13T00:00:00"/>
    <d v="2020-11-12T00:00:00"/>
  </r>
  <r>
    <s v="Ofsted School Webpage"/>
    <n v="141856"/>
    <n v="8603150"/>
    <s v="Woodseaves CE Primary Academy"/>
    <x v="0"/>
    <s v="Academy Converter"/>
    <d v="2015-04-01T00:00:00"/>
    <s v="Not applicable"/>
    <s v="Does not have a sixth form"/>
    <s v="Church of England"/>
    <s v="Does not apply"/>
    <s v="Christian"/>
    <s v="West Midlands"/>
    <x v="1"/>
    <x v="36"/>
    <s v="Stone"/>
    <s v="ST20 0LB"/>
    <n v="1"/>
    <n v="95"/>
    <d v="2020-10-14T00:00:00"/>
    <d v="2020-11-11T00:00:00"/>
  </r>
  <r>
    <s v="Ofsted School Webpage"/>
    <n v="143824"/>
    <n v="9262149"/>
    <s v="Edward Worlledge Ormiston Academy"/>
    <x v="0"/>
    <s v="Academy Sponsor Led"/>
    <d v="2017-03-01T00:00:00"/>
    <s v="Not applicable"/>
    <s v="Does not have a sixth form"/>
    <s v="Does not apply"/>
    <s v="Unknown"/>
    <s v="Non-denominational"/>
    <s v="East of England"/>
    <x v="7"/>
    <x v="33"/>
    <s v="Great Yarmouth"/>
    <s v="NR31 0ER"/>
    <n v="5"/>
    <n v="359"/>
    <d v="2020-10-15T00:00:00"/>
    <d v="2020-11-17T00:00:00"/>
  </r>
  <r>
    <s v="Ofsted School Webpage"/>
    <n v="137331"/>
    <n v="2052000"/>
    <s v="Ark Conway Primary Academy"/>
    <x v="0"/>
    <s v="Free School"/>
    <d v="2011-09-01T00:00:00"/>
    <s v="Not applicable"/>
    <s v="Does not have a sixth form"/>
    <s v="None"/>
    <s v="None"/>
    <s v="Non-denominational"/>
    <s v="London"/>
    <x v="3"/>
    <x v="101"/>
    <s v="Hammersmith"/>
    <s v="W12 0QT"/>
    <n v="5"/>
    <n v="207"/>
    <d v="2020-10-15T00:00:00"/>
    <d v="2020-11-24T00:00:00"/>
  </r>
  <r>
    <s v="Ofsted School Webpage"/>
    <n v="138527"/>
    <n v="8554057"/>
    <s v="Thomas Estley Community College"/>
    <x v="1"/>
    <s v="Academy Converter"/>
    <d v="2012-08-01T00:00:00"/>
    <s v="Non-selective"/>
    <s v="Does not have a sixth form"/>
    <s v="Does not apply"/>
    <s v="Does not apply"/>
    <s v="Non-denominational"/>
    <s v="East Midlands"/>
    <x v="6"/>
    <x v="112"/>
    <s v="South Leicestershire"/>
    <s v="LE9 6PT"/>
    <n v="1"/>
    <n v="898"/>
    <d v="2020-10-15T00:00:00"/>
    <d v="2020-11-12T00:00:00"/>
  </r>
  <r>
    <s v="Ofsted School Webpage"/>
    <n v="140788"/>
    <n v="3912890"/>
    <s v="Thomas Walling Primary Academy"/>
    <x v="0"/>
    <s v="Academy Converter"/>
    <d v="2014-04-01T00:00:00"/>
    <s v="Not applicable"/>
    <s v="Does not have a sixth form"/>
    <s v="Does not apply"/>
    <s v="Does not apply"/>
    <s v="Non-denominational"/>
    <s v="North East, Yorkshire and the Humber"/>
    <x v="8"/>
    <x v="83"/>
    <s v="Newcastle upon Tyne Central"/>
    <s v="NE5 3PL"/>
    <n v="5"/>
    <n v="408"/>
    <d v="2020-10-15T00:00:00"/>
    <d v="2020-11-22T00:00:00"/>
  </r>
  <r>
    <s v="Ofsted School Webpage"/>
    <n v="136478"/>
    <n v="9253027"/>
    <s v="Bluecoat Meres Primary Academy"/>
    <x v="0"/>
    <s v="Academy Converter"/>
    <d v="2011-02-01T00:00:00"/>
    <s v="Not applicable"/>
    <s v="Not applicable"/>
    <s v="Church of England"/>
    <s v="Does not apply"/>
    <s v="Christian"/>
    <s v="East Midlands"/>
    <x v="6"/>
    <x v="18"/>
    <s v="Grantham and Stamford"/>
    <s v="NG31 7XQ"/>
    <n v="5"/>
    <n v="323"/>
    <d v="2020-10-15T00:00:00"/>
    <d v="2020-11-18T00:00:00"/>
  </r>
  <r>
    <s v="Ofsted School Webpage"/>
    <n v="141577"/>
    <n v="3112085"/>
    <s v="Drapers' Pyrgo Priory School"/>
    <x v="0"/>
    <s v="Academy Converter"/>
    <d v="2015-02-01T00:00:00"/>
    <s v="Not applicable"/>
    <s v="Does not have a sixth form"/>
    <s v="Does not apply"/>
    <s v="Does not apply"/>
    <s v="Non-denominational"/>
    <s v="London"/>
    <x v="3"/>
    <x v="46"/>
    <s v="Hornchurch and Upminster"/>
    <s v="RM3 9RT"/>
    <n v="4"/>
    <n v="483"/>
    <d v="2020-10-15T00:00:00"/>
    <d v="2020-11-25T00:00:00"/>
  </r>
  <r>
    <s v="Ofsted School Webpage"/>
    <n v="141643"/>
    <n v="3593366"/>
    <s v="St Peter's Church of England Primary School, Hindley"/>
    <x v="0"/>
    <s v="Academy Converter"/>
    <d v="2015-01-01T00:00:00"/>
    <s v="Not applicable"/>
    <s v="Does not have a sixth form"/>
    <s v="Church of England"/>
    <s v="Does not apply"/>
    <s v="Christian"/>
    <s v="North West"/>
    <x v="4"/>
    <x v="123"/>
    <s v="Makerfield"/>
    <s v="WN2 3HY"/>
    <n v="3"/>
    <n v="304"/>
    <d v="2020-10-15T00:00:00"/>
    <d v="2020-11-12T00:00:00"/>
  </r>
  <r>
    <s v="Ofsted School Webpage"/>
    <n v="137528"/>
    <n v="8782474"/>
    <s v="Rydon Primary School"/>
    <x v="0"/>
    <s v="Academy Converter"/>
    <d v="2011-10-01T00:00:00"/>
    <s v="Not applicable"/>
    <s v="Not applicable"/>
    <s v="Does not apply"/>
    <s v="Does not apply"/>
    <s v="Non-denominational"/>
    <s v="South West"/>
    <x v="5"/>
    <x v="62"/>
    <s v="Newton Abbot"/>
    <s v="TQ12 3LP"/>
    <n v="2"/>
    <n v="426"/>
    <d v="2020-10-15T00:00:00"/>
    <d v="2020-11-19T00:00:00"/>
  </r>
  <r>
    <s v="Ofsted School Webpage"/>
    <n v="142045"/>
    <n v="8782057"/>
    <s v="St Peter's Church of England (VA) Junior School"/>
    <x v="0"/>
    <s v="Academy Sponsor Led"/>
    <d v="2015-07-01T00:00:00"/>
    <s v="Not applicable"/>
    <s v="Does not have a sixth form"/>
    <s v="Church of England"/>
    <s v="None"/>
    <s v="Christian"/>
    <s v="South West"/>
    <x v="5"/>
    <x v="62"/>
    <s v="Torridge and West Devon"/>
    <s v="PL19 9HW"/>
    <n v="2"/>
    <n v="140"/>
    <d v="2020-10-15T00:00:00"/>
    <d v="2020-11-22T00:00:00"/>
  </r>
  <r>
    <s v="Ofsted School Webpage"/>
    <n v="137700"/>
    <n v="8012029"/>
    <s v="Ilminster Avenue E-ACT Academy"/>
    <x v="0"/>
    <s v="Academy Sponsor Led"/>
    <d v="2012-01-01T00:00:00"/>
    <s v="Not applicable"/>
    <s v="Not applicable"/>
    <s v="None"/>
    <s v="None"/>
    <s v="Non-denominational"/>
    <s v="South West"/>
    <x v="5"/>
    <x v="38"/>
    <s v="Bristol South"/>
    <s v="BS4 1BX"/>
    <n v="5"/>
    <n v="322"/>
    <d v="2020-10-15T00:00:00"/>
    <d v="2020-11-16T00:00:00"/>
  </r>
  <r>
    <s v="Ofsted School Webpage"/>
    <n v="138454"/>
    <n v="3207002"/>
    <s v="Lime Academy Hornbeam"/>
    <x v="2"/>
    <s v="Academy Special Converter"/>
    <d v="2012-09-01T00:00:00"/>
    <s v="Not applicable"/>
    <s v="Has a sixth form"/>
    <s v="None"/>
    <s v="None"/>
    <s v="Non-denominational"/>
    <s v="London"/>
    <x v="3"/>
    <x v="124"/>
    <s v="Walthamstow"/>
    <s v="E17 5NT"/>
    <n v="4"/>
    <n v="294"/>
    <d v="2020-10-15T00:00:00"/>
    <d v="2020-11-22T00:00:00"/>
  </r>
  <r>
    <s v="Ofsted School Webpage"/>
    <n v="139865"/>
    <n v="8233320"/>
    <s v="Meppershall Church of England Academy"/>
    <x v="0"/>
    <s v="Academy Converter"/>
    <d v="2013-07-01T00:00:00"/>
    <s v="Not applicable"/>
    <s v="Does not have a sixth form"/>
    <s v="Church of England"/>
    <s v="Does not apply"/>
    <s v="Christian"/>
    <s v="East of England"/>
    <x v="7"/>
    <x v="115"/>
    <s v="Mid Bedfordshire"/>
    <s v="SG17 5LZ"/>
    <n v="1"/>
    <n v="113"/>
    <d v="2020-10-15T00:00:00"/>
    <d v="2020-11-16T00:00:00"/>
  </r>
  <r>
    <s v="Ofsted School Webpage"/>
    <n v="135936"/>
    <n v="8886906"/>
    <s v="Fulwood Academy"/>
    <x v="1"/>
    <s v="Academy Sponsor Led"/>
    <d v="2009-09-01T00:00:00"/>
    <s v="Non-selective"/>
    <s v="Does not have a sixth form"/>
    <s v="Does not apply"/>
    <s v="None"/>
    <s v="Non-denominational"/>
    <s v="North West"/>
    <x v="4"/>
    <x v="27"/>
    <s v="Wyre and Preston North"/>
    <s v="PR2 9YR"/>
    <n v="4"/>
    <n v="751"/>
    <d v="2020-10-15T00:00:00"/>
    <d v="2020-11-26T00:00:00"/>
  </r>
  <r>
    <s v="Ofsted School Webpage"/>
    <n v="134223"/>
    <n v="8066906"/>
    <s v="The King's Academy"/>
    <x v="1"/>
    <s v="Academy Sponsor Led"/>
    <d v="2003-09-01T00:00:00"/>
    <s v="Non-selective"/>
    <s v="Has a sixth form"/>
    <s v="Christian"/>
    <s v="None"/>
    <s v="Christian"/>
    <s v="North East, Yorkshire and the Humber"/>
    <x v="8"/>
    <x v="61"/>
    <s v="Middlesbrough South and East Cleveland"/>
    <s v="TS8 0GA"/>
    <n v="4"/>
    <n v="1270"/>
    <d v="2020-10-15T00:00:00"/>
    <d v="2020-12-03T00:00:00"/>
  </r>
  <r>
    <s v="Ofsted School Webpage"/>
    <n v="103617"/>
    <n v="3307037"/>
    <s v="Skilts School"/>
    <x v="2"/>
    <s v="Community Special School"/>
    <s v="NULL"/>
    <s v="Not applicable"/>
    <s v="Does not have a sixth form"/>
    <s v="Does not apply"/>
    <s v="Does not apply"/>
    <s v="Non-denominational"/>
    <s v="West Midlands"/>
    <x v="1"/>
    <x v="8"/>
    <s v="Stratford-on-Avon"/>
    <s v="B98 9ET"/>
    <n v="5"/>
    <n v="61"/>
    <d v="2020-10-15T00:00:00"/>
    <d v="2020-11-11T00:00:00"/>
  </r>
  <r>
    <s v="Ofsted School Webpage"/>
    <n v="135875"/>
    <n v="3526909"/>
    <s v="Manchester Health Academy"/>
    <x v="1"/>
    <s v="Academy Sponsor Led"/>
    <d v="2009-09-01T00:00:00"/>
    <s v="Non-selective"/>
    <s v="Does not have a sixth form"/>
    <s v="Does not apply"/>
    <s v="None"/>
    <s v="Non-denominational"/>
    <s v="North West"/>
    <x v="4"/>
    <x v="4"/>
    <s v="Wythenshawe and Sale East"/>
    <s v="M23 9BP"/>
    <n v="5"/>
    <n v="913"/>
    <d v="2020-10-15T00:00:00"/>
    <d v="2020-11-24T00:00:00"/>
  </r>
  <r>
    <s v="Ofsted School Webpage"/>
    <n v="142084"/>
    <n v="9362036"/>
    <s v="Brookwood Primary School"/>
    <x v="0"/>
    <s v="Academy Sponsor Led"/>
    <d v="2015-12-01T00:00:00"/>
    <s v="Not applicable"/>
    <s v="Does not have a sixth form"/>
    <s v="Does not apply"/>
    <s v="None"/>
    <s v="Non-denominational"/>
    <s v="South East"/>
    <x v="2"/>
    <x v="21"/>
    <s v="Woking"/>
    <s v="GU24 0HF"/>
    <n v="1"/>
    <n v="157"/>
    <d v="2020-10-15T00:00:00"/>
    <d v="2020-11-25T00:00:00"/>
  </r>
  <r>
    <s v="Ofsted School Webpage"/>
    <n v="104133"/>
    <n v="3347007"/>
    <s v="Merstone School"/>
    <x v="2"/>
    <s v="Community Special School"/>
    <s v="NULL"/>
    <s v="Not applicable"/>
    <s v="Has a sixth form"/>
    <s v="Does not apply"/>
    <s v="Does not apply"/>
    <s v="Non-denominational"/>
    <s v="West Midlands"/>
    <x v="1"/>
    <x v="74"/>
    <s v="Meriden"/>
    <s v="B36 0UE"/>
    <n v="5"/>
    <n v="118"/>
    <d v="2020-10-15T00:00:00"/>
    <d v="2020-11-19T00:00:00"/>
  </r>
  <r>
    <s v="Ofsted School Webpage"/>
    <n v="119876"/>
    <n v="8887034"/>
    <s v="Morecambe Road School"/>
    <x v="2"/>
    <s v="Community Special School"/>
    <s v="NULL"/>
    <s v="Not applicable"/>
    <s v="Not applicable"/>
    <s v="Does not apply"/>
    <s v="Does not apply"/>
    <s v="Non-denominational"/>
    <s v="North West"/>
    <x v="4"/>
    <x v="27"/>
    <s v="Morecambe and Lunesdale"/>
    <s v="LA3 3AB"/>
    <n v="4"/>
    <n v="158"/>
    <d v="2020-10-15T00:00:00"/>
    <d v="2020-11-25T00:00:00"/>
  </r>
  <r>
    <s v="Ofsted School Webpage"/>
    <n v="124526"/>
    <n v="9351100"/>
    <s v="Old Warren House School"/>
    <x v="3"/>
    <s v="Pupil Referral Unit"/>
    <s v="NULL"/>
    <s v="Not applicable"/>
    <s v="Not applicable"/>
    <s v="Does not apply"/>
    <s v="Does not apply"/>
    <s v="Non-denominational"/>
    <s v="East of England"/>
    <x v="7"/>
    <x v="14"/>
    <s v="Waveney"/>
    <s v="NR32 4QD"/>
    <n v="5"/>
    <n v="5"/>
    <d v="2020-10-15T00:00:00"/>
    <d v="2020-11-16T00:00:00"/>
  </r>
  <r>
    <s v="Ofsted School Webpage"/>
    <n v="116654"/>
    <n v="8842011"/>
    <s v="Bredenbury Primary School"/>
    <x v="0"/>
    <s v="Foundation School"/>
    <s v="NULL"/>
    <s v="Not applicable"/>
    <s v="Does not have a sixth form"/>
    <s v="None"/>
    <s v="Does not apply"/>
    <s v="Non-denominational"/>
    <s v="West Midlands"/>
    <x v="1"/>
    <x v="19"/>
    <s v="North Herefordshire"/>
    <s v="HR7 4TF"/>
    <n v="3"/>
    <n v="31"/>
    <d v="2020-10-15T00:00:00"/>
    <d v="2020-11-16T00:00:00"/>
  </r>
  <r>
    <s v="Ofsted School Webpage"/>
    <n v="140821"/>
    <n v="3734008"/>
    <s v="Newfield Secondary School"/>
    <x v="1"/>
    <s v="Academy Sponsor Led"/>
    <d v="2014-05-01T00:00:00"/>
    <s v="Non-selective"/>
    <s v="Does not have a sixth form"/>
    <s v="Does not apply"/>
    <s v="None"/>
    <s v="Non-denominational"/>
    <s v="North East, Yorkshire and the Humber"/>
    <x v="0"/>
    <x v="99"/>
    <s v="Sheffield, Heeley"/>
    <s v="S8 9JP"/>
    <n v="5"/>
    <n v="1039"/>
    <d v="2020-10-15T00:00:00"/>
    <d v="2020-11-24T00:00:00"/>
  </r>
  <r>
    <s v="Ofsted School Webpage"/>
    <n v="139336"/>
    <n v="3732013"/>
    <s v="Meynell Community Primary School"/>
    <x v="0"/>
    <s v="Academy Sponsor Led"/>
    <d v="2013-04-01T00:00:00"/>
    <s v="Not applicable"/>
    <s v="Does not have a sixth form"/>
    <s v="Does not apply"/>
    <s v="None"/>
    <s v="Non-denominational"/>
    <s v="North East, Yorkshire and the Humber"/>
    <x v="0"/>
    <x v="99"/>
    <s v="Sheffield, Brightside and Hillsborough"/>
    <s v="S5 8GN"/>
    <n v="5"/>
    <n v="469"/>
    <d v="2020-10-15T00:00:00"/>
    <d v="2020-11-19T00:00:00"/>
  </r>
  <r>
    <s v="Ofsted School Webpage"/>
    <n v="126332"/>
    <n v="8653096"/>
    <s v="Kington St Michael Church of England Primary School"/>
    <x v="0"/>
    <s v="Voluntary Controlled School"/>
    <s v="NULL"/>
    <s v="Not applicable"/>
    <s v="Does not have a sixth form"/>
    <s v="Church of England"/>
    <s v="Does not apply"/>
    <s v="Christian"/>
    <s v="South West"/>
    <x v="5"/>
    <x v="125"/>
    <s v="North Wiltshire"/>
    <s v="SN14 6JG"/>
    <n v="1"/>
    <n v="131"/>
    <d v="2020-10-15T00:00:00"/>
    <d v="2020-11-17T00:00:00"/>
  </r>
  <r>
    <s v="Ofsted School Webpage"/>
    <n v="125148"/>
    <n v="9363033"/>
    <s v="St Paul's CofE Infant School"/>
    <x v="0"/>
    <s v="Voluntary Controlled School"/>
    <s v="NULL"/>
    <s v="Not applicable"/>
    <s v="Does not have a sixth form"/>
    <s v="Church of England"/>
    <s v="Does not apply"/>
    <s v="Christian"/>
    <s v="South East"/>
    <x v="2"/>
    <x v="21"/>
    <s v="Surrey Heath"/>
    <s v="GU10 1EF"/>
    <n v="2"/>
    <n v="86"/>
    <d v="2020-10-15T00:00:00"/>
    <d v="2020-11-16T00:00:00"/>
  </r>
  <r>
    <s v="Ofsted School Webpage"/>
    <n v="139912"/>
    <n v="3822016"/>
    <s v="Windmill CofE (VC) Primary School"/>
    <x v="0"/>
    <s v="Voluntary Controlled School"/>
    <d v="2014-04-01T00:00:00"/>
    <s v="Unknown"/>
    <s v="Does not have a sixth form"/>
    <s v="None"/>
    <s v="Does not apply"/>
    <s v="Non-denominational"/>
    <s v="North East, Yorkshire and the Humber"/>
    <x v="0"/>
    <x v="104"/>
    <s v="Batley and Spen"/>
    <s v="WF17 0NP"/>
    <n v="3"/>
    <n v="422"/>
    <d v="2020-10-15T00:00:00"/>
    <d v="2020-11-18T00:00:00"/>
  </r>
  <r>
    <s v="Ofsted School Webpage"/>
    <n v="112865"/>
    <n v="8303101"/>
    <s v="Woodville CofE Junior School"/>
    <x v="0"/>
    <s v="Voluntary Controlled School"/>
    <s v="NULL"/>
    <s v="Not applicable"/>
    <s v="Does not have a sixth form"/>
    <s v="Church of England"/>
    <s v="Does not apply"/>
    <s v="Christian"/>
    <s v="East Midlands"/>
    <x v="6"/>
    <x v="6"/>
    <s v="South Derbyshire"/>
    <s v="DE11 7EA"/>
    <n v="3"/>
    <n v="317"/>
    <d v="2020-10-15T00:00:00"/>
    <d v="2020-11-17T00:00:00"/>
  </r>
  <r>
    <s v="Ofsted School Webpage"/>
    <n v="117974"/>
    <n v="8113019"/>
    <s v="Driffield Church of England Voluntary Controlled Infant School"/>
    <x v="0"/>
    <s v="Voluntary Controlled School"/>
    <s v="NULL"/>
    <s v="Not applicable"/>
    <s v="Does not have a sixth form"/>
    <s v="Church of England"/>
    <s v="Does not apply"/>
    <s v="Christian"/>
    <s v="North East, Yorkshire and the Humber"/>
    <x v="0"/>
    <x v="31"/>
    <s v="East Yorkshire"/>
    <s v="YO25 6RS"/>
    <n v="2"/>
    <n v="179"/>
    <d v="2020-10-15T00:00:00"/>
    <d v="2020-11-26T00:00:00"/>
  </r>
  <r>
    <s v="Ofsted School Webpage"/>
    <n v="115659"/>
    <n v="9163078"/>
    <s v="Bream Church of England Primary School"/>
    <x v="0"/>
    <s v="Voluntary Controlled School"/>
    <d v="1899-12-31T00:00:00"/>
    <s v="Not applicable"/>
    <s v="Does not have a sixth form"/>
    <s v="Church of England"/>
    <s v="Does not apply"/>
    <s v="Christian"/>
    <s v="South West"/>
    <x v="5"/>
    <x v="28"/>
    <s v="Forest of Dean"/>
    <s v="GL15 6JW"/>
    <n v="3"/>
    <n v="142"/>
    <d v="2020-10-15T00:00:00"/>
    <d v="2020-11-11T00:00:00"/>
  </r>
  <r>
    <s v="Ofsted School Webpage"/>
    <n v="110817"/>
    <n v="8733071"/>
    <s v="Holywell CofE Primary School"/>
    <x v="0"/>
    <s v="Voluntary Controlled School"/>
    <s v="NULL"/>
    <s v="Not applicable"/>
    <s v="Does not have a sixth form"/>
    <s v="Church of England"/>
    <s v="Does not apply"/>
    <s v="Christian"/>
    <s v="East of England"/>
    <x v="7"/>
    <x v="43"/>
    <s v="North West Cambridgeshire"/>
    <s v="PE27 4TF"/>
    <n v="1"/>
    <n v="202"/>
    <d v="2020-10-15T00:00:00"/>
    <d v="2020-11-22T00:00:00"/>
  </r>
  <r>
    <s v="Ofsted School Webpage"/>
    <n v="103791"/>
    <n v="3322075"/>
    <s v="Peters Hill Primary School"/>
    <x v="0"/>
    <s v="Community School"/>
    <s v="NULL"/>
    <s v="Not applicable"/>
    <s v="Does not have a sixth form"/>
    <s v="Does not apply"/>
    <s v="Does not apply"/>
    <s v="Non-denominational"/>
    <s v="West Midlands"/>
    <x v="1"/>
    <x v="110"/>
    <s v="Stourbridge"/>
    <s v="DY5 2QH"/>
    <n v="3"/>
    <n v="880"/>
    <d v="2020-10-15T00:00:00"/>
    <d v="2020-11-16T00:00:00"/>
  </r>
  <r>
    <s v="Ofsted School Webpage"/>
    <n v="133961"/>
    <n v="8863893"/>
    <s v="Phoenix Community Primary School"/>
    <x v="0"/>
    <s v="Foundation School"/>
    <d v="2003-04-01T00:00:00"/>
    <s v="Not applicable"/>
    <s v="Does not have a sixth form"/>
    <s v="Does not apply"/>
    <s v="Does not apply"/>
    <s v="Non-denominational"/>
    <s v="South East"/>
    <x v="2"/>
    <x v="7"/>
    <s v="Ashford"/>
    <s v="TN24 9LS"/>
    <n v="4"/>
    <n v="208"/>
    <d v="2020-10-15T00:00:00"/>
    <d v="2020-11-24T00:00:00"/>
  </r>
  <r>
    <s v="Ofsted School Webpage"/>
    <n v="122486"/>
    <n v="8922163"/>
    <s v="Haydn Primary School"/>
    <x v="0"/>
    <s v="Community School"/>
    <s v="NULL"/>
    <s v="Not applicable"/>
    <s v="Does not have a sixth form"/>
    <s v="Does not apply"/>
    <s v="Does not apply"/>
    <s v="Non-denominational"/>
    <s v="East Midlands"/>
    <x v="6"/>
    <x v="126"/>
    <s v="Nottingham East"/>
    <s v="NG5 2JU"/>
    <n v="3"/>
    <n v="475"/>
    <d v="2020-10-15T00:00:00"/>
    <d v="2020-11-17T00:00:00"/>
  </r>
  <r>
    <s v="Ofsted School Webpage"/>
    <n v="119961"/>
    <n v="8552137"/>
    <s v="Oxley Primary School Shepshed"/>
    <x v="0"/>
    <s v="Community School"/>
    <s v="NULL"/>
    <s v="Not applicable"/>
    <s v="Does not have a sixth form"/>
    <s v="Does not apply"/>
    <s v="Does not apply"/>
    <s v="Non-denominational"/>
    <s v="East Midlands"/>
    <x v="6"/>
    <x v="112"/>
    <s v="Loughborough"/>
    <s v="LE12 9LU"/>
    <n v="2"/>
    <n v="255"/>
    <d v="2020-10-15T00:00:00"/>
    <d v="2020-11-17T00:00:00"/>
  </r>
  <r>
    <s v="Ofsted School Webpage"/>
    <n v="104217"/>
    <n v="3352240"/>
    <s v="Meadow View JMI School"/>
    <x v="0"/>
    <s v="Community School"/>
    <s v="NULL"/>
    <s v="Not applicable"/>
    <s v="Does not have a sixth form"/>
    <s v="Does not apply"/>
    <s v="Does not apply"/>
    <s v="Non-denominational"/>
    <s v="West Midlands"/>
    <x v="1"/>
    <x v="73"/>
    <s v="Walsall South"/>
    <s v="B43 7UJ"/>
    <n v="3"/>
    <n v="474"/>
    <d v="2020-10-15T00:00:00"/>
    <d v="2020-11-17T00:00:00"/>
  </r>
  <r>
    <s v="Ofsted School Webpage"/>
    <n v="113190"/>
    <n v="8802407"/>
    <s v="Furzeham Primary School"/>
    <x v="0"/>
    <s v="Community School"/>
    <s v="NULL"/>
    <s v="Not applicable"/>
    <s v="Does not have a sixth form"/>
    <s v="Does not apply"/>
    <s v="Does not apply"/>
    <s v="Non-denominational"/>
    <s v="South West"/>
    <x v="5"/>
    <x v="48"/>
    <s v="Totnes"/>
    <s v="TQ5 8BL"/>
    <n v="4"/>
    <n v="304"/>
    <d v="2020-10-15T00:00:00"/>
    <d v="2020-11-19T00:00:00"/>
  </r>
  <r>
    <s v="Ofsted School Webpage"/>
    <n v="116071"/>
    <n v="8502376"/>
    <s v="Greenfields Junior School"/>
    <x v="0"/>
    <s v="Community School"/>
    <s v="NULL"/>
    <s v="Not applicable"/>
    <s v="Does not have a sixth form"/>
    <s v="Does not apply"/>
    <s v="Does not apply"/>
    <s v="Non-denominational"/>
    <s v="South East"/>
    <x v="2"/>
    <x v="2"/>
    <s v="North East Hampshire"/>
    <s v="RG27 8DQ"/>
    <n v="2"/>
    <n v="289"/>
    <d v="2020-10-15T00:00:00"/>
    <d v="2020-11-19T00:00:00"/>
  </r>
  <r>
    <s v="Ofsted School Webpage"/>
    <n v="111590"/>
    <n v="8052153"/>
    <s v="Lynnfield Primary School"/>
    <x v="0"/>
    <s v="Community School"/>
    <s v="NULL"/>
    <s v="Not applicable"/>
    <s v="Does not have a sixth form"/>
    <s v="Does not apply"/>
    <s v="Does not apply"/>
    <s v="Non-denominational"/>
    <s v="North East, Yorkshire and the Humber"/>
    <x v="8"/>
    <x v="117"/>
    <s v="Hartlepool"/>
    <s v="TS26 8RL"/>
    <n v="5"/>
    <n v="358"/>
    <d v="2020-10-15T00:00:00"/>
    <d v="2020-11-11T00:00:00"/>
  </r>
  <r>
    <s v="Ofsted School Webpage"/>
    <n v="102188"/>
    <n v="3102053"/>
    <s v="Camrose Primary With Nursery"/>
    <x v="0"/>
    <s v="Community School"/>
    <s v="NULL"/>
    <s v="Not applicable"/>
    <s v="Does not have a sixth form"/>
    <s v="Does not apply"/>
    <s v="Does not apply"/>
    <s v="Non-denominational"/>
    <s v="London"/>
    <x v="3"/>
    <x v="127"/>
    <s v="Harrow East"/>
    <s v="HA8 6JH"/>
    <n v="3"/>
    <n v="442"/>
    <d v="2020-10-15T00:00:00"/>
    <d v="2020-11-23T00:00:00"/>
  </r>
  <r>
    <s v="Ofsted School Webpage"/>
    <n v="112794"/>
    <n v="8302631"/>
    <s v="Hollingwood Primary School"/>
    <x v="0"/>
    <s v="Community School"/>
    <s v="NULL"/>
    <s v="Not applicable"/>
    <s v="Does not have a sixth form"/>
    <s v="Does not apply"/>
    <s v="Does not apply"/>
    <s v="Non-denominational"/>
    <s v="East Midlands"/>
    <x v="6"/>
    <x v="6"/>
    <s v="Chesterfield"/>
    <s v="S43 2JG"/>
    <n v="4"/>
    <n v="361"/>
    <d v="2020-10-15T00:00:00"/>
    <d v="2020-11-18T00:00:00"/>
  </r>
  <r>
    <s v="Ofsted School Webpage"/>
    <n v="102784"/>
    <n v="3164034"/>
    <s v="Eastlea Community School"/>
    <x v="1"/>
    <s v="Community School"/>
    <s v="NULL"/>
    <s v="Non-selective"/>
    <s v="Does not have a sixth form"/>
    <s v="Does not apply"/>
    <s v="Does not apply"/>
    <s v="Non-denominational"/>
    <s v="London"/>
    <x v="3"/>
    <x v="107"/>
    <s v="West Ham"/>
    <s v="E16 4NP"/>
    <n v="4"/>
    <n v="1102"/>
    <d v="2020-10-15T00:00:00"/>
    <d v="2020-11-15T00:00:00"/>
  </r>
  <r>
    <s v="Ofsted School Webpage"/>
    <n v="109446"/>
    <n v="8222041"/>
    <s v="Cotton End Forest School"/>
    <x v="0"/>
    <s v="Community School"/>
    <s v="NULL"/>
    <s v="Not applicable"/>
    <s v="Does not have a sixth form"/>
    <s v="Does not apply"/>
    <s v="Does not apply"/>
    <s v="Non-denominational"/>
    <s v="East of England"/>
    <x v="7"/>
    <x v="50"/>
    <s v="North East Bedfordshire"/>
    <s v="MK45 3AG"/>
    <n v="3"/>
    <n v="252"/>
    <d v="2020-10-15T00:00:00"/>
    <d v="2020-11-17T00:00:00"/>
  </r>
  <r>
    <s v="Ofsted School Webpage"/>
    <n v="131178"/>
    <n v="3332181"/>
    <s v="Hanbury Primary School"/>
    <x v="0"/>
    <s v="Community School"/>
    <d v="1997-09-01T00:00:00"/>
    <s v="Not applicable"/>
    <s v="Does not have a sixth form"/>
    <s v="Does not apply"/>
    <s v="Does not apply"/>
    <s v="Non-denominational"/>
    <s v="West Midlands"/>
    <x v="1"/>
    <x v="10"/>
    <s v="West Bromwich East"/>
    <s v="B70 9NT"/>
    <n v="5"/>
    <n v="480"/>
    <d v="2020-10-15T00:00:00"/>
    <d v="2020-11-16T00:00:00"/>
  </r>
  <r>
    <s v="Ofsted School Webpage"/>
    <n v="115962"/>
    <n v="8502206"/>
    <s v="Stanmore Primary School"/>
    <x v="0"/>
    <s v="Community School"/>
    <s v="NULL"/>
    <s v="Not applicable"/>
    <s v="Does not have a sixth form"/>
    <s v="Does not apply"/>
    <s v="Does not apply"/>
    <s v="Non-denominational"/>
    <s v="South East"/>
    <x v="2"/>
    <x v="2"/>
    <s v="Winchester"/>
    <s v="SO22 4AJ"/>
    <n v="4"/>
    <n v="263"/>
    <d v="2020-10-15T00:00:00"/>
    <d v="2020-11-11T00:00:00"/>
  </r>
  <r>
    <s v="Ofsted School Webpage"/>
    <n v="118653"/>
    <n v="8863120"/>
    <s v="Barham Church of England Primary School"/>
    <x v="0"/>
    <s v="Voluntary Controlled School"/>
    <s v="NULL"/>
    <s v="Not applicable"/>
    <s v="Does not have a sixth form"/>
    <s v="Church of England"/>
    <s v="Does not apply"/>
    <s v="Christian"/>
    <s v="South East"/>
    <x v="2"/>
    <x v="7"/>
    <s v="Canterbury"/>
    <s v="CT4 6NX"/>
    <n v="2"/>
    <n v="207"/>
    <d v="2020-10-15T00:00:00"/>
    <d v="2020-11-22T00:00:00"/>
  </r>
  <r>
    <s v="Ofsted School Webpage"/>
    <n v="135525"/>
    <n v="3063418"/>
    <s v="Woodcote Primary School"/>
    <x v="0"/>
    <s v="Community School"/>
    <d v="2008-09-01T00:00:00"/>
    <s v="Not applicable"/>
    <s v="Does not have a sixth form"/>
    <s v="Does not apply"/>
    <s v="Does not apply"/>
    <s v="Non-denominational"/>
    <s v="London"/>
    <x v="3"/>
    <x v="128"/>
    <s v="Croydon South"/>
    <s v="CR5 2ED"/>
    <n v="2"/>
    <n v="777"/>
    <d v="2020-10-15T00:00:00"/>
    <d v="2020-11-23T00:00:00"/>
  </r>
  <r>
    <s v="Ofsted School Webpage"/>
    <n v="111106"/>
    <n v="8962272"/>
    <s v="Waverton Community Primary School"/>
    <x v="0"/>
    <s v="Community School"/>
    <s v="NULL"/>
    <s v="Not applicable"/>
    <s v="Does not have a sixth form"/>
    <s v="Does not apply"/>
    <s v="Does not apply"/>
    <s v="Non-denominational"/>
    <s v="North West"/>
    <x v="4"/>
    <x v="20"/>
    <s v="Eddisbury"/>
    <s v="CH3 7QT"/>
    <n v="1"/>
    <n v="195"/>
    <d v="2020-10-15T00:00:00"/>
    <d v="2020-11-23T00:00:00"/>
  </r>
  <r>
    <s v="Ofsted School Webpage"/>
    <n v="109571"/>
    <n v="8212263"/>
    <s v="Surrey Street Primary School"/>
    <x v="0"/>
    <s v="Community School"/>
    <s v="NULL"/>
    <s v="Not applicable"/>
    <s v="Does not have a sixth form"/>
    <s v="Does not apply"/>
    <s v="Does not apply"/>
    <s v="Non-denominational"/>
    <s v="East of England"/>
    <x v="7"/>
    <x v="32"/>
    <s v="Luton South"/>
    <s v="LU1 3NJ"/>
    <n v="5"/>
    <n v="419"/>
    <d v="2020-10-15T00:00:00"/>
    <d v="2020-11-22T00:00:00"/>
  </r>
  <r>
    <s v="Ofsted School Webpage"/>
    <n v="100190"/>
    <n v="2034294"/>
    <s v="Thomas Tallis School"/>
    <x v="1"/>
    <s v="Community School"/>
    <s v="NULL"/>
    <s v="Non-selective"/>
    <s v="Has a sixth form"/>
    <s v="Does not apply"/>
    <s v="Does not apply"/>
    <s v="Non-denominational"/>
    <s v="London"/>
    <x v="3"/>
    <x v="121"/>
    <s v="Eltham"/>
    <s v="SE3 9PX"/>
    <n v="4"/>
    <n v="1972"/>
    <d v="2020-10-15T00:00:00"/>
    <d v="2020-11-18T00:00:00"/>
  </r>
  <r>
    <s v="Ofsted School Webpage"/>
    <n v="118416"/>
    <n v="8862345"/>
    <s v="Priory Infant School"/>
    <x v="0"/>
    <s v="Community School"/>
    <s v="NULL"/>
    <s v="Not applicable"/>
    <s v="Does not have a sixth form"/>
    <s v="Does not apply"/>
    <s v="Does not apply"/>
    <s v="Non-denominational"/>
    <s v="South East"/>
    <x v="2"/>
    <x v="7"/>
    <s v="South Thanet"/>
    <s v="CT11 9XT"/>
    <n v="5"/>
    <n v="175"/>
    <d v="2020-10-15T00:00:00"/>
    <d v="2020-11-18T00:00:00"/>
  </r>
  <r>
    <s v="Ofsted School Webpage"/>
    <n v="117756"/>
    <n v="8132143"/>
    <s v="Priory Lane Community School"/>
    <x v="0"/>
    <s v="Community School"/>
    <s v="NULL"/>
    <s v="Not applicable"/>
    <s v="Does not have a sixth form"/>
    <s v="Does not apply"/>
    <s v="Does not apply"/>
    <s v="Non-denominational"/>
    <s v="North East, Yorkshire and the Humber"/>
    <x v="0"/>
    <x v="109"/>
    <s v="Scunthorpe"/>
    <s v="DN17 1HE"/>
    <n v="4"/>
    <n v="387"/>
    <d v="2020-10-15T00:00:00"/>
    <d v="2020-11-18T00:00:00"/>
  </r>
  <r>
    <s v="Ofsted School Webpage"/>
    <n v="112211"/>
    <n v="9092515"/>
    <s v="South Walney Junior School"/>
    <x v="0"/>
    <s v="Community School"/>
    <s v="NULL"/>
    <s v="Not applicable"/>
    <s v="Does not have a sixth form"/>
    <s v="Does not apply"/>
    <s v="Does not apply"/>
    <s v="Non-denominational"/>
    <s v="North West"/>
    <x v="4"/>
    <x v="25"/>
    <s v="Barrow and Furness"/>
    <s v="LA14 3BG"/>
    <n v="3"/>
    <n v="191"/>
    <d v="2020-10-15T00:00:00"/>
    <d v="2020-11-18T00:00:00"/>
  </r>
  <r>
    <s v="Ofsted School Webpage"/>
    <n v="116263"/>
    <n v="8522771"/>
    <s v="Mason Moor Primary School"/>
    <x v="0"/>
    <s v="Community School"/>
    <s v="NULL"/>
    <s v="Not applicable"/>
    <s v="Does not have a sixth form"/>
    <s v="Does not apply"/>
    <s v="Does not apply"/>
    <s v="Non-denominational"/>
    <s v="South East"/>
    <x v="2"/>
    <x v="76"/>
    <s v="Southampton, Test"/>
    <s v="SO16 4AS"/>
    <n v="5"/>
    <n v="225"/>
    <d v="2020-10-15T00:00:00"/>
    <d v="2020-11-22T00:00:00"/>
  </r>
  <r>
    <s v="Ofsted School Webpage"/>
    <n v="115237"/>
    <n v="8814680"/>
    <s v="De La Salle School"/>
    <x v="1"/>
    <s v="Voluntary Aided School"/>
    <s v="NULL"/>
    <s v="Non-selective"/>
    <s v="Does not have a sixth form"/>
    <s v="Roman Catholic"/>
    <s v="Does not apply"/>
    <s v="Christian"/>
    <s v="East of England"/>
    <x v="7"/>
    <x v="75"/>
    <s v="Basildon and Billericay"/>
    <s v="SS14 2LA"/>
    <n v="5"/>
    <n v="751"/>
    <d v="2020-10-15T00:00:00"/>
    <d v="2020-11-16T00:00:00"/>
  </r>
  <r>
    <s v="Ofsted School Webpage"/>
    <n v="119614"/>
    <n v="8883670"/>
    <s v="Over Kellet Wilson's Endowed Church of England Primary School"/>
    <x v="0"/>
    <s v="Voluntary Aided School"/>
    <s v="NULL"/>
    <s v="Not applicable"/>
    <s v="Does not have a sixth form"/>
    <s v="Church of England"/>
    <s v="Does not apply"/>
    <s v="Christian"/>
    <s v="North West"/>
    <x v="4"/>
    <x v="27"/>
    <s v="Morecambe and Lunesdale"/>
    <s v="LA6 1BN"/>
    <n v="2"/>
    <n v="131"/>
    <d v="2020-10-15T00:00:00"/>
    <d v="2020-11-25T00:00:00"/>
  </r>
  <r>
    <s v="Ofsted School Webpage"/>
    <n v="100044"/>
    <n v="2023546"/>
    <s v="St Michael's Church of England Primary School"/>
    <x v="0"/>
    <s v="Voluntary Aided School"/>
    <s v="NULL"/>
    <s v="Not applicable"/>
    <s v="Does not have a sixth form"/>
    <s v="Church of England"/>
    <s v="Does not apply"/>
    <s v="Christian"/>
    <s v="London"/>
    <x v="3"/>
    <x v="22"/>
    <s v="Holborn and St Pancras"/>
    <s v="NW1 0JA"/>
    <n v="5"/>
    <n v="167"/>
    <d v="2020-10-15T00:00:00"/>
    <d v="2020-11-24T00:00:00"/>
  </r>
  <r>
    <s v="Ofsted School Webpage"/>
    <n v="141955"/>
    <n v="8782046"/>
    <s v="Trinity Church of England Voluntary Aided Primary and Nursery School"/>
    <x v="0"/>
    <s v="Voluntary Aided School"/>
    <d v="2017-09-01T00:00:00"/>
    <s v="Not applicable"/>
    <s v="Does not have a sixth form"/>
    <s v="Church of England"/>
    <s v="Does not apply"/>
    <s v="Christian"/>
    <s v="South West"/>
    <x v="5"/>
    <x v="62"/>
    <s v="East Devon"/>
    <s v="EX2 7GB"/>
    <n v="3"/>
    <n v="185"/>
    <d v="2020-10-15T00:00:00"/>
    <d v="2020-11-16T00:00:00"/>
  </r>
  <r>
    <s v="Ofsted School Webpage"/>
    <n v="135566"/>
    <n v="9363944"/>
    <s v="Cranleigh Church of England Primary School"/>
    <x v="0"/>
    <s v="Voluntary Controlled School"/>
    <d v="2008-09-01T00:00:00"/>
    <s v="Not applicable"/>
    <s v="Does not have a sixth form"/>
    <s v="Church of England"/>
    <s v="Does not apply"/>
    <s v="Christian"/>
    <s v="South East"/>
    <x v="2"/>
    <x v="21"/>
    <s v="Guildford"/>
    <s v="GU6 7AN"/>
    <n v="1"/>
    <n v="275"/>
    <d v="2020-10-15T00:00:00"/>
    <d v="2020-11-15T00:00:00"/>
  </r>
  <r>
    <s v="Ofsted School Webpage"/>
    <n v="122049"/>
    <n v="9283501"/>
    <s v="Our Lady's Catholic Primary School, Wellingborough"/>
    <x v="0"/>
    <s v="Voluntary Aided School"/>
    <d v="1899-12-31T00:00:00"/>
    <s v="Not applicable"/>
    <s v="Does not have a sixth form"/>
    <s v="Roman Catholic"/>
    <s v="Does not apply"/>
    <s v="Christian"/>
    <s v="East Midlands"/>
    <x v="6"/>
    <x v="64"/>
    <s v="Wellingborough"/>
    <s v="NN8 2BE"/>
    <n v="4"/>
    <n v="409"/>
    <d v="2020-10-15T00:00:00"/>
    <d v="2020-11-18T00:00:00"/>
  </r>
  <r>
    <s v="Ofsted School Webpage"/>
    <n v="141448"/>
    <n v="8607026"/>
    <s v="Blackfriars Academy"/>
    <x v="2"/>
    <s v="Academy Special Converter"/>
    <d v="2014-10-01T00:00:00"/>
    <s v="Not applicable"/>
    <s v="Has a sixth form"/>
    <s v="Does not apply"/>
    <s v="None"/>
    <s v="Non-denominational"/>
    <s v="West Midlands"/>
    <x v="1"/>
    <x v="36"/>
    <s v="Newcastle-under-Lyme"/>
    <s v="ST5 2TF"/>
    <n v="4"/>
    <n v="107"/>
    <d v="2020-10-15T00:00:00"/>
    <d v="2020-11-22T00:00:00"/>
  </r>
  <r>
    <s v="Ofsted School Webpage"/>
    <n v="145560"/>
    <n v="3512008"/>
    <s v="St John's Church of England Primary School, Radcliffe"/>
    <x v="0"/>
    <s v="Academy Sponsor Led"/>
    <d v="2018-03-01T00:00:00"/>
    <s v="Not applicable"/>
    <s v="Does not have a sixth form"/>
    <s v="Church of England"/>
    <s v="Church of England"/>
    <s v="Christian"/>
    <s v="North West"/>
    <x v="4"/>
    <x v="96"/>
    <s v="Bury South"/>
    <s v="M26 1AW"/>
    <n v="5"/>
    <n v="212"/>
    <d v="2020-10-15T00:00:00"/>
    <d v="2020-12-03T00:00:00"/>
  </r>
  <r>
    <s v="Ofsted School Webpage"/>
    <n v="145575"/>
    <n v="9374014"/>
    <s v="Bilton School"/>
    <x v="1"/>
    <s v="Academy Sponsor Led"/>
    <d v="2017-04-01T00:00:00"/>
    <s v="Unknown"/>
    <s v="Has a sixth form"/>
    <s v="None"/>
    <s v="None"/>
    <s v="Non-denominational"/>
    <s v="West Midlands"/>
    <x v="1"/>
    <x v="65"/>
    <s v="Rugby"/>
    <s v="CV22 7JT"/>
    <n v="2"/>
    <n v="951"/>
    <d v="2020-10-15T00:00:00"/>
    <d v="2020-11-23T00:00:00"/>
  </r>
  <r>
    <s v="Ofsted School Webpage"/>
    <n v="145483"/>
    <n v="8852908"/>
    <s v="Foley Park Primary School and Nursery"/>
    <x v="0"/>
    <s v="Academy Converter"/>
    <d v="2018-02-01T00:00:00"/>
    <s v="Not applicable"/>
    <s v="Does not have a sixth form"/>
    <s v="Does not apply"/>
    <s v="Does not apply"/>
    <s v="Non-denominational"/>
    <s v="West Midlands"/>
    <x v="1"/>
    <x v="89"/>
    <s v="Wyre Forest"/>
    <s v="DY11 7AW"/>
    <n v="5"/>
    <n v="235"/>
    <d v="2020-10-15T00:00:00"/>
    <d v="2020-11-23T00:00:00"/>
  </r>
  <r>
    <s v="Ofsted School Webpage"/>
    <n v="144481"/>
    <n v="3732049"/>
    <s v="Hatfield Academy"/>
    <x v="0"/>
    <s v="Academy Converter"/>
    <d v="2016-05-01T00:00:00"/>
    <s v="Unknown"/>
    <s v="Not applicable"/>
    <s v="None"/>
    <s v="Does not apply"/>
    <s v="Non-denominational"/>
    <s v="North East, Yorkshire and the Humber"/>
    <x v="0"/>
    <x v="99"/>
    <s v="Sheffield, Brightside and Hillsborough"/>
    <s v="S5 6HY"/>
    <n v="5"/>
    <n v="396"/>
    <d v="2020-10-15T00:00:00"/>
    <d v="2020-11-26T00:00:00"/>
  </r>
  <r>
    <s v="Ofsted School Webpage"/>
    <n v="144690"/>
    <n v="3543009"/>
    <s v="St Andrew's Church of England Primary School and Nursery"/>
    <x v="0"/>
    <s v="Academy Converter"/>
    <d v="2017-09-01T00:00:00"/>
    <s v="Not applicable"/>
    <s v="Does not have a sixth form"/>
    <s v="Church of England"/>
    <s v="Does not apply"/>
    <s v="Christian"/>
    <s v="North West"/>
    <x v="4"/>
    <x v="9"/>
    <s v="Rochdale"/>
    <s v="OL12 9QA"/>
    <n v="4"/>
    <n v="428"/>
    <d v="2020-10-15T00:00:00"/>
    <d v="2020-11-30T00:00:00"/>
  </r>
  <r>
    <s v="Ofsted School Webpage"/>
    <n v="145260"/>
    <n v="8022261"/>
    <s v="Grove Junior School"/>
    <x v="0"/>
    <s v="Academy Converter"/>
    <d v="2018-04-01T00:00:00"/>
    <s v="Not applicable"/>
    <s v="Does not have a sixth form"/>
    <s v="Does not apply"/>
    <s v="Does not apply"/>
    <s v="Non-denominational"/>
    <s v="South West"/>
    <x v="5"/>
    <x v="98"/>
    <s v="North Somerset"/>
    <s v="BS48 4YZ"/>
    <n v="1"/>
    <n v="218"/>
    <d v="2020-10-15T00:00:00"/>
    <d v="2020-11-19T00:00:00"/>
  </r>
  <r>
    <s v="Ofsted School Webpage"/>
    <n v="145370"/>
    <n v="8152252"/>
    <s v="Carlton Miniott Primary Academy"/>
    <x v="0"/>
    <s v="Academy Converter"/>
    <d v="2018-02-01T00:00:00"/>
    <s v="Not applicable"/>
    <s v="Does not have a sixth form"/>
    <s v="Does not apply"/>
    <s v="Does not apply"/>
    <s v="Non-denominational"/>
    <s v="North East, Yorkshire and the Humber"/>
    <x v="0"/>
    <x v="60"/>
    <s v="Thirsk and Malton"/>
    <s v="YO7 4NJ"/>
    <n v="1"/>
    <n v="209"/>
    <d v="2020-10-20T00:00:00"/>
    <d v="2020-11-17T00:00:00"/>
  </r>
  <r>
    <s v="Ofsted School Webpage"/>
    <n v="142950"/>
    <n v="3802127"/>
    <s v="Lees Primary School"/>
    <x v="0"/>
    <s v="Academy Converter"/>
    <d v="2016-07-01T00:00:00"/>
    <s v="Not applicable"/>
    <s v="Does not have a sixth form"/>
    <s v="Does not apply"/>
    <s v="Does not apply"/>
    <s v="Non-denominational"/>
    <s v="North East, Yorkshire and the Humber"/>
    <x v="0"/>
    <x v="103"/>
    <s v="Keighley"/>
    <s v="BD22 9DL"/>
    <n v="2"/>
    <n v="208"/>
    <d v="2020-10-20T00:00:00"/>
    <d v="2020-11-23T00:00:00"/>
  </r>
  <r>
    <s v="Ofsted School Webpage"/>
    <n v="138202"/>
    <n v="2114000"/>
    <s v="Wapping High School"/>
    <x v="1"/>
    <s v="Free School"/>
    <d v="2012-09-01T00:00:00"/>
    <s v="Non-selective"/>
    <s v="Does not have a sixth form"/>
    <s v="None"/>
    <s v="None"/>
    <s v="Non-denominational"/>
    <s v="London"/>
    <x v="3"/>
    <x v="119"/>
    <s v="Bethnal Green and Bow"/>
    <s v="E1 2DA"/>
    <n v="5"/>
    <n v="302"/>
    <d v="2020-10-20T00:00:00"/>
    <d v="2020-11-26T00:00:00"/>
  </r>
  <r>
    <s v="Ofsted School Webpage"/>
    <n v="145658"/>
    <n v="8793775"/>
    <s v="Shakespeare Primary School"/>
    <x v="0"/>
    <s v="Academy Converter"/>
    <d v="2018-04-01T00:00:00"/>
    <s v="Not applicable"/>
    <s v="Does not have a sixth form"/>
    <s v="Does not apply"/>
    <s v="Does not apply"/>
    <s v="Non-denominational"/>
    <s v="South West"/>
    <x v="5"/>
    <x v="23"/>
    <s v="Plymouth, Moor View"/>
    <s v="PL5 3JU"/>
    <n v="5"/>
    <n v="440"/>
    <d v="2020-10-20T00:00:00"/>
    <d v="2020-11-19T00:00:00"/>
  </r>
  <r>
    <s v="Ofsted School Webpage"/>
    <n v="148019"/>
    <n v="8782226"/>
    <s v="Fremington Primary School"/>
    <x v="0"/>
    <s v="Academy Converter"/>
    <d v="2020-07-01T00:00:00"/>
    <s v="Not applicable"/>
    <s v="Does not have a sixth form"/>
    <s v="Does not apply"/>
    <s v="Does not apply"/>
    <s v="Non-denominational"/>
    <s v="South West"/>
    <x v="5"/>
    <x v="62"/>
    <s v="North Devon"/>
    <s v="EX31 3DD"/>
    <n v="2"/>
    <s v="NULL"/>
    <d v="2020-10-20T00:00:00"/>
    <d v="2020-11-22T00:00:00"/>
  </r>
  <r>
    <s v="Ofsted School Webpage"/>
    <n v="143592"/>
    <n v="2032885"/>
    <s v="Foxfield Primary School"/>
    <x v="0"/>
    <s v="Academy Converter"/>
    <d v="2017-06-01T00:00:00"/>
    <s v="Not applicable"/>
    <s v="Does not have a sixth form"/>
    <s v="Does not apply"/>
    <s v="Does not apply"/>
    <s v="Non-denominational"/>
    <s v="London"/>
    <x v="3"/>
    <x v="121"/>
    <s v="Greenwich and Woolwich"/>
    <s v="SE18 7EX"/>
    <n v="5"/>
    <n v="715"/>
    <d v="2020-10-20T00:00:00"/>
    <d v="2020-11-18T00:00:00"/>
  </r>
  <r>
    <s v="Ofsted School Webpage"/>
    <n v="113822"/>
    <n v="8383381"/>
    <s v="Wool Church of England Voluntary Aided Primary School"/>
    <x v="0"/>
    <s v="Voluntary Aided School"/>
    <d v="1899-12-31T00:00:00"/>
    <s v="Not applicable"/>
    <s v="Does not have a sixth form"/>
    <s v="Church of England"/>
    <s v="Does not apply"/>
    <s v="Christian"/>
    <s v="South West"/>
    <x v="5"/>
    <x v="87"/>
    <s v="South Dorset"/>
    <s v="BH20 6BT"/>
    <n v="2"/>
    <n v="113"/>
    <d v="2020-10-20T00:00:00"/>
    <d v="2020-11-19T00:00:00"/>
  </r>
  <r>
    <s v="Ofsted School Webpage"/>
    <n v="101316"/>
    <n v="3023302"/>
    <s v="Christ Church Primary School"/>
    <x v="0"/>
    <s v="Voluntary Aided School"/>
    <s v="NULL"/>
    <s v="Not applicable"/>
    <s v="Does not have a sixth form"/>
    <s v="Church of England"/>
    <s v="Does not apply"/>
    <s v="Christian"/>
    <s v="London"/>
    <x v="3"/>
    <x v="94"/>
    <s v="Chipping Barnet"/>
    <s v="EN5 4NS"/>
    <n v="2"/>
    <n v="234"/>
    <d v="2020-10-20T00:00:00"/>
    <d v="2020-11-24T00:00:00"/>
  </r>
  <r>
    <s v="Ofsted School Webpage"/>
    <n v="112704"/>
    <n v="8302371"/>
    <s v="Waingroves Primary School"/>
    <x v="0"/>
    <s v="Community School"/>
    <s v="NULL"/>
    <s v="Not applicable"/>
    <s v="Does not have a sixth form"/>
    <s v="Does not apply"/>
    <s v="Does not apply"/>
    <s v="Non-denominational"/>
    <s v="East Midlands"/>
    <x v="6"/>
    <x v="6"/>
    <s v="Amber Valley"/>
    <s v="DE5 9TD"/>
    <n v="3"/>
    <n v="209"/>
    <d v="2020-10-20T00:00:00"/>
    <d v="2020-11-25T00:00:00"/>
  </r>
  <r>
    <s v="Ofsted School Webpage"/>
    <n v="116466"/>
    <n v="8504307"/>
    <s v="The Henry Cort Community College"/>
    <x v="1"/>
    <s v="Community School"/>
    <s v="NULL"/>
    <s v="Non-selective"/>
    <s v="Does not have a sixth form"/>
    <s v="Does not apply"/>
    <s v="Does not apply"/>
    <s v="Non-denominational"/>
    <s v="South East"/>
    <x v="2"/>
    <x v="2"/>
    <s v="Fareham"/>
    <s v="PO15 6PH"/>
    <n v="1"/>
    <n v="812"/>
    <d v="2020-10-20T00:00:00"/>
    <d v="2020-11-22T00:00:00"/>
  </r>
  <r>
    <s v="Ofsted School Webpage"/>
    <n v="111086"/>
    <n v="8962239"/>
    <s v="Westminster Community Primary School"/>
    <x v="0"/>
    <s v="Community School"/>
    <s v="NULL"/>
    <s v="Not applicable"/>
    <s v="Does not have a sixth form"/>
    <s v="Does not apply"/>
    <s v="Does not apply"/>
    <s v="Non-denominational"/>
    <s v="North West"/>
    <x v="4"/>
    <x v="20"/>
    <s v="Ellesmere Port and Neston"/>
    <s v="CH65 2ED"/>
    <n v="5"/>
    <n v="119"/>
    <d v="2020-10-20T00:00:00"/>
    <d v="2020-11-19T00:00:00"/>
  </r>
  <r>
    <s v="Ofsted School Webpage"/>
    <n v="114255"/>
    <n v="8403413"/>
    <s v="All Saints' Catholic Voluntary Aided Primary School"/>
    <x v="0"/>
    <s v="Voluntary Aided School"/>
    <s v="NULL"/>
    <s v="Not applicable"/>
    <s v="Does not have a sixth form"/>
    <s v="Roman Catholic"/>
    <s v="Does not apply"/>
    <s v="Christian"/>
    <s v="North East, Yorkshire and the Humber"/>
    <x v="8"/>
    <x v="85"/>
    <s v="North West Durham"/>
    <s v="DH7 0JG"/>
    <n v="3"/>
    <n v="179"/>
    <d v="2020-10-20T00:00:00"/>
    <d v="2020-11-29T00:00:00"/>
  </r>
  <r>
    <s v="Ofsted School Webpage"/>
    <n v="126006"/>
    <n v="9383051"/>
    <s v="Balcombe CofE Controlled Primary School"/>
    <x v="0"/>
    <s v="Voluntary Controlled School"/>
    <s v="NULL"/>
    <s v="Not applicable"/>
    <s v="Does not have a sixth form"/>
    <s v="Church of England"/>
    <s v="Does not apply"/>
    <s v="Christian"/>
    <s v="South East"/>
    <x v="2"/>
    <x v="55"/>
    <s v="Horsham"/>
    <s v="RH17 6HS"/>
    <n v="1"/>
    <n v="133"/>
    <d v="2020-10-20T00:00:00"/>
    <d v="2020-11-23T00:00:00"/>
  </r>
  <r>
    <s v="Ofsted School Webpage"/>
    <n v="131209"/>
    <n v="8812082"/>
    <s v="Church Langley Community Primary School"/>
    <x v="0"/>
    <s v="Community School"/>
    <d v="1997-09-01T00:00:00"/>
    <s v="Not applicable"/>
    <s v="Does not have a sixth form"/>
    <s v="Does not apply"/>
    <s v="Does not apply"/>
    <s v="Non-denominational"/>
    <s v="East of England"/>
    <x v="7"/>
    <x v="75"/>
    <s v="Harlow"/>
    <s v="CM17 9TH"/>
    <n v="2"/>
    <n v="496"/>
    <d v="2020-10-20T00:00:00"/>
    <d v="2020-11-17T00:00:00"/>
  </r>
  <r>
    <s v="Ofsted School Webpage"/>
    <n v="104070"/>
    <n v="3342065"/>
    <s v="Coleshill Heath School"/>
    <x v="0"/>
    <s v="Community School"/>
    <s v="NULL"/>
    <s v="Not applicable"/>
    <s v="Does not have a sixth form"/>
    <s v="Does not apply"/>
    <s v="Does not apply"/>
    <s v="Non-denominational"/>
    <s v="West Midlands"/>
    <x v="1"/>
    <x v="74"/>
    <s v="Meriden"/>
    <s v="B37 7PY"/>
    <n v="5"/>
    <n v="523"/>
    <d v="2020-10-20T00:00:00"/>
    <d v="2020-11-26T00:00:00"/>
  </r>
  <r>
    <s v="Ofsted School Webpage"/>
    <n v="117160"/>
    <n v="9192123"/>
    <s v="Field Junior School"/>
    <x v="0"/>
    <s v="Community School"/>
    <s v="NULL"/>
    <s v="Not applicable"/>
    <s v="Does not have a sixth form"/>
    <s v="Does not apply"/>
    <s v="Does not apply"/>
    <s v="Non-denominational"/>
    <s v="East of England"/>
    <x v="7"/>
    <x v="56"/>
    <s v="Watford"/>
    <s v="WD18 0AZ"/>
    <n v="2"/>
    <n v="260"/>
    <d v="2020-10-20T00:00:00"/>
    <d v="2020-11-22T00:00:00"/>
  </r>
  <r>
    <s v="Ofsted School Webpage"/>
    <n v="132264"/>
    <n v="3132079"/>
    <s v="Fairholme Primary School"/>
    <x v="0"/>
    <s v="Community School"/>
    <d v="2001-09-01T00:00:00"/>
    <s v="Not applicable"/>
    <s v="Does not have a sixth form"/>
    <s v="Does not apply"/>
    <s v="Does not apply"/>
    <s v="Non-denominational"/>
    <s v="London"/>
    <x v="3"/>
    <x v="37"/>
    <s v="Feltham and Heston"/>
    <s v="TW14 8ET"/>
    <n v="4"/>
    <n v="534"/>
    <d v="2020-10-20T00:00:00"/>
    <d v="2020-11-22T00:00:00"/>
  </r>
  <r>
    <s v="Ofsted School Webpage"/>
    <n v="116447"/>
    <n v="8504204"/>
    <s v="Fernhill School"/>
    <x v="1"/>
    <s v="Community School"/>
    <s v="NULL"/>
    <s v="Non-selective"/>
    <s v="Does not have a sixth form"/>
    <s v="Does not apply"/>
    <s v="Does not apply"/>
    <s v="Non-denominational"/>
    <s v="South East"/>
    <x v="2"/>
    <x v="2"/>
    <s v="Aldershot"/>
    <s v="GU14 9BY"/>
    <n v="3"/>
    <n v="590"/>
    <d v="2020-10-20T00:00:00"/>
    <d v="2020-11-23T00:00:00"/>
  </r>
  <r>
    <s v="Ofsted School Webpage"/>
    <n v="103313"/>
    <n v="3302284"/>
    <s v="Deykin Avenue Junior and Infant School"/>
    <x v="0"/>
    <s v="Community School"/>
    <s v="NULL"/>
    <s v="Not applicable"/>
    <s v="Not applicable"/>
    <s v="Does not apply"/>
    <s v="Does not apply"/>
    <s v="Non-denominational"/>
    <s v="West Midlands"/>
    <x v="1"/>
    <x v="8"/>
    <s v="Birmingham, Perry Barr"/>
    <s v="B6 7BU"/>
    <n v="5"/>
    <n v="211"/>
    <d v="2020-10-20T00:00:00"/>
    <d v="2020-11-16T00:00:00"/>
  </r>
  <r>
    <s v="Ofsted School Webpage"/>
    <n v="125819"/>
    <n v="9382009"/>
    <s v="Bosham Primary School"/>
    <x v="0"/>
    <s v="Community School"/>
    <s v="NULL"/>
    <s v="Not applicable"/>
    <s v="Does not have a sixth form"/>
    <s v="Does not apply"/>
    <s v="Does not apply"/>
    <s v="Non-denominational"/>
    <s v="South East"/>
    <x v="2"/>
    <x v="55"/>
    <s v="Chichester"/>
    <s v="PO18 8QF"/>
    <n v="1"/>
    <n v="207"/>
    <d v="2020-10-20T00:00:00"/>
    <d v="2020-11-22T00:00:00"/>
  </r>
  <r>
    <s v="Ofsted School Webpage"/>
    <n v="135162"/>
    <n v="3833930"/>
    <s v="Mill Field Primary School"/>
    <x v="0"/>
    <s v="Community School"/>
    <d v="2007-09-01T00:00:00"/>
    <s v="Not applicable"/>
    <s v="Does not have a sixth form"/>
    <s v="Does not apply"/>
    <s v="Does not apply"/>
    <s v="Non-denominational"/>
    <s v="North East, Yorkshire and the Humber"/>
    <x v="0"/>
    <x v="26"/>
    <s v="Leeds North East"/>
    <s v="LS7 2DR"/>
    <n v="5"/>
    <n v="376"/>
    <d v="2020-10-20T00:00:00"/>
    <d v="2020-11-30T00:00:00"/>
  </r>
  <r>
    <s v="Ofsted School Webpage"/>
    <n v="122258"/>
    <n v="9292407"/>
    <s v="New Delaval Primary School"/>
    <x v="0"/>
    <s v="Community School"/>
    <s v="NULL"/>
    <s v="Not applicable"/>
    <s v="Does not have a sixth form"/>
    <s v="Does not apply"/>
    <s v="Does not apply"/>
    <s v="Non-denominational"/>
    <s v="North East, Yorkshire and the Humber"/>
    <x v="8"/>
    <x v="39"/>
    <s v="Blyth Valley"/>
    <s v="NE24 4DA"/>
    <n v="5"/>
    <n v="247"/>
    <d v="2020-10-20T00:00:00"/>
    <d v="2020-11-26T00:00:00"/>
  </r>
  <r>
    <s v="Ofsted School Webpage"/>
    <n v="135215"/>
    <n v="3333408"/>
    <s v="Pennyhill Primary School "/>
    <x v="0"/>
    <s v="Community School"/>
    <d v="2007-09-01T00:00:00"/>
    <s v="Not applicable"/>
    <s v="Does not have a sixth form"/>
    <s v="Does not apply"/>
    <s v="Does not apply"/>
    <s v="Non-denominational"/>
    <s v="West Midlands"/>
    <x v="1"/>
    <x v="10"/>
    <s v="West Bromwich East"/>
    <s v="B71 3BU"/>
    <n v="5"/>
    <n v="682"/>
    <d v="2020-10-20T00:00:00"/>
    <d v="2020-11-23T00:00:00"/>
  </r>
  <r>
    <s v="Ofsted School Webpage"/>
    <n v="111237"/>
    <n v="8952720"/>
    <s v="Manor Park School and Nursery"/>
    <x v="0"/>
    <s v="Community School"/>
    <s v="NULL"/>
    <s v="Not applicable"/>
    <s v="Does not have a sixth form"/>
    <s v="Does not apply"/>
    <s v="Does not apply"/>
    <s v="Non-denominational"/>
    <s v="North West"/>
    <x v="4"/>
    <x v="91"/>
    <s v="Tatton"/>
    <s v="WA16 8DB"/>
    <n v="3"/>
    <n v="255"/>
    <d v="2020-10-20T00:00:00"/>
    <d v="2020-11-23T00:00:00"/>
  </r>
  <r>
    <s v="Ofsted School Webpage"/>
    <n v="118377"/>
    <n v="8862285"/>
    <s v="Mersham Primary School"/>
    <x v="0"/>
    <s v="Foundation School"/>
    <s v="NULL"/>
    <s v="Not applicable"/>
    <s v="Does not have a sixth form"/>
    <s v="Does not apply"/>
    <s v="Does not apply"/>
    <s v="Non-denominational"/>
    <s v="South East"/>
    <x v="2"/>
    <x v="7"/>
    <s v="Ashford"/>
    <s v="TN25 6NU"/>
    <n v="2"/>
    <n v="194"/>
    <d v="2020-10-20T00:00:00"/>
    <d v="2020-11-22T00:00:00"/>
  </r>
  <r>
    <s v="Ofsted School Webpage"/>
    <n v="132028"/>
    <n v="8462002"/>
    <s v="Moulsecoomb Primary School"/>
    <x v="0"/>
    <s v="Community School"/>
    <d v="2000-01-31T00:00:00"/>
    <s v="Not applicable"/>
    <s v="Does not have a sixth form"/>
    <s v="Does not apply"/>
    <s v="Does not apply"/>
    <s v="Non-denominational"/>
    <s v="South East"/>
    <x v="2"/>
    <x v="84"/>
    <s v="Brighton, Kemptown"/>
    <s v="BN2 4PA"/>
    <n v="5"/>
    <n v="226"/>
    <d v="2020-10-20T00:00:00"/>
    <d v="2020-11-23T00:00:00"/>
  </r>
  <r>
    <s v="Ofsted School Webpage"/>
    <n v="135052"/>
    <n v="8852911"/>
    <s v="Offmore Primary School"/>
    <x v="0"/>
    <s v="Community School"/>
    <d v="2007-09-01T00:00:00"/>
    <s v="Not applicable"/>
    <s v="Does not have a sixth form"/>
    <s v="Does not apply"/>
    <s v="Does not apply"/>
    <s v="Non-denominational"/>
    <s v="West Midlands"/>
    <x v="1"/>
    <x v="89"/>
    <s v="Wyre Forest"/>
    <s v="DY10 3HA"/>
    <n v="3"/>
    <n v="326"/>
    <d v="2020-10-20T00:00:00"/>
    <d v="2020-11-15T00:00:00"/>
  </r>
  <r>
    <s v="Ofsted School Webpage"/>
    <n v="109949"/>
    <n v="8693006"/>
    <s v="Basildon C.E. Primary School"/>
    <x v="0"/>
    <s v="Voluntary Controlled School"/>
    <s v="NULL"/>
    <s v="Not applicable"/>
    <s v="Does not have a sixth form"/>
    <s v="Church of England"/>
    <s v="Does not apply"/>
    <s v="Christian"/>
    <s v="South East"/>
    <x v="2"/>
    <x v="30"/>
    <s v="Newbury"/>
    <s v="RG8 8PD"/>
    <n v="1"/>
    <n v="147"/>
    <d v="2020-10-20T00:00:00"/>
    <d v="2020-11-16T00:00:00"/>
  </r>
  <r>
    <s v="Ofsted School Webpage"/>
    <n v="111253"/>
    <n v="8953114"/>
    <s v="Bosley St Mary's CofE Primary School"/>
    <x v="0"/>
    <s v="Voluntary Controlled School"/>
    <s v="NULL"/>
    <s v="Not applicable"/>
    <s v="Does not have a sixth form"/>
    <s v="Church of England"/>
    <s v="Does not apply"/>
    <s v="Christian"/>
    <s v="North West"/>
    <x v="4"/>
    <x v="91"/>
    <s v="Macclesfield"/>
    <s v="SK11 0NX"/>
    <n v="1"/>
    <n v="34"/>
    <d v="2020-10-20T00:00:00"/>
    <d v="2020-11-26T00:00:00"/>
  </r>
  <r>
    <s v="Ofsted School Webpage"/>
    <n v="109324"/>
    <n v="8034502"/>
    <s v="Chipping Sodbury School"/>
    <x v="1"/>
    <s v="Foundation School"/>
    <s v="NULL"/>
    <s v="Non-selective"/>
    <s v="Has a sixth form"/>
    <s v="None"/>
    <s v="Does not apply"/>
    <s v="Non-denominational"/>
    <s v="South West"/>
    <x v="5"/>
    <x v="5"/>
    <s v="Thornbury and Yate"/>
    <s v="BS37 6EW"/>
    <n v="1"/>
    <n v="734"/>
    <d v="2020-10-20T00:00:00"/>
    <d v="2020-11-17T00:00:00"/>
  </r>
  <r>
    <s v="Ofsted School Webpage"/>
    <n v="135531"/>
    <n v="2076905"/>
    <s v="Chelsea Academy"/>
    <x v="1"/>
    <s v="Academy Sponsor Led"/>
    <d v="2009-09-01T00:00:00"/>
    <s v="Non-selective"/>
    <s v="Has a sixth form"/>
    <s v="Church of England"/>
    <s v="None"/>
    <s v="Christian"/>
    <s v="London"/>
    <x v="3"/>
    <x v="3"/>
    <s v="Chelsea and Fulham"/>
    <s v="SW10 0AB"/>
    <n v="4"/>
    <n v="1137"/>
    <d v="2020-10-20T00:00:00"/>
    <d v="2020-11-25T00:00:00"/>
  </r>
  <r>
    <s v="Ofsted School Webpage"/>
    <n v="122382"/>
    <n v="9297003"/>
    <s v="Cleaswell Hill School"/>
    <x v="2"/>
    <s v="Community Special School"/>
    <s v="NULL"/>
    <s v="Not applicable"/>
    <s v="Has a sixth form"/>
    <s v="Does not apply"/>
    <s v="Does not apply"/>
    <s v="Non-denominational"/>
    <s v="North East, Yorkshire and the Humber"/>
    <x v="8"/>
    <x v="39"/>
    <s v="Wansbeck"/>
    <s v="NE62 5DJ"/>
    <n v="4"/>
    <n v="187"/>
    <d v="2020-10-20T00:00:00"/>
    <d v="2020-11-22T00:00:00"/>
  </r>
  <r>
    <s v="Ofsted School Webpage"/>
    <n v="113656"/>
    <n v="8787087"/>
    <s v="Orchard Manor School"/>
    <x v="2"/>
    <s v="Foundation Special School"/>
    <d v="1899-12-31T00:00:00"/>
    <s v="Not applicable"/>
    <s v="Has a sixth form"/>
    <s v="Does not apply"/>
    <s v="Does not apply"/>
    <s v="Non-denominational"/>
    <s v="South West"/>
    <x v="5"/>
    <x v="62"/>
    <s v="Newton Abbot"/>
    <s v="EX7 9SF"/>
    <n v="3"/>
    <n v="178"/>
    <d v="2020-10-20T00:00:00"/>
    <d v="2020-11-22T00:00:00"/>
  </r>
  <r>
    <s v="Ofsted School Webpage"/>
    <n v="130908"/>
    <n v="8066907"/>
    <s v="Macmillan Academy"/>
    <x v="1"/>
    <s v="Academy Sponsor Led"/>
    <d v="2005-09-01T00:00:00"/>
    <s v="Non-selective"/>
    <s v="Has a sixth form"/>
    <s v="Does not apply"/>
    <s v="None"/>
    <s v="Non-denominational"/>
    <s v="North East, Yorkshire and the Humber"/>
    <x v="8"/>
    <x v="61"/>
    <s v="Middlesbrough"/>
    <s v="TS5 4AG"/>
    <n v="5"/>
    <n v="1554"/>
    <d v="2020-10-20T00:00:00"/>
    <d v="2020-12-17T00:00:00"/>
  </r>
  <r>
    <s v="Ofsted School Webpage"/>
    <n v="138034"/>
    <n v="8862232"/>
    <s v="Luddenham School"/>
    <x v="0"/>
    <s v="Academy Converter"/>
    <d v="2012-04-01T00:00:00"/>
    <s v="Not applicable"/>
    <s v="Does not have a sixth form"/>
    <s v="Does not apply"/>
    <s v="Does not apply"/>
    <s v="Non-denominational"/>
    <s v="South East"/>
    <x v="2"/>
    <x v="7"/>
    <s v="Sittingbourne and Sheppey"/>
    <s v="ME13 0TE"/>
    <n v="3"/>
    <n v="188"/>
    <d v="2020-10-20T00:00:00"/>
    <d v="2020-11-24T00:00:00"/>
  </r>
  <r>
    <s v="Ofsted School Webpage"/>
    <n v="137680"/>
    <n v="9255205"/>
    <s v="Malcolm Sargent Primary School"/>
    <x v="0"/>
    <s v="Academy Converter"/>
    <d v="2011-12-01T00:00:00"/>
    <s v="Non-selective"/>
    <s v="Not applicable"/>
    <s v="None"/>
    <s v="Does not apply"/>
    <s v="Non-denominational"/>
    <s v="East Midlands"/>
    <x v="6"/>
    <x v="18"/>
    <s v="Grantham and Stamford"/>
    <s v="PE9 2SR"/>
    <n v="1"/>
    <n v="651"/>
    <d v="2020-10-20T00:00:00"/>
    <d v="2020-11-16T00:00:00"/>
  </r>
  <r>
    <s v="Ofsted School Webpage"/>
    <n v="138844"/>
    <n v="8235408"/>
    <s v="Holywell School"/>
    <x v="1"/>
    <s v="Academy Converter"/>
    <d v="2012-10-01T00:00:00"/>
    <s v="Not applicable"/>
    <s v="Does not have a sixth form"/>
    <s v="Church of England"/>
    <s v="Does not apply"/>
    <s v="Christian"/>
    <s v="East of England"/>
    <x v="7"/>
    <x v="115"/>
    <s v="Mid Bedfordshire"/>
    <s v="MK43 0JA"/>
    <n v="1"/>
    <n v="684"/>
    <d v="2020-10-20T00:00:00"/>
    <d v="2020-11-17T00:00:00"/>
  </r>
  <r>
    <s v="Ofsted School Webpage"/>
    <n v="135886"/>
    <n v="9296906"/>
    <s v="NCEA Duke's Secondary School"/>
    <x v="1"/>
    <s v="Academy Sponsor Led"/>
    <d v="2009-09-01T00:00:00"/>
    <s v="Non-selective"/>
    <s v="Has a sixth form"/>
    <s v="Church of England"/>
    <s v="None"/>
    <s v="Christian"/>
    <s v="North East, Yorkshire and the Humber"/>
    <x v="8"/>
    <x v="39"/>
    <s v="Wansbeck"/>
    <s v="NE63 9FZ"/>
    <n v="5"/>
    <n v="949"/>
    <d v="2020-10-20T00:00:00"/>
    <d v="2020-11-25T00:00:00"/>
  </r>
  <r>
    <s v="Ofsted School Webpage"/>
    <n v="141353"/>
    <n v="8782044"/>
    <s v="Gatehouse Primary Academy"/>
    <x v="0"/>
    <s v="Academy Sponsor Led"/>
    <d v="2014-12-01T00:00:00"/>
    <s v="Not applicable"/>
    <s v="Does not have a sixth form"/>
    <s v="Does not apply"/>
    <s v="None"/>
    <s v="Non-denominational"/>
    <s v="South West"/>
    <x v="5"/>
    <x v="62"/>
    <s v="Newton Abbot"/>
    <s v="EX7 0LW"/>
    <n v="2"/>
    <n v="317"/>
    <d v="2020-10-20T00:00:00"/>
    <d v="2020-11-17T00:00:00"/>
  </r>
  <r>
    <s v="Ofsted School Webpage"/>
    <n v="137852"/>
    <n v="3904605"/>
    <s v="Cardinal Hume Catholic School"/>
    <x v="1"/>
    <s v="Academy Converter"/>
    <d v="2012-02-01T00:00:00"/>
    <s v="Non-selective"/>
    <s v="Has a sixth form"/>
    <s v="Roman Catholic"/>
    <s v="Does not apply"/>
    <s v="Christian"/>
    <s v="North East, Yorkshire and the Humber"/>
    <x v="8"/>
    <x v="114"/>
    <s v="Gateshead"/>
    <s v="NE9 6RZ"/>
    <n v="4"/>
    <n v="1494"/>
    <d v="2020-10-20T00:00:00"/>
    <d v="2020-11-30T00:00:00"/>
  </r>
  <r>
    <s v="Ofsted School Webpage"/>
    <n v="138793"/>
    <n v="9262027"/>
    <s v="Great Yarmouth Primary Academy"/>
    <x v="0"/>
    <s v="Academy Sponsor Led"/>
    <d v="2012-09-01T00:00:00"/>
    <s v="Not applicable"/>
    <s v="Not applicable"/>
    <s v="Does not apply"/>
    <s v="None"/>
    <s v="Non-denominational"/>
    <s v="East of England"/>
    <x v="7"/>
    <x v="33"/>
    <s v="Great Yarmouth"/>
    <s v="NR30 3DT"/>
    <n v="5"/>
    <n v="400"/>
    <d v="2020-10-20T00:00:00"/>
    <d v="2020-11-23T00:00:00"/>
  </r>
  <r>
    <s v="Ofsted School Webpage"/>
    <n v="139803"/>
    <n v="9352001"/>
    <s v="Gusford Community Primary School"/>
    <x v="0"/>
    <s v="Academy Sponsor Led"/>
    <d v="2013-08-01T00:00:00"/>
    <s v="Not applicable"/>
    <s v="Does not have a sixth form"/>
    <s v="Does not apply"/>
    <s v="None"/>
    <s v="Non-denominational"/>
    <s v="East of England"/>
    <x v="7"/>
    <x v="14"/>
    <s v="Ipswich"/>
    <s v="IP2 9LQ"/>
    <n v="4"/>
    <n v="608"/>
    <d v="2020-10-20T00:00:00"/>
    <d v="2020-11-24T00:00:00"/>
  </r>
  <r>
    <s v="Ofsted School Webpage"/>
    <n v="136571"/>
    <n v="8864172"/>
    <s v="Hartsdown Academy"/>
    <x v="1"/>
    <s v="Academy Converter"/>
    <d v="2011-04-01T00:00:00"/>
    <s v="Non-selective"/>
    <s v="Has a sixth form"/>
    <s v="Does not apply"/>
    <s v="Does not apply"/>
    <s v="Non-denominational"/>
    <s v="South East"/>
    <x v="2"/>
    <x v="7"/>
    <s v="North Thanet"/>
    <s v="CT9 5RE"/>
    <n v="5"/>
    <n v="658"/>
    <d v="2020-10-20T00:00:00"/>
    <d v="2020-11-17T00:00:00"/>
  </r>
  <r>
    <s v="Ofsted School Webpage"/>
    <n v="139030"/>
    <n v="9282150"/>
    <s v="Southfield Primary School"/>
    <x v="0"/>
    <s v="Academy Converter"/>
    <d v="2012-12-01T00:00:00"/>
    <s v="Not applicable"/>
    <s v="Does not have a sixth form"/>
    <s v="Does not apply"/>
    <s v="Does not apply"/>
    <s v="Non-denominational"/>
    <s v="East Midlands"/>
    <x v="6"/>
    <x v="64"/>
    <s v="South Northamptonshire"/>
    <s v="NN13 6AU"/>
    <n v="1"/>
    <n v="168"/>
    <d v="2020-10-20T00:00:00"/>
    <d v="2020-11-24T00:00:00"/>
  </r>
  <r>
    <s v="Ofsted School Webpage"/>
    <n v="139006"/>
    <n v="3702016"/>
    <s v="St Helen's Primary Academy"/>
    <x v="0"/>
    <s v="Academy Sponsor Led"/>
    <d v="2012-12-01T00:00:00"/>
    <s v="Not applicable"/>
    <s v="Does not have a sixth form"/>
    <s v="Does not apply"/>
    <s v="None"/>
    <s v="Non-denominational"/>
    <s v="North East, Yorkshire and the Humber"/>
    <x v="0"/>
    <x v="129"/>
    <s v="Barnsley Central"/>
    <s v="S71 2PS"/>
    <n v="4"/>
    <n v="257"/>
    <d v="2020-10-20T00:00:00"/>
    <d v="2020-12-20T00:00:00"/>
  </r>
  <r>
    <s v="Ofsted School Webpage"/>
    <n v="140149"/>
    <n v="8614711"/>
    <s v="St Margaret Ward Catholic Academy"/>
    <x v="1"/>
    <s v="Academy Converter"/>
    <d v="2013-09-01T00:00:00"/>
    <s v="Non-selective"/>
    <s v="Has a sixth form"/>
    <s v="Roman Catholic"/>
    <s v="Does not apply"/>
    <s v="Christian"/>
    <s v="West Midlands"/>
    <x v="1"/>
    <x v="45"/>
    <s v="Stoke-on-Trent North"/>
    <s v="ST6 6LZ"/>
    <n v="5"/>
    <n v="1102"/>
    <d v="2020-10-20T00:00:00"/>
    <d v="2020-11-23T00:00:00"/>
  </r>
  <r>
    <s v="Ofsted School Webpage"/>
    <n v="141801"/>
    <n v="9332177"/>
    <s v="Othery Village School"/>
    <x v="0"/>
    <s v="Academy Converter"/>
    <d v="2015-03-01T00:00:00"/>
    <s v="Not applicable"/>
    <s v="Does not have a sixth form"/>
    <s v="Does not apply"/>
    <s v="Does not apply"/>
    <s v="Non-denominational"/>
    <s v="South West"/>
    <x v="5"/>
    <x v="34"/>
    <s v="Bridgwater and West Somerset"/>
    <s v="TA7 0PX"/>
    <n v="2"/>
    <n v="65"/>
    <d v="2020-10-20T00:00:00"/>
    <d v="2020-11-22T00:00:00"/>
  </r>
  <r>
    <s v="Ofsted School Webpage"/>
    <n v="137251"/>
    <n v="9095407"/>
    <s v="Appleby Grammar School"/>
    <x v="1"/>
    <s v="Academy Converter"/>
    <d v="2011-08-01T00:00:00"/>
    <s v="Non-selective"/>
    <s v="Has a sixth form"/>
    <s v="None"/>
    <s v="Does not apply"/>
    <s v="Non-denominational"/>
    <s v="North West"/>
    <x v="4"/>
    <x v="25"/>
    <s v="Penrith and The Border"/>
    <s v="CA16 6XU"/>
    <n v="1"/>
    <n v="375"/>
    <d v="2020-10-20T00:00:00"/>
    <d v="2020-11-30T00:00:00"/>
  </r>
  <r>
    <s v="Ofsted School Webpage"/>
    <n v="141734"/>
    <n v="3202005"/>
    <s v="Lime Academy Larkswood"/>
    <x v="0"/>
    <s v="Academy Converter"/>
    <d v="2015-02-01T00:00:00"/>
    <s v="Not applicable"/>
    <s v="Does not have a sixth form"/>
    <s v="Does not apply"/>
    <s v="Does not apply"/>
    <s v="Non-denominational"/>
    <s v="London"/>
    <x v="3"/>
    <x v="124"/>
    <s v="Chingford and Woodford Green"/>
    <s v="E4 8ET"/>
    <n v="4"/>
    <n v="713"/>
    <d v="2020-10-20T00:00:00"/>
    <d v="2020-11-23T00:00:00"/>
  </r>
  <r>
    <s v="Ofsted School Webpage"/>
    <n v="139032"/>
    <n v="8013408"/>
    <s v="St Nicholas of Tolentine Catholic Primary School"/>
    <x v="0"/>
    <s v="Academy Converter"/>
    <d v="2012-12-01T00:00:00"/>
    <s v="Not applicable"/>
    <s v="Does not have a sixth form"/>
    <s v="Roman Catholic"/>
    <s v="Does not apply"/>
    <s v="Christian"/>
    <s v="South West"/>
    <x v="5"/>
    <x v="38"/>
    <s v="Bristol West"/>
    <s v="BS5 0TJ"/>
    <n v="5"/>
    <n v="163"/>
    <d v="2020-10-20T00:00:00"/>
    <d v="2020-11-17T00:00:00"/>
  </r>
  <r>
    <s v="Ofsted School Webpage"/>
    <n v="140598"/>
    <n v="8952340"/>
    <s v="Whirley Primary School"/>
    <x v="0"/>
    <s v="Academy Converter"/>
    <d v="2014-02-01T00:00:00"/>
    <s v="Not applicable"/>
    <s v="Does not have a sixth form"/>
    <s v="Does not apply"/>
    <s v="Does not apply"/>
    <s v="Non-denominational"/>
    <s v="North West"/>
    <x v="4"/>
    <x v="91"/>
    <s v="Macclesfield"/>
    <s v="SK10 3JL"/>
    <n v="1"/>
    <n v="208"/>
    <d v="2020-10-20T00:00:00"/>
    <d v="2020-12-01T00:00:00"/>
  </r>
  <r>
    <s v="Ofsted School Webpage"/>
    <n v="140647"/>
    <n v="8953805"/>
    <s v="Wistaston Academy"/>
    <x v="0"/>
    <s v="Academy Converter"/>
    <d v="2014-03-01T00:00:00"/>
    <s v="Not applicable"/>
    <s v="Does not have a sixth form"/>
    <s v="Does not apply"/>
    <s v="Does not apply"/>
    <s v="Non-denominational"/>
    <s v="North West"/>
    <x v="4"/>
    <x v="91"/>
    <s v="Crewe and Nantwich"/>
    <s v="CW2 8QS"/>
    <n v="4"/>
    <n v="443"/>
    <d v="2020-10-20T00:00:00"/>
    <d v="2020-12-03T00:00:00"/>
  </r>
  <r>
    <s v="Ofsted School Webpage"/>
    <n v="143165"/>
    <n v="9082413"/>
    <s v="Bugle School"/>
    <x v="0"/>
    <s v="Academy Converter"/>
    <d v="2016-09-01T00:00:00"/>
    <s v="Not applicable"/>
    <s v="Does not have a sixth form"/>
    <s v="Does not apply"/>
    <s v="Does not apply"/>
    <s v="Non-denominational"/>
    <s v="South West"/>
    <x v="5"/>
    <x v="42"/>
    <s v="St Austell and Newquay"/>
    <s v="PL26 8PD"/>
    <n v="5"/>
    <n v="231"/>
    <d v="2020-10-20T00:00:00"/>
    <d v="2020-11-17T00:00:00"/>
  </r>
  <r>
    <s v="Ofsted School Webpage"/>
    <n v="137594"/>
    <n v="8737092"/>
    <s v="The Centre School"/>
    <x v="2"/>
    <s v="Academy Special Converter"/>
    <d v="2011-09-01T00:00:00"/>
    <s v="Not applicable"/>
    <s v="Not applicable"/>
    <s v="Does not apply"/>
    <s v="None"/>
    <s v="Non-denominational"/>
    <s v="East of England"/>
    <x v="7"/>
    <x v="43"/>
    <s v="South Cambridgeshire"/>
    <s v="CB24 8UA"/>
    <n v="2"/>
    <n v="85"/>
    <d v="2020-10-20T00:00:00"/>
    <d v="2020-11-26T00:00:00"/>
  </r>
  <r>
    <s v="Ofsted School Webpage"/>
    <n v="144893"/>
    <n v="3055950"/>
    <s v="Glebe School"/>
    <x v="2"/>
    <s v="Academy Special Converter"/>
    <d v="2017-09-01T00:00:00"/>
    <s v="Not applicable"/>
    <s v="Has a sixth form"/>
    <s v="Does not apply"/>
    <s v="Does not apply"/>
    <s v="Non-denominational"/>
    <s v="London"/>
    <x v="3"/>
    <x v="105"/>
    <s v="Beckenham"/>
    <s v="BR4 9AE"/>
    <n v="4"/>
    <n v="224"/>
    <d v="2020-10-20T00:00:00"/>
    <d v="2020-11-25T00:00:00"/>
  </r>
  <r>
    <s v="Ofsted School Webpage"/>
    <n v="144864"/>
    <n v="8012099"/>
    <s v="Headley Park Primary School"/>
    <x v="0"/>
    <s v="Academy Converter"/>
    <d v="2017-08-01T00:00:00"/>
    <s v="Not applicable"/>
    <s v="Does not have a sixth form"/>
    <s v="Does not apply"/>
    <s v="Does not apply"/>
    <s v="Non-denominational"/>
    <s v="South West"/>
    <x v="5"/>
    <x v="38"/>
    <s v="Bristol South"/>
    <s v="BS13 7QB"/>
    <n v="4"/>
    <n v="456"/>
    <d v="2020-10-20T00:00:00"/>
    <d v="2020-11-22T00:00:00"/>
  </r>
  <r>
    <s v="Ofsted School Webpage"/>
    <n v="136278"/>
    <n v="8955401"/>
    <s v="The Fallibroome Academy"/>
    <x v="1"/>
    <s v="Academy Converter"/>
    <d v="2010-09-01T00:00:00"/>
    <s v="Non-selective"/>
    <s v="Has a sixth form"/>
    <s v="None"/>
    <s v="Does not apply"/>
    <s v="Non-denominational"/>
    <s v="North West"/>
    <x v="4"/>
    <x v="91"/>
    <s v="Macclesfield"/>
    <s v="SK10 4AF"/>
    <n v="1"/>
    <n v="1529"/>
    <d v="2020-10-21T00:00:00"/>
    <d v="2020-12-02T00:00:00"/>
  </r>
  <r>
    <s v="Ofsted School Webpage"/>
    <n v="111424"/>
    <n v="8964158"/>
    <s v="Bishop Heber High School"/>
    <x v="1"/>
    <s v="Foundation School"/>
    <s v="NULL"/>
    <s v="Non-selective"/>
    <s v="Has a sixth form"/>
    <s v="None"/>
    <s v="Does not apply"/>
    <s v="Non-denominational"/>
    <s v="North West"/>
    <x v="4"/>
    <x v="20"/>
    <s v="Eddisbury"/>
    <s v="SY14 8JD"/>
    <n v="1"/>
    <n v="1306"/>
    <d v="2020-10-21T00:00:00"/>
    <d v="2020-11-24T00:00:00"/>
  </r>
  <r>
    <s v="Ofsted School Webpage"/>
    <n v="120572"/>
    <n v="9253124"/>
    <s v="The Hackthorn Church of England Primary School"/>
    <x v="0"/>
    <s v="Voluntary Controlled School"/>
    <s v="NULL"/>
    <s v="Not applicable"/>
    <s v="Does not have a sixth form"/>
    <s v="Church of England"/>
    <s v="Does not apply"/>
    <s v="Christian"/>
    <s v="East Midlands"/>
    <x v="6"/>
    <x v="18"/>
    <s v="Gainsborough"/>
    <s v="LN2 3PF"/>
    <n v="3"/>
    <n v="59"/>
    <d v="2020-10-21T00:00:00"/>
    <d v="2020-11-25T00:00:00"/>
  </r>
  <r>
    <s v="Ofsted School Webpage"/>
    <n v="112322"/>
    <n v="9093365"/>
    <s v="St Thomas's CofE Primary School"/>
    <x v="0"/>
    <s v="Voluntary Aided School"/>
    <s v="NULL"/>
    <s v="Not applicable"/>
    <s v="Does not have a sixth form"/>
    <s v="Church of England"/>
    <s v="Does not apply"/>
    <s v="Christian"/>
    <s v="North West"/>
    <x v="4"/>
    <x v="25"/>
    <s v="Westmorland and Lonsdale"/>
    <s v="LA9 5PP"/>
    <n v="3"/>
    <n v="193"/>
    <d v="2020-10-21T00:00:00"/>
    <d v="2020-11-23T00:00:00"/>
  </r>
  <r>
    <s v="Ofsted School Webpage"/>
    <n v="112282"/>
    <n v="9093125"/>
    <s v="Allithwaite CofE Primary School"/>
    <x v="0"/>
    <s v="Voluntary Controlled School"/>
    <s v="NULL"/>
    <s v="Not applicable"/>
    <s v="Does not have a sixth form"/>
    <s v="Church of England"/>
    <s v="Does not apply"/>
    <s v="Christian"/>
    <s v="North West"/>
    <x v="4"/>
    <x v="25"/>
    <s v="Westmorland and Lonsdale"/>
    <s v="LA11 7RD"/>
    <n v="1"/>
    <n v="103"/>
    <d v="2020-10-21T00:00:00"/>
    <d v="2020-12-06T00:00:00"/>
  </r>
  <r>
    <s v="Ofsted School Webpage"/>
    <n v="104074"/>
    <n v="3342082"/>
    <s v="Cheswick Green Primary School"/>
    <x v="0"/>
    <s v="Community School"/>
    <s v="NULL"/>
    <s v="Not applicable"/>
    <s v="Does not have a sixth form"/>
    <s v="Does not apply"/>
    <s v="Does not apply"/>
    <s v="Non-denominational"/>
    <s v="West Midlands"/>
    <x v="1"/>
    <x v="74"/>
    <s v="Meriden"/>
    <s v="B90 4HG"/>
    <n v="1"/>
    <n v="255"/>
    <d v="2020-10-21T00:00:00"/>
    <d v="2020-11-19T00:00:00"/>
  </r>
  <r>
    <s v="Ofsted School Webpage"/>
    <n v="121942"/>
    <n v="9282206"/>
    <s v="Denfield Park Primary School"/>
    <x v="0"/>
    <s v="Community School"/>
    <s v="NULL"/>
    <s v="Not applicable"/>
    <s v="Does not have a sixth form"/>
    <s v="Does not apply"/>
    <s v="Does not apply"/>
    <s v="Non-denominational"/>
    <s v="East Midlands"/>
    <x v="6"/>
    <x v="64"/>
    <s v="Wellingborough"/>
    <s v="NN10 0DA"/>
    <n v="3"/>
    <n v="453"/>
    <d v="2020-10-21T00:00:00"/>
    <d v="2020-11-16T00:00:00"/>
  </r>
  <r>
    <s v="Ofsted School Webpage"/>
    <n v="100013"/>
    <n v="2022184"/>
    <s v="Edith Neville Primary School"/>
    <x v="0"/>
    <s v="Community School"/>
    <s v="NULL"/>
    <s v="Not applicable"/>
    <s v="Does not have a sixth form"/>
    <s v="Does not apply"/>
    <s v="Does not apply"/>
    <s v="Non-denominational"/>
    <s v="London"/>
    <x v="3"/>
    <x v="22"/>
    <s v="Holborn and St Pancras"/>
    <s v="NW1 1DN"/>
    <n v="5"/>
    <n v="197"/>
    <d v="2020-10-21T00:00:00"/>
    <d v="2020-12-01T00:00:00"/>
  </r>
  <r>
    <s v="Ofsted School Webpage"/>
    <n v="103044"/>
    <n v="3202017"/>
    <s v="Downsell Primary School"/>
    <x v="0"/>
    <s v="Community School"/>
    <s v="NULL"/>
    <s v="Not applicable"/>
    <s v="Does not have a sixth form"/>
    <s v="Does not apply"/>
    <s v="Does not apply"/>
    <s v="Non-denominational"/>
    <s v="London"/>
    <x v="3"/>
    <x v="124"/>
    <s v="Leyton and Wanstead"/>
    <s v="E15 2BS"/>
    <n v="4"/>
    <n v="578"/>
    <d v="2020-10-21T00:00:00"/>
    <d v="2020-12-02T00:00:00"/>
  </r>
  <r>
    <s v="Ofsted School Webpage"/>
    <n v="112316"/>
    <n v="9093357"/>
    <s v="Crosscrake CofE Primary School"/>
    <x v="0"/>
    <s v="Voluntary Aided School"/>
    <s v="NULL"/>
    <s v="Not applicable"/>
    <s v="Does not have a sixth form"/>
    <s v="Church of England"/>
    <s v="Does not apply"/>
    <s v="Christian"/>
    <s v="North West"/>
    <x v="4"/>
    <x v="25"/>
    <s v="Westmorland and Lonsdale"/>
    <s v="LA8 0LB"/>
    <n v="1"/>
    <n v="76"/>
    <d v="2020-10-21T00:00:00"/>
    <d v="2020-11-30T00:00:00"/>
  </r>
  <r>
    <s v="Ofsted School Webpage"/>
    <n v="100437"/>
    <n v="2063384"/>
    <s v="Sacred Heart Catholic Primary School"/>
    <x v="0"/>
    <s v="Voluntary Aided School"/>
    <s v="NULL"/>
    <s v="Not applicable"/>
    <s v="Does not have a sixth form"/>
    <s v="Roman Catholic"/>
    <s v="Does not apply"/>
    <s v="Christian"/>
    <s v="London"/>
    <x v="3"/>
    <x v="70"/>
    <s v="Islington South and Finsbury"/>
    <s v="N7 8JN"/>
    <n v="5"/>
    <n v="472"/>
    <d v="2020-10-21T00:00:00"/>
    <d v="2020-11-24T00:00:00"/>
  </r>
  <r>
    <s v="Ofsted School Webpage"/>
    <n v="111351"/>
    <n v="8963552"/>
    <s v="Ellesmere Port Christ Church CofE Primary School"/>
    <x v="0"/>
    <s v="Voluntary Aided School"/>
    <s v="NULL"/>
    <s v="Not applicable"/>
    <s v="Does not have a sixth form"/>
    <s v="Church of England"/>
    <s v="Does not apply"/>
    <s v="Christian"/>
    <s v="North West"/>
    <x v="4"/>
    <x v="20"/>
    <s v="Ellesmere Port and Neston"/>
    <s v="CH65 6TQ"/>
    <n v="4"/>
    <n v="178"/>
    <d v="2020-10-21T00:00:00"/>
    <d v="2020-11-30T00:00:00"/>
  </r>
  <r>
    <s v="Ofsted School Webpage"/>
    <n v="100724"/>
    <n v="2093374"/>
    <s v="St Margaret's Lee CofE Primary School"/>
    <x v="0"/>
    <s v="Voluntary Aided School"/>
    <s v="NULL"/>
    <s v="Not applicable"/>
    <s v="Does not have a sixth form"/>
    <s v="Church of England"/>
    <s v="Does not apply"/>
    <s v="Christian"/>
    <s v="London"/>
    <x v="3"/>
    <x v="88"/>
    <s v="Lewisham East"/>
    <s v="SE13 5SG"/>
    <n v="4"/>
    <n v="232"/>
    <d v="2020-10-21T00:00:00"/>
    <d v="2020-11-15T00:00:00"/>
  </r>
  <r>
    <s v="Ofsted School Webpage"/>
    <n v="114258"/>
    <n v="8403441"/>
    <s v="St. Michael's C of E Primary School"/>
    <x v="0"/>
    <s v="Voluntary Aided School"/>
    <s v="NULL"/>
    <s v="Not applicable"/>
    <s v="Does not have a sixth form"/>
    <s v="Church of England"/>
    <s v="Does not apply"/>
    <s v="Christian"/>
    <s v="North East, Yorkshire and the Humber"/>
    <x v="8"/>
    <x v="85"/>
    <s v="Sedgefield"/>
    <s v="DL17 9AL"/>
    <n v="3"/>
    <n v="118"/>
    <d v="2020-10-22T00:00:00"/>
    <d v="2020-12-07T00:00:00"/>
  </r>
  <r>
    <s v="Ofsted School Webpage"/>
    <n v="126043"/>
    <n v="9383335"/>
    <s v="St Margaret's CofE Primary School"/>
    <x v="0"/>
    <s v="Voluntary Aided School"/>
    <s v="NULL"/>
    <s v="Not applicable"/>
    <s v="Does not have a sixth form"/>
    <s v="Church of England"/>
    <s v="Does not apply"/>
    <s v="Christian"/>
    <s v="South East"/>
    <x v="2"/>
    <x v="55"/>
    <s v="Crawley"/>
    <s v="RH11 0AQ"/>
    <n v="4"/>
    <n v="398"/>
    <d v="2020-10-22T00:00:00"/>
    <d v="2020-12-01T00:00:00"/>
  </r>
  <r>
    <s v="Ofsted School Webpage"/>
    <n v="100349"/>
    <n v="2053463"/>
    <s v="St Johns Walham Green Church of England Primary School"/>
    <x v="0"/>
    <s v="Voluntary Aided School"/>
    <s v="NULL"/>
    <s v="Not applicable"/>
    <s v="Does not have a sixth form"/>
    <s v="Church of England"/>
    <s v="Does not apply"/>
    <s v="Christian"/>
    <s v="London"/>
    <x v="3"/>
    <x v="101"/>
    <s v="Chelsea and Fulham"/>
    <s v="SW6 6AS"/>
    <n v="3"/>
    <n v="379"/>
    <d v="2020-10-22T00:00:00"/>
    <d v="2020-11-23T00:00:00"/>
  </r>
  <r>
    <s v="Ofsted School Webpage"/>
    <n v="125976"/>
    <n v="9383006"/>
    <s v="Chidham Parochial Primary School"/>
    <x v="0"/>
    <s v="Voluntary Controlled School"/>
    <s v="NULL"/>
    <s v="Not applicable"/>
    <s v="Does not have a sixth form"/>
    <s v="Church of England"/>
    <s v="Does not apply"/>
    <s v="Christian"/>
    <s v="South East"/>
    <x v="2"/>
    <x v="55"/>
    <s v="Chichester"/>
    <s v="PO18 8TH"/>
    <n v="2"/>
    <n v="204"/>
    <d v="2020-10-22T00:00:00"/>
    <d v="2020-11-23T00:00:00"/>
  </r>
  <r>
    <s v="Ofsted School Webpage"/>
    <n v="111311"/>
    <n v="8963415"/>
    <s v="St Clare's Catholic Primary School"/>
    <x v="0"/>
    <s v="Voluntary Aided School"/>
    <s v="NULL"/>
    <s v="Not applicable"/>
    <s v="Does not have a sixth form"/>
    <s v="Roman Catholic"/>
    <s v="Does not apply"/>
    <s v="Christian"/>
    <s v="North West"/>
    <x v="4"/>
    <x v="20"/>
    <s v="City of Chester"/>
    <s v="CH4 8HX"/>
    <n v="5"/>
    <n v="167"/>
    <d v="2020-10-22T00:00:00"/>
    <d v="2020-11-22T00:00:00"/>
  </r>
  <r>
    <s v="Ofsted School Webpage"/>
    <n v="135820"/>
    <n v="8955205"/>
    <s v="Christ the King Catholic and Church of England Primary School"/>
    <x v="0"/>
    <s v="Voluntary Aided School"/>
    <d v="2009-09-01T00:00:00"/>
    <s v="Not applicable"/>
    <s v="Does not have a sixth form"/>
    <s v="Church of England/Roman Catholic"/>
    <s v="Does not apply"/>
    <s v="Christian"/>
    <s v="North West"/>
    <x v="4"/>
    <x v="91"/>
    <s v="Macclesfield"/>
    <s v="SK11 7SF"/>
    <n v="4"/>
    <n v="113"/>
    <d v="2020-10-22T00:00:00"/>
    <d v="2020-11-30T00:00:00"/>
  </r>
  <r>
    <s v="Ofsted School Webpage"/>
    <n v="111281"/>
    <n v="8963163"/>
    <s v="Duddon St Peter's CofE Primary School"/>
    <x v="0"/>
    <s v="Voluntary Controlled School"/>
    <s v="NULL"/>
    <s v="Not applicable"/>
    <s v="Does not have a sixth form"/>
    <s v="Church of England"/>
    <s v="Does not apply"/>
    <s v="Christian"/>
    <s v="North West"/>
    <x v="4"/>
    <x v="20"/>
    <s v="Eddisbury"/>
    <s v="CW6 0EL"/>
    <n v="2"/>
    <n v="124"/>
    <d v="2020-10-22T00:00:00"/>
    <d v="2020-11-30T00:00:00"/>
  </r>
  <r>
    <s v="Ofsted School Webpage"/>
    <n v="115960"/>
    <n v="8502203"/>
    <s v="Wherwell Primary School"/>
    <x v="0"/>
    <s v="Community School"/>
    <s v="NULL"/>
    <s v="Not applicable"/>
    <s v="Does not have a sixth form"/>
    <s v="Does not apply"/>
    <s v="Does not apply"/>
    <s v="Non-denominational"/>
    <s v="South East"/>
    <x v="2"/>
    <x v="2"/>
    <s v="Romsey and Southampton North"/>
    <s v="SP11 7JP"/>
    <n v="1"/>
    <n v="142"/>
    <d v="2020-10-22T00:00:00"/>
    <d v="2020-11-25T00:00:00"/>
  </r>
  <r>
    <s v="Ofsted School Webpage"/>
    <n v="122223"/>
    <n v="9292228"/>
    <s v="Seaton Delaval First School"/>
    <x v="0"/>
    <s v="Community School"/>
    <s v="NULL"/>
    <s v="Not applicable"/>
    <s v="Does not have a sixth form"/>
    <s v="Does not apply"/>
    <s v="Does not apply"/>
    <s v="Non-denominational"/>
    <s v="North East, Yorkshire and the Humber"/>
    <x v="8"/>
    <x v="39"/>
    <s v="Blyth Valley"/>
    <s v="NE25 0EP"/>
    <n v="4"/>
    <n v="218"/>
    <d v="2020-10-22T00:00:00"/>
    <d v="2020-11-25T00:00:00"/>
  </r>
  <r>
    <s v="Ofsted School Webpage"/>
    <n v="116778"/>
    <n v="8852916"/>
    <s v="Westacre Middle School"/>
    <x v="0"/>
    <s v="Community School"/>
    <s v="NULL"/>
    <s v="Not applicable"/>
    <s v="Does not have a sixth form"/>
    <s v="Does not apply"/>
    <s v="Does not apply"/>
    <s v="Non-denominational"/>
    <s v="West Midlands"/>
    <x v="1"/>
    <x v="89"/>
    <s v="Mid Worcestershire"/>
    <s v="WR9 0AA"/>
    <n v="3"/>
    <n v="443"/>
    <d v="2020-10-22T00:00:00"/>
    <d v="2020-11-22T00:00:00"/>
  </r>
  <r>
    <s v="Ofsted School Webpage"/>
    <n v="100943"/>
    <n v="2112921"/>
    <s v="William Davis Primary School"/>
    <x v="0"/>
    <s v="Community School"/>
    <s v="NULL"/>
    <s v="Not applicable"/>
    <s v="Does not have a sixth form"/>
    <s v="Does not apply"/>
    <s v="Does not apply"/>
    <s v="Non-denominational"/>
    <s v="London"/>
    <x v="3"/>
    <x v="119"/>
    <s v="Bethnal Green and Bow"/>
    <s v="E2 6ET"/>
    <n v="5"/>
    <n v="159"/>
    <d v="2020-10-22T00:00:00"/>
    <d v="2020-11-23T00:00:00"/>
  </r>
  <r>
    <s v="Ofsted School Webpage"/>
    <n v="114469"/>
    <n v="8452145"/>
    <s v="Stafford Junior School"/>
    <x v="0"/>
    <s v="Community School"/>
    <s v="NULL"/>
    <s v="Not applicable"/>
    <s v="Does not have a sixth form"/>
    <s v="Does not apply"/>
    <s v="Does not apply"/>
    <s v="Non-denominational"/>
    <s v="South East"/>
    <x v="2"/>
    <x v="80"/>
    <s v="Eastbourne"/>
    <s v="BN22 8UA"/>
    <n v="3"/>
    <n v="357"/>
    <d v="2020-10-22T00:00:00"/>
    <d v="2020-11-29T00:00:00"/>
  </r>
  <r>
    <s v="Ofsted School Webpage"/>
    <n v="114188"/>
    <n v="8402705"/>
    <s v="St Andrew's Primary School"/>
    <x v="0"/>
    <s v="Community School"/>
    <s v="NULL"/>
    <s v="Not applicable"/>
    <s v="Does not have a sixth form"/>
    <s v="Does not apply"/>
    <s v="Does not apply"/>
    <s v="Non-denominational"/>
    <s v="North East, Yorkshire and the Humber"/>
    <x v="8"/>
    <x v="85"/>
    <s v="Bishop Auckland"/>
    <s v="DL14 6RY"/>
    <n v="5"/>
    <n v="132"/>
    <d v="2020-10-22T00:00:00"/>
    <d v="2020-11-24T00:00:00"/>
  </r>
  <r>
    <s v="Ofsted School Webpage"/>
    <n v="130270"/>
    <n v="8962725"/>
    <s v="Rivacre Valley Primary School"/>
    <x v="0"/>
    <s v="Community School"/>
    <d v="1995-09-01T00:00:00"/>
    <s v="Not applicable"/>
    <s v="Does not have a sixth form"/>
    <s v="Does not apply"/>
    <s v="Does not apply"/>
    <s v="Non-denominational"/>
    <s v="North West"/>
    <x v="4"/>
    <x v="20"/>
    <s v="Ellesmere Port and Neston"/>
    <s v="CH66 1LE"/>
    <n v="5"/>
    <n v="290"/>
    <d v="2020-10-22T00:00:00"/>
    <d v="2020-11-18T00:00:00"/>
  </r>
  <r>
    <s v="Ofsted School Webpage"/>
    <n v="103208"/>
    <n v="3302091"/>
    <s v="Gunter Primary School"/>
    <x v="0"/>
    <s v="Community School"/>
    <s v="NULL"/>
    <s v="Not applicable"/>
    <s v="Not applicable"/>
    <s v="Does not apply"/>
    <s v="Does not apply"/>
    <s v="Non-denominational"/>
    <s v="West Midlands"/>
    <x v="1"/>
    <x v="8"/>
    <s v="Birmingham, Erdington"/>
    <s v="B24 0RU"/>
    <n v="5"/>
    <n v="198"/>
    <d v="2020-10-22T00:00:00"/>
    <d v="2020-11-19T00:00:00"/>
  </r>
  <r>
    <s v="Ofsted School Webpage"/>
    <n v="109896"/>
    <n v="8692174"/>
    <s v="Downsway Primary School"/>
    <x v="0"/>
    <s v="Community School"/>
    <s v="NULL"/>
    <s v="Not applicable"/>
    <s v="Does not have a sixth form"/>
    <s v="Does not apply"/>
    <s v="Does not apply"/>
    <s v="Non-denominational"/>
    <s v="South East"/>
    <x v="2"/>
    <x v="30"/>
    <s v="Reading West"/>
    <s v="RG31 6FE"/>
    <n v="1"/>
    <n v="214"/>
    <d v="2020-10-22T00:00:00"/>
    <d v="2020-11-26T00:00:00"/>
  </r>
  <r>
    <s v="Ofsted School Webpage"/>
    <n v="107240"/>
    <n v="3802087"/>
    <s v="Carrwood Primary School"/>
    <x v="0"/>
    <s v="Community School"/>
    <s v="NULL"/>
    <s v="Not applicable"/>
    <s v="Does not have a sixth form"/>
    <s v="Does not apply"/>
    <s v="Does not apply"/>
    <s v="Non-denominational"/>
    <s v="North East, Yorkshire and the Humber"/>
    <x v="0"/>
    <x v="103"/>
    <s v="Bradford South"/>
    <s v="BD4 0EQ"/>
    <n v="5"/>
    <n v="387"/>
    <d v="2020-10-22T00:00:00"/>
    <d v="2020-11-18T00:00:00"/>
  </r>
  <r>
    <s v="Ofsted School Webpage"/>
    <n v="132161"/>
    <n v="8013437"/>
    <s v="Bridge Farm Primary School"/>
    <x v="0"/>
    <s v="Community School"/>
    <d v="2006-09-01T00:00:00"/>
    <s v="Not applicable"/>
    <s v="Does not have a sixth form"/>
    <s v="Does not apply"/>
    <s v="Does not apply"/>
    <s v="Non-denominational"/>
    <s v="South West"/>
    <x v="5"/>
    <x v="38"/>
    <s v="Bristol South"/>
    <s v="BS14 0LL"/>
    <n v="3"/>
    <n v="628"/>
    <d v="2020-10-22T00:00:00"/>
    <d v="2020-11-24T00:00:00"/>
  </r>
  <r>
    <s v="Ofsted School Webpage"/>
    <n v="118373"/>
    <n v="8862279"/>
    <s v="Brook Community Primary School"/>
    <x v="0"/>
    <s v="Foundation School"/>
    <s v="NULL"/>
    <s v="Not applicable"/>
    <s v="Does not have a sixth form"/>
    <s v="Does not apply"/>
    <s v="Does not apply"/>
    <s v="Non-denominational"/>
    <s v="South East"/>
    <x v="2"/>
    <x v="7"/>
    <s v="Folkestone and Hythe"/>
    <s v="TN25 5PB"/>
    <n v="3"/>
    <n v="91"/>
    <d v="2020-10-22T00:00:00"/>
    <d v="2020-12-14T00:00:00"/>
  </r>
  <r>
    <s v="Ofsted School Webpage"/>
    <n v="117084"/>
    <n v="9192002"/>
    <s v="Ashwell Primary School"/>
    <x v="0"/>
    <s v="Community School"/>
    <s v="NULL"/>
    <s v="Not applicable"/>
    <s v="Does not have a sixth form"/>
    <s v="Does not apply"/>
    <s v="Does not apply"/>
    <s v="Non-denominational"/>
    <s v="East of England"/>
    <x v="7"/>
    <x v="56"/>
    <s v="North East Hertfordshire"/>
    <s v="SG7 5QL"/>
    <n v="1"/>
    <n v="230"/>
    <d v="2020-10-22T00:00:00"/>
    <d v="2020-11-17T00:00:00"/>
  </r>
  <r>
    <s v="Ofsted School Webpage"/>
    <n v="117518"/>
    <n v="9194066"/>
    <s v="Barnwell School"/>
    <x v="1"/>
    <s v="Foundation School"/>
    <s v="NULL"/>
    <s v="Non-selective"/>
    <s v="Has a sixth form"/>
    <s v="Does not apply"/>
    <s v="Does not apply"/>
    <s v="Non-denominational"/>
    <s v="East of England"/>
    <x v="7"/>
    <x v="56"/>
    <s v="Stevenage"/>
    <s v="SG2 9SW"/>
    <n v="3"/>
    <n v="1045"/>
    <d v="2020-10-22T00:00:00"/>
    <d v="2020-11-17T00:00:00"/>
  </r>
  <r>
    <s v="Ofsted School Webpage"/>
    <n v="115600"/>
    <n v="9162171"/>
    <s v="Beech Green Primary School"/>
    <x v="0"/>
    <s v="Community School"/>
    <s v="NULL"/>
    <s v="Not applicable"/>
    <s v="Does not have a sixth form"/>
    <s v="Does not apply"/>
    <s v="Does not apply"/>
    <s v="Non-denominational"/>
    <s v="South West"/>
    <x v="5"/>
    <x v="28"/>
    <s v="Gloucester"/>
    <s v="GL2 4WD"/>
    <n v="3"/>
    <n v="410"/>
    <d v="2020-10-22T00:00:00"/>
    <d v="2020-11-22T00:00:00"/>
  </r>
  <r>
    <s v="Ofsted School Webpage"/>
    <n v="124572"/>
    <n v="9352066"/>
    <s v="Bucklesham Primary School"/>
    <x v="0"/>
    <s v="Community School"/>
    <s v="NULL"/>
    <s v="Not applicable"/>
    <s v="Does not have a sixth form"/>
    <s v="Does not apply"/>
    <s v="Does not apply"/>
    <s v="Non-denominational"/>
    <s v="East of England"/>
    <x v="7"/>
    <x v="14"/>
    <s v="Suffolk Coastal"/>
    <s v="IP10 0AX"/>
    <n v="2"/>
    <n v="97"/>
    <d v="2020-10-22T00:00:00"/>
    <d v="2020-11-25T00:00:00"/>
  </r>
  <r>
    <s v="Ofsted School Webpage"/>
    <n v="131433"/>
    <n v="3352245"/>
    <s v="Leighswood School"/>
    <x v="0"/>
    <s v="Community School"/>
    <d v="1998-09-01T00:00:00"/>
    <s v="Not applicable"/>
    <s v="Does not have a sixth form"/>
    <s v="Does not apply"/>
    <s v="Does not apply"/>
    <s v="Non-denominational"/>
    <s v="West Midlands"/>
    <x v="1"/>
    <x v="73"/>
    <s v="Aldridge-Brownhills"/>
    <s v="WS9 8HZ"/>
    <n v="4"/>
    <n v="609"/>
    <d v="2020-10-22T00:00:00"/>
    <d v="2020-11-23T00:00:00"/>
  </r>
  <r>
    <s v="Ofsted School Webpage"/>
    <n v="130949"/>
    <n v="8672254"/>
    <s v="Harmans Water Primary School"/>
    <x v="0"/>
    <s v="Community School"/>
    <d v="1996-09-01T00:00:00"/>
    <s v="Not applicable"/>
    <s v="Does not have a sixth form"/>
    <s v="Does not apply"/>
    <s v="Does not apply"/>
    <s v="Non-denominational"/>
    <s v="South East"/>
    <x v="2"/>
    <x v="11"/>
    <s v="Bracknell"/>
    <s v="RG12 9NE"/>
    <n v="2"/>
    <n v="583"/>
    <d v="2020-10-22T00:00:00"/>
    <d v="2020-11-29T00:00:00"/>
  </r>
  <r>
    <s v="Ofsted School Webpage"/>
    <n v="109145"/>
    <n v="8013013"/>
    <s v="St George Church of England Primary School"/>
    <x v="0"/>
    <s v="Voluntary Controlled School"/>
    <s v="NULL"/>
    <s v="Not applicable"/>
    <s v="Does not have a sixth form"/>
    <s v="Church of England"/>
    <s v="Does not apply"/>
    <s v="Christian"/>
    <s v="South West"/>
    <x v="5"/>
    <x v="38"/>
    <s v="Bristol West"/>
    <s v="BS1 5XJ"/>
    <n v="5"/>
    <n v="58"/>
    <d v="2020-10-22T00:00:00"/>
    <d v="2020-11-23T00:00:00"/>
  </r>
  <r>
    <s v="Ofsted School Webpage"/>
    <n v="123796"/>
    <n v="9333181"/>
    <s v="Langford Budville Church of England Primary School"/>
    <x v="0"/>
    <s v="Voluntary Controlled School"/>
    <s v="NULL"/>
    <s v="Not applicable"/>
    <s v="Does not have a sixth form"/>
    <s v="Church of England"/>
    <s v="Does not apply"/>
    <s v="Christian"/>
    <s v="South West"/>
    <x v="5"/>
    <x v="34"/>
    <s v="Taunton Deane"/>
    <s v="TA21 0RD"/>
    <n v="2"/>
    <n v="42"/>
    <d v="2020-10-22T00:00:00"/>
    <d v="2020-11-16T00:00:00"/>
  </r>
  <r>
    <s v="Ofsted School Webpage"/>
    <n v="111587"/>
    <n v="8062141"/>
    <s v="Breckon Hill Primary School"/>
    <x v="0"/>
    <s v="Foundation School"/>
    <s v="NULL"/>
    <s v="Not applicable"/>
    <s v="Does not have a sixth form"/>
    <s v="Does not apply"/>
    <s v="Does not apply"/>
    <s v="Non-denominational"/>
    <s v="North East, Yorkshire and the Humber"/>
    <x v="8"/>
    <x v="61"/>
    <s v="Middlesbrough"/>
    <s v="TS4 2DS"/>
    <n v="5"/>
    <n v="601"/>
    <d v="2020-10-22T00:00:00"/>
    <d v="2020-12-14T00:00:00"/>
  </r>
  <r>
    <s v="Ofsted School Webpage"/>
    <n v="135942"/>
    <n v="3716906"/>
    <s v="De Warenne Academy"/>
    <x v="1"/>
    <s v="Academy Sponsor Led"/>
    <d v="2009-09-01T00:00:00"/>
    <s v="Non-selective"/>
    <s v="Does not have a sixth form"/>
    <s v="Does not apply"/>
    <s v="Does not apply"/>
    <s v="Non-denominational"/>
    <s v="North East, Yorkshire and the Humber"/>
    <x v="0"/>
    <x v="68"/>
    <s v="Don Valley"/>
    <s v="DN12 3JY"/>
    <n v="5"/>
    <n v="742"/>
    <d v="2020-10-22T00:00:00"/>
    <d v="2020-11-26T00:00:00"/>
  </r>
  <r>
    <s v="Ofsted School Webpage"/>
    <n v="139299"/>
    <n v="8792691"/>
    <s v="Hooe Primary Academy"/>
    <x v="0"/>
    <s v="Academy Converter"/>
    <d v="2013-03-01T00:00:00"/>
    <s v="Not applicable"/>
    <s v="Does not have a sixth form"/>
    <s v="Does not apply"/>
    <s v="Does not apply"/>
    <s v="Non-denominational"/>
    <s v="South West"/>
    <x v="5"/>
    <x v="23"/>
    <s v="South West Devon"/>
    <s v="PL9 9RG"/>
    <n v="2"/>
    <n v="218"/>
    <d v="2020-10-22T00:00:00"/>
    <d v="2020-11-24T00:00:00"/>
  </r>
  <r>
    <s v="Ofsted School Webpage"/>
    <n v="139631"/>
    <n v="3302452"/>
    <s v="Pegasus Primary School"/>
    <x v="0"/>
    <s v="Academy Converter"/>
    <d v="2013-05-01T00:00:00"/>
    <s v="Not applicable"/>
    <s v="Does not have a sixth form"/>
    <s v="Does not apply"/>
    <s v="Does not apply"/>
    <s v="Non-denominational"/>
    <s v="West Midlands"/>
    <x v="1"/>
    <x v="8"/>
    <s v="Birmingham, Erdington"/>
    <s v="B35 6PR"/>
    <n v="5"/>
    <n v="204"/>
    <d v="2020-10-22T00:00:00"/>
    <d v="2020-11-19T00:00:00"/>
  </r>
  <r>
    <s v="Ofsted School Webpage"/>
    <n v="140905"/>
    <n v="8103400"/>
    <s v="Endsleigh Holy Child VC Academy"/>
    <x v="0"/>
    <s v="Academy Converter"/>
    <d v="2014-06-01T00:00:00"/>
    <s v="Not applicable"/>
    <s v="Does not have a sixth form"/>
    <s v="Roman Catholic"/>
    <s v="Does not apply"/>
    <s v="Christian"/>
    <s v="North East, Yorkshire and the Humber"/>
    <x v="0"/>
    <x v="122"/>
    <s v="Kingston upon Hull North"/>
    <s v="HU6 7TE"/>
    <n v="4"/>
    <n v="324"/>
    <d v="2020-10-22T00:00:00"/>
    <d v="2020-12-01T00:00:00"/>
  </r>
  <r>
    <s v="Ofsted School Webpage"/>
    <n v="139612"/>
    <n v="8212230"/>
    <s v="The Ferrars Academy"/>
    <x v="0"/>
    <s v="Academy Converter"/>
    <d v="2013-05-01T00:00:00"/>
    <s v="Not applicable"/>
    <s v="Does not have a sixth form"/>
    <s v="Does not apply"/>
    <s v="Does not apply"/>
    <s v="Non-denominational"/>
    <s v="East of England"/>
    <x v="7"/>
    <x v="32"/>
    <s v="Luton North"/>
    <s v="LU4 0LL"/>
    <n v="3"/>
    <n v="300"/>
    <d v="2020-10-22T00:00:00"/>
    <d v="2020-11-17T00:00:00"/>
  </r>
  <r>
    <s v="Ofsted School Webpage"/>
    <n v="137284"/>
    <n v="8825414"/>
    <s v="The Eastwood Academy"/>
    <x v="1"/>
    <s v="Academy Converter"/>
    <d v="2011-08-17T00:00:00"/>
    <s v="Non-selective"/>
    <s v="Does not have a sixth form"/>
    <s v="None"/>
    <s v="Does not apply"/>
    <s v="Non-denominational"/>
    <s v="East of England"/>
    <x v="7"/>
    <x v="130"/>
    <s v="Southend West"/>
    <s v="SS9 5UU"/>
    <n v="3"/>
    <n v="1032"/>
    <d v="2020-10-22T00:00:00"/>
    <d v="2020-11-17T00:00:00"/>
  </r>
  <r>
    <s v="Ofsted School Webpage"/>
    <n v="136767"/>
    <n v="9165400"/>
    <s v="Ribston Hall High School"/>
    <x v="1"/>
    <s v="Academy Converter"/>
    <d v="2011-06-01T00:00:00"/>
    <s v="Selective"/>
    <s v="Has a sixth form"/>
    <s v="None"/>
    <s v="Does not apply"/>
    <s v="Non-denominational"/>
    <s v="South West"/>
    <x v="5"/>
    <x v="28"/>
    <s v="Gloucester"/>
    <s v="GL1 5LE"/>
    <n v="2"/>
    <n v="816"/>
    <d v="2020-10-22T00:00:00"/>
    <d v="2020-11-23T00:00:00"/>
  </r>
  <r>
    <s v="Ofsted School Webpage"/>
    <n v="143206"/>
    <n v="8812014"/>
    <s v="The Willows Primary School"/>
    <x v="0"/>
    <s v="Academy Converter"/>
    <d v="2016-10-01T00:00:00"/>
    <s v="Not applicable"/>
    <s v="Does not have a sixth form"/>
    <s v="Does not apply"/>
    <s v="Does not apply"/>
    <s v="Non-denominational"/>
    <s v="East of England"/>
    <x v="7"/>
    <x v="75"/>
    <s v="Basildon and Billericay"/>
    <s v="SS14 2EX"/>
    <n v="5"/>
    <n v="627"/>
    <d v="2020-10-22T00:00:00"/>
    <d v="2020-11-29T00:00:00"/>
  </r>
  <r>
    <s v="Ofsted School Webpage"/>
    <n v="137977"/>
    <n v="9255212"/>
    <s v="Washingborough Academy"/>
    <x v="0"/>
    <s v="Academy Converter"/>
    <d v="2012-04-01T00:00:00"/>
    <s v="Not applicable"/>
    <s v="Does not have a sixth form"/>
    <s v="None"/>
    <s v="Does not apply"/>
    <s v="Non-denominational"/>
    <s v="East Midlands"/>
    <x v="6"/>
    <x v="18"/>
    <s v="Sleaford and North Hykeham"/>
    <s v="LN4 1BW"/>
    <n v="2"/>
    <n v="275"/>
    <d v="2020-10-22T00:00:00"/>
    <d v="2020-11-19T00:00:00"/>
  </r>
  <r>
    <s v="Ofsted School Webpage"/>
    <n v="141067"/>
    <n v="8863743"/>
    <s v="St Simon of England Roman Catholic Primary School, Ashford"/>
    <x v="0"/>
    <s v="Academy Converter"/>
    <d v="2014-07-01T00:00:00"/>
    <s v="Not applicable"/>
    <s v="Does not have a sixth form"/>
    <s v="Roman Catholic"/>
    <s v="Does not apply"/>
    <s v="Christian"/>
    <s v="South East"/>
    <x v="2"/>
    <x v="7"/>
    <s v="Ashford"/>
    <s v="TN23 4RB"/>
    <n v="4"/>
    <n v="206"/>
    <d v="2020-10-22T00:00:00"/>
    <d v="2020-11-18T00:00:00"/>
  </r>
  <r>
    <s v="Ofsted School Webpage"/>
    <n v="142393"/>
    <n v="8872014"/>
    <s v="Twydall Primary School and Nursery"/>
    <x v="0"/>
    <s v="Academy Sponsor Led"/>
    <d v="2016-02-01T00:00:00"/>
    <s v="Not applicable"/>
    <s v="Does not have a sixth form"/>
    <s v="Does not apply"/>
    <s v="None"/>
    <s v="Non-denominational"/>
    <s v="South East"/>
    <x v="2"/>
    <x v="53"/>
    <s v="Gillingham and Rainham"/>
    <s v="ME8 6JS"/>
    <n v="4"/>
    <n v="453"/>
    <d v="2020-10-22T00:00:00"/>
    <d v="2020-11-26T00:00:00"/>
  </r>
  <r>
    <s v="Ofsted School Webpage"/>
    <n v="138967"/>
    <n v="9281100"/>
    <s v="The CE Academy"/>
    <x v="3"/>
    <s v="Academy Alternative Provision Converter"/>
    <d v="2012-11-01T00:00:00"/>
    <s v="Not applicable"/>
    <s v="Not applicable"/>
    <s v="Does not apply"/>
    <s v="None"/>
    <s v="Non-denominational"/>
    <s v="East Midlands"/>
    <x v="6"/>
    <x v="64"/>
    <s v="Northampton South"/>
    <s v="NN1 3EX"/>
    <n v="3"/>
    <n v="159"/>
    <d v="2020-10-22T00:00:00"/>
    <d v="2020-11-19T00:00:00"/>
  </r>
  <r>
    <s v="Ofsted School Webpage"/>
    <n v="139887"/>
    <n v="8782072"/>
    <s v="Uffculme Primary School "/>
    <x v="0"/>
    <s v="Academy Converter"/>
    <d v="2013-07-01T00:00:00"/>
    <s v="Not applicable"/>
    <s v="Does not have a sixth form"/>
    <s v="Does not apply"/>
    <s v="Does not apply"/>
    <s v="Non-denominational"/>
    <s v="South West"/>
    <x v="5"/>
    <x v="62"/>
    <s v="Tiverton and Honiton"/>
    <s v="EX15 3AY"/>
    <n v="2"/>
    <n v="222"/>
    <d v="2020-10-22T00:00:00"/>
    <d v="2020-11-17T00:00:00"/>
  </r>
  <r>
    <s v="Ofsted School Webpage"/>
    <n v="139881"/>
    <n v="3723335"/>
    <s v="St Mary's Catholic Primary School (Maltby)"/>
    <x v="0"/>
    <s v="Academy Converter"/>
    <d v="2013-07-01T00:00:00"/>
    <s v="Not applicable"/>
    <s v="Does not have a sixth form"/>
    <s v="Roman Catholic"/>
    <s v="Does not apply"/>
    <s v="Christian"/>
    <s v="North East, Yorkshire and the Humber"/>
    <x v="0"/>
    <x v="0"/>
    <s v="Rother Valley"/>
    <s v="S66 7JU"/>
    <n v="5"/>
    <n v="198"/>
    <d v="2020-10-22T00:00:00"/>
    <d v="2020-11-18T00:00:00"/>
  </r>
  <r>
    <s v="Ofsted School Webpage"/>
    <n v="140919"/>
    <n v="8072166"/>
    <s v="Nunthorpe Primary Academy"/>
    <x v="0"/>
    <s v="Academy Converter"/>
    <d v="2014-06-01T00:00:00"/>
    <s v="Not applicable"/>
    <s v="Does not have a sixth form"/>
    <s v="Does not apply"/>
    <s v="Does not apply"/>
    <s v="Non-denominational"/>
    <s v="North East, Yorkshire and the Humber"/>
    <x v="8"/>
    <x v="59"/>
    <s v="Redcar"/>
    <s v="TS7 0LA"/>
    <n v="2"/>
    <n v="240"/>
    <d v="2020-10-22T00:00:00"/>
    <d v="2020-11-18T00:00:00"/>
  </r>
  <r>
    <s v="Ofsted School Webpage"/>
    <n v="140756"/>
    <n v="8383405"/>
    <s v="St Catherine's Catholic Primary School, Wimborne"/>
    <x v="0"/>
    <s v="Academy Converter"/>
    <d v="2014-04-01T00:00:00"/>
    <s v="Not applicable"/>
    <s v="Does not have a sixth form"/>
    <s v="Roman Catholic"/>
    <s v="Does not apply"/>
    <s v="Christian"/>
    <s v="South West"/>
    <x v="5"/>
    <x v="87"/>
    <s v="Mid Dorset and North Poole"/>
    <s v="BH21 2HN"/>
    <n v="1"/>
    <n v="113"/>
    <d v="2020-10-22T00:00:00"/>
    <d v="2020-11-16T00:00:00"/>
  </r>
  <r>
    <s v="Ofsted School Webpage"/>
    <n v="141245"/>
    <n v="3364001"/>
    <s v="Wednesfield High Academy"/>
    <x v="1"/>
    <s v="Academy Sponsor Led"/>
    <d v="2015-01-01T00:00:00"/>
    <s v="Non-selective"/>
    <s v="Has a sixth form"/>
    <s v="Does not apply"/>
    <s v="None"/>
    <s v="Non-denominational"/>
    <s v="West Midlands"/>
    <x v="1"/>
    <x v="1"/>
    <s v="Wolverhampton North East"/>
    <s v="WV11 3ES"/>
    <n v="5"/>
    <n v="821"/>
    <d v="2020-10-22T00:00:00"/>
    <d v="2020-11-25T00:00:00"/>
  </r>
  <r>
    <s v="Ofsted School Webpage"/>
    <n v="139403"/>
    <n v="9354032"/>
    <s v="Ormiston Denes Academy"/>
    <x v="1"/>
    <s v="Academy Sponsor Led"/>
    <d v="2013-06-01T00:00:00"/>
    <s v="Non-selective"/>
    <s v="Does not have a sixth form"/>
    <s v="Does not apply"/>
    <s v="None"/>
    <s v="Non-denominational"/>
    <s v="East of England"/>
    <x v="7"/>
    <x v="14"/>
    <s v="Waveney"/>
    <s v="NR32 4AH"/>
    <n v="5"/>
    <n v="857"/>
    <d v="2020-10-22T00:00:00"/>
    <d v="2020-12-06T00:00:00"/>
  </r>
  <r>
    <s v="Ofsted School Webpage"/>
    <n v="144079"/>
    <n v="3322147"/>
    <s v="Netherbrook Primary School"/>
    <x v="0"/>
    <s v="Academy Converter"/>
    <d v="2017-11-01T00:00:00"/>
    <s v="Not applicable"/>
    <s v="Does not have a sixth form"/>
    <s v="Does not apply"/>
    <s v="Does not apply"/>
    <s v="Non-denominational"/>
    <s v="West Midlands"/>
    <x v="1"/>
    <x v="110"/>
    <s v="Stourbridge"/>
    <s v="DY2 9RZ"/>
    <n v="5"/>
    <n v="481"/>
    <d v="2020-10-22T00:00:00"/>
    <d v="2020-11-25T00:00:00"/>
  </r>
  <r>
    <s v="Ofsted School Webpage"/>
    <n v="144537"/>
    <n v="8735205"/>
    <s v="Jeavons Wood Primary School"/>
    <x v="0"/>
    <s v="Academy Converter"/>
    <d v="2017-07-01T00:00:00"/>
    <s v="Not applicable"/>
    <s v="Does not have a sixth form"/>
    <s v="None"/>
    <s v="Does not apply"/>
    <s v="Non-denominational"/>
    <s v="East of England"/>
    <x v="7"/>
    <x v="43"/>
    <s v="South Cambridgeshire"/>
    <s v="CB23 6DZ"/>
    <n v="2"/>
    <n v="418"/>
    <d v="2020-10-22T00:00:00"/>
    <d v="2020-11-23T00:00:00"/>
  </r>
  <r>
    <s v="Ofsted School Webpage"/>
    <n v="141133"/>
    <n v="2114001"/>
    <s v="London Enterprise Academy"/>
    <x v="1"/>
    <s v="Free School"/>
    <d v="2014-09-01T00:00:00"/>
    <s v="Unknown"/>
    <s v="Does not have a sixth form"/>
    <s v="None"/>
    <s v="None"/>
    <s v="Non-denominational"/>
    <s v="London"/>
    <x v="3"/>
    <x v="119"/>
    <s v="Bethnal Green and Bow"/>
    <s v="E1 1RD"/>
    <n v="5"/>
    <n v="426"/>
    <d v="2020-10-22T00:00:00"/>
    <d v="2020-12-06T00:00:00"/>
  </r>
  <r>
    <s v="Ofsted School Webpage"/>
    <n v="142800"/>
    <n v="9332048"/>
    <s v="Minehead First School"/>
    <x v="0"/>
    <s v="Academy Converter"/>
    <d v="2016-05-01T00:00:00"/>
    <s v="Not applicable"/>
    <s v="Does not have a sixth form"/>
    <s v="Does not apply"/>
    <s v="Does not apply"/>
    <s v="Non-denominational"/>
    <s v="South West"/>
    <x v="5"/>
    <x v="34"/>
    <s v="Bridgwater and West Somerset"/>
    <s v="TA24 5RG"/>
    <n v="3"/>
    <n v="332"/>
    <d v="2020-10-22T00:00:00"/>
    <d v="2020-11-19T00:00:00"/>
  </r>
  <r>
    <s v="Ofsted School Webpage"/>
    <n v="138833"/>
    <n v="8554508"/>
    <s v="Ashby School"/>
    <x v="1"/>
    <s v="Academy Converter"/>
    <d v="2012-10-01T00:00:00"/>
    <s v="Non-selective"/>
    <s v="Has a sixth form"/>
    <s v="None"/>
    <s v="Does not apply"/>
    <s v="Non-denominational"/>
    <s v="East Midlands"/>
    <x v="6"/>
    <x v="112"/>
    <s v="North West Leicestershire"/>
    <s v="LE65 1DT"/>
    <n v="1"/>
    <n v="1762"/>
    <d v="2020-10-27T00:00:00"/>
    <d v="2020-12-01T00:00:00"/>
  </r>
  <r>
    <s v="Ofsted School Webpage"/>
    <n v="120049"/>
    <n v="8552319"/>
    <s v="Highgate Community Primary School"/>
    <x v="0"/>
    <s v="Community School"/>
    <s v="NULL"/>
    <s v="Not applicable"/>
    <s v="Does not have a sixth form"/>
    <s v="Does not apply"/>
    <s v="Does not apply"/>
    <s v="Non-denominational"/>
    <s v="East Midlands"/>
    <x v="6"/>
    <x v="112"/>
    <s v="Loughborough"/>
    <s v="LE12 7ND"/>
    <n v="3"/>
    <n v="224"/>
    <d v="2020-10-29T00:00:00"/>
    <d v="2020-11-25T00:00:00"/>
  </r>
  <r>
    <s v="Ofsted School Webpage"/>
    <n v="120124"/>
    <n v="8553024"/>
    <s v="Cossington Church of England Primary School"/>
    <x v="0"/>
    <s v="Voluntary Controlled School"/>
    <s v="NULL"/>
    <s v="Not applicable"/>
    <s v="Does not have a sixth form"/>
    <s v="Church of England"/>
    <s v="Does not apply"/>
    <s v="Christian"/>
    <s v="East Midlands"/>
    <x v="6"/>
    <x v="112"/>
    <s v="Charnwood"/>
    <s v="LE7 4UU"/>
    <n v="2"/>
    <n v="103"/>
    <d v="2020-10-29T00:00:00"/>
    <d v="2020-11-22T00:00:00"/>
  </r>
  <r>
    <s v="Ofsted School Webpage"/>
    <n v="119647"/>
    <n v="8883748"/>
    <s v="St Mary's Roman Catholic Primary School, Osbaldeston"/>
    <x v="0"/>
    <s v="Voluntary Aided School"/>
    <s v="NULL"/>
    <s v="Not applicable"/>
    <s v="Does not have a sixth form"/>
    <s v="Roman Catholic"/>
    <s v="Does not apply"/>
    <s v="Christian"/>
    <s v="North West"/>
    <x v="4"/>
    <x v="27"/>
    <s v="Ribble Valley"/>
    <s v="BB2 7HX"/>
    <n v="1"/>
    <n v="80"/>
    <d v="2020-11-03T00:00:00"/>
    <d v="2020-11-26T00:00:00"/>
  </r>
  <r>
    <s v="Ofsted School Webpage"/>
    <n v="110023"/>
    <n v="8683327"/>
    <s v="Trinity St Stephen CofE Aided First School"/>
    <x v="0"/>
    <s v="Voluntary Aided School"/>
    <s v="NULL"/>
    <s v="Not applicable"/>
    <s v="Does not have a sixth form"/>
    <s v="Church of England"/>
    <s v="Does not apply"/>
    <s v="Christian"/>
    <s v="South East"/>
    <x v="2"/>
    <x v="131"/>
    <s v="Windsor"/>
    <s v="SL4 5DF"/>
    <n v="1"/>
    <n v="147"/>
    <d v="2020-11-03T00:00:00"/>
    <d v="2020-12-01T00:00:00"/>
  </r>
  <r>
    <s v="Ofsted School Webpage"/>
    <n v="101327"/>
    <n v="3023315"/>
    <s v="St Andrew's CofE Voluntary Aided Primary School, Totteridge"/>
    <x v="0"/>
    <s v="Voluntary Aided School"/>
    <s v="NULL"/>
    <s v="Not applicable"/>
    <s v="Does not have a sixth form"/>
    <s v="Church of England"/>
    <s v="Does not apply"/>
    <s v="Christian"/>
    <s v="London"/>
    <x v="3"/>
    <x v="94"/>
    <s v="Chipping Barnet"/>
    <s v="N20 8NX"/>
    <n v="2"/>
    <n v="209"/>
    <d v="2020-11-03T00:00:00"/>
    <d v="2020-12-01T00:00:00"/>
  </r>
  <r>
    <s v="Ofsted School Webpage"/>
    <n v="115638"/>
    <n v="9163053"/>
    <s v="Clearwell Church of England Primary School"/>
    <x v="0"/>
    <s v="Voluntary Controlled School"/>
    <s v="NULL"/>
    <s v="Not applicable"/>
    <s v="Does not have a sixth form"/>
    <s v="Church of England"/>
    <s v="Does not apply"/>
    <s v="Christian"/>
    <s v="South West"/>
    <x v="5"/>
    <x v="28"/>
    <s v="Forest of Dean"/>
    <s v="GL16 8LG"/>
    <n v="3"/>
    <n v="47"/>
    <d v="2020-11-03T00:00:00"/>
    <d v="2020-11-25T00:00:00"/>
  </r>
  <r>
    <s v="Ofsted School Webpage"/>
    <n v="117473"/>
    <n v="9193394"/>
    <s v="Christ Church CofE (VA) Primary School and Nursery, Ware"/>
    <x v="0"/>
    <s v="Voluntary Aided School"/>
    <s v="NULL"/>
    <s v="Not applicable"/>
    <s v="Does not have a sixth form"/>
    <s v="Church of England"/>
    <s v="Does not apply"/>
    <s v="Christian"/>
    <s v="East of England"/>
    <x v="7"/>
    <x v="56"/>
    <s v="Hertford and Stortford"/>
    <s v="SG12 7BT"/>
    <n v="2"/>
    <n v="338"/>
    <d v="2020-11-03T00:00:00"/>
    <d v="2020-12-07T00:00:00"/>
  </r>
  <r>
    <s v="Ofsted School Webpage"/>
    <n v="116384"/>
    <n v="8513420"/>
    <s v="Corpus Christi Catholic Primary School"/>
    <x v="0"/>
    <s v="Voluntary Aided School"/>
    <d v="1899-12-31T00:00:00"/>
    <s v="Not applicable"/>
    <s v="Does not have a sixth form"/>
    <s v="Roman Catholic"/>
    <s v="Does not apply"/>
    <s v="Christian"/>
    <s v="South East"/>
    <x v="2"/>
    <x v="58"/>
    <s v="Portsmouth North "/>
    <s v="PO2 9AX"/>
    <n v="4"/>
    <n v="310"/>
    <d v="2020-11-03T00:00:00"/>
    <d v="2020-12-03T00:00:00"/>
  </r>
  <r>
    <s v="Ofsted School Webpage"/>
    <n v="116017"/>
    <n v="8502287"/>
    <s v="Marnel Junior School"/>
    <x v="0"/>
    <s v="Community School"/>
    <s v="NULL"/>
    <s v="Not applicable"/>
    <s v="Not applicable"/>
    <s v="Does not apply"/>
    <s v="Does not apply"/>
    <s v="Non-denominational"/>
    <s v="South East"/>
    <x v="2"/>
    <x v="2"/>
    <s v="Basingstoke"/>
    <s v="RG24 9PT"/>
    <n v="4"/>
    <n v="421"/>
    <d v="2020-11-03T00:00:00"/>
    <d v="2020-11-30T00:00:00"/>
  </r>
  <r>
    <s v="Ofsted School Webpage"/>
    <n v="106403"/>
    <n v="3592009"/>
    <s v="Marsh Green Primary School"/>
    <x v="0"/>
    <s v="Community School"/>
    <s v="NULL"/>
    <s v="Not applicable"/>
    <s v="Does not have a sixth form"/>
    <s v="Does not apply"/>
    <s v="Does not apply"/>
    <s v="Non-denominational"/>
    <s v="North West"/>
    <x v="4"/>
    <x v="123"/>
    <s v="Wigan"/>
    <s v="WN5 0EF"/>
    <n v="5"/>
    <n v="368"/>
    <d v="2020-11-03T00:00:00"/>
    <d v="2020-12-01T00:00:00"/>
  </r>
  <r>
    <s v="Ofsted School Webpage"/>
    <n v="112164"/>
    <n v="9092225"/>
    <s v="St Bees Village Primary School"/>
    <x v="0"/>
    <s v="Community School"/>
    <s v="NULL"/>
    <s v="Not applicable"/>
    <s v="Does not have a sixth form"/>
    <s v="Does not apply"/>
    <s v="Does not apply"/>
    <s v="Non-denominational"/>
    <s v="North West"/>
    <x v="4"/>
    <x v="25"/>
    <s v="Copeland"/>
    <s v="CA27 0AA"/>
    <n v="2"/>
    <n v="213"/>
    <d v="2020-11-03T00:00:00"/>
    <d v="2020-12-01T00:00:00"/>
  </r>
  <r>
    <s v="Ofsted School Webpage"/>
    <n v="120388"/>
    <n v="9252039"/>
    <s v="The South Hykeham Community Primary School"/>
    <x v="0"/>
    <s v="Community School"/>
    <s v="NULL"/>
    <s v="Not applicable"/>
    <s v="Does not have a sixth form"/>
    <s v="Does not apply"/>
    <s v="Does not apply"/>
    <s v="Non-denominational"/>
    <s v="East Midlands"/>
    <x v="6"/>
    <x v="18"/>
    <s v="Sleaford and North Hykeham"/>
    <s v="LN6 9PG"/>
    <n v="1"/>
    <n v="156"/>
    <d v="2020-11-03T00:00:00"/>
    <d v="2020-11-26T00:00:00"/>
  </r>
  <r>
    <s v="Ofsted School Webpage"/>
    <n v="106698"/>
    <n v="3712115"/>
    <s v="Rossington Tornedale Infant School"/>
    <x v="0"/>
    <s v="Community School"/>
    <s v="NULL"/>
    <s v="Not applicable"/>
    <s v="Does not have a sixth form"/>
    <s v="Does not apply"/>
    <s v="Does not apply"/>
    <s v="Non-denominational"/>
    <s v="North East, Yorkshire and the Humber"/>
    <x v="0"/>
    <x v="68"/>
    <s v="Don Valley"/>
    <s v="DN11 0NQ"/>
    <n v="4"/>
    <n v="158"/>
    <d v="2020-11-03T00:00:00"/>
    <d v="2020-11-24T00:00:00"/>
  </r>
  <r>
    <s v="Ofsted School Webpage"/>
    <n v="121324"/>
    <n v="8152138"/>
    <s v="Stillington Primary School"/>
    <x v="0"/>
    <s v="Community School"/>
    <s v="NULL"/>
    <s v="Not applicable"/>
    <s v="Does not have a sixth form"/>
    <s v="Does not apply"/>
    <s v="Does not apply"/>
    <s v="Non-denominational"/>
    <s v="North East, Yorkshire and the Humber"/>
    <x v="0"/>
    <x v="60"/>
    <s v="Thirsk and Malton"/>
    <s v="YO61 1LA"/>
    <n v="1"/>
    <n v="19"/>
    <d v="2020-11-03T00:00:00"/>
    <d v="2020-11-24T00:00:00"/>
  </r>
  <r>
    <s v="Ofsted School Webpage"/>
    <n v="126423"/>
    <n v="8653412"/>
    <s v="Christ The King Catholic School, Amesbury"/>
    <x v="0"/>
    <s v="Voluntary Aided School"/>
    <s v="NULL"/>
    <s v="Not applicable"/>
    <s v="Not applicable"/>
    <s v="Roman Catholic"/>
    <s v="Does not apply"/>
    <s v="Christian"/>
    <s v="South West"/>
    <x v="5"/>
    <x v="125"/>
    <s v="Salisbury"/>
    <s v="SP4 7LX"/>
    <n v="3"/>
    <n v="176"/>
    <d v="2020-11-03T00:00:00"/>
    <d v="2020-11-29T00:00:00"/>
  </r>
  <r>
    <s v="Ofsted School Webpage"/>
    <n v="132215"/>
    <n v="8792729"/>
    <s v="Whitleigh Community Primary School"/>
    <x v="0"/>
    <s v="Foundation School"/>
    <d v="2000-09-01T00:00:00"/>
    <s v="Not applicable"/>
    <s v="Does not have a sixth form"/>
    <s v="Does not apply"/>
    <s v="Does not apply"/>
    <s v="Non-denominational"/>
    <s v="South West"/>
    <x v="5"/>
    <x v="23"/>
    <s v="Plymouth, Moor View"/>
    <s v="PL5 4AA"/>
    <n v="5"/>
    <n v="411"/>
    <d v="2020-11-03T00:00:00"/>
    <d v="2020-11-30T00:00:00"/>
  </r>
  <r>
    <s v="Ofsted School Webpage"/>
    <n v="108350"/>
    <n v="3902184"/>
    <s v="Front Street Community Primary School"/>
    <x v="0"/>
    <s v="Community School"/>
    <s v="NULL"/>
    <s v="Non-selective"/>
    <s v="Does not have a sixth form"/>
    <s v="Does not apply"/>
    <s v="Does not apply"/>
    <s v="Non-denominational"/>
    <s v="North East, Yorkshire and the Humber"/>
    <x v="8"/>
    <x v="114"/>
    <s v="Blaydon"/>
    <s v="NE16 4AY"/>
    <n v="3"/>
    <n v="430"/>
    <d v="2020-11-03T00:00:00"/>
    <d v="2020-12-03T00:00:00"/>
  </r>
  <r>
    <s v="Ofsted School Webpage"/>
    <n v="135224"/>
    <n v="9193990"/>
    <s v="Galley Hill Primary School and Nursery"/>
    <x v="0"/>
    <s v="Community School"/>
    <d v="2008-09-01T00:00:00"/>
    <s v="Not applicable"/>
    <s v="Does not have a sixth form"/>
    <s v="Does not apply"/>
    <s v="Does not apply"/>
    <s v="Non-denominational"/>
    <s v="East of England"/>
    <x v="7"/>
    <x v="56"/>
    <s v="Hemel Hempstead"/>
    <s v="HP1 3JY"/>
    <n v="3"/>
    <n v="431"/>
    <d v="2020-11-03T00:00:00"/>
    <d v="2020-12-03T00:00:00"/>
  </r>
  <r>
    <s v="Ofsted School Webpage"/>
    <n v="121671"/>
    <n v="8154054"/>
    <s v="Lady Lumley's School"/>
    <x v="1"/>
    <s v="Community School"/>
    <s v="NULL"/>
    <s v="Non-selective"/>
    <s v="Has a sixth form"/>
    <s v="Does not apply"/>
    <s v="Does not apply"/>
    <s v="Non-denominational"/>
    <s v="North East, Yorkshire and the Humber"/>
    <x v="0"/>
    <x v="60"/>
    <s v="Thirsk and Malton"/>
    <s v="YO18 8NG"/>
    <n v="1"/>
    <n v="921"/>
    <d v="2020-11-03T00:00:00"/>
    <d v="2020-12-07T00:00:00"/>
  </r>
  <r>
    <s v="Ofsted School Webpage"/>
    <n v="115916"/>
    <n v="8502113"/>
    <s v="Hythe Primary School"/>
    <x v="0"/>
    <s v="Community School"/>
    <s v="NULL"/>
    <s v="Not applicable"/>
    <s v="Does not have a sixth form"/>
    <s v="Does not apply"/>
    <s v="Does not apply"/>
    <s v="Non-denominational"/>
    <s v="South East"/>
    <x v="2"/>
    <x v="2"/>
    <s v="New Forest East"/>
    <s v="SO45 6BL"/>
    <n v="3"/>
    <n v="311"/>
    <d v="2020-11-03T00:00:00"/>
    <d v="2020-11-30T00:00:00"/>
  </r>
  <r>
    <s v="Ofsted School Webpage"/>
    <n v="116686"/>
    <n v="8842071"/>
    <s v="Trinity Primary School"/>
    <x v="0"/>
    <s v="Community School"/>
    <s v="NULL"/>
    <s v="Not applicable"/>
    <s v="Does not have a sixth form"/>
    <s v="Does not apply"/>
    <s v="Does not apply"/>
    <s v="Non-denominational"/>
    <s v="West Midlands"/>
    <x v="1"/>
    <x v="19"/>
    <s v="Hereford and South Herefordshire"/>
    <s v="HR4 0NU"/>
    <n v="3"/>
    <n v="615"/>
    <d v="2020-11-03T00:00:00"/>
    <d v="2020-12-02T00:00:00"/>
  </r>
  <r>
    <s v="Ofsted School Webpage"/>
    <n v="103500"/>
    <n v="3304188"/>
    <s v="Turves Green Boys' School"/>
    <x v="1"/>
    <s v="Community School"/>
    <s v="NULL"/>
    <s v="Non-selective"/>
    <s v="Not applicable"/>
    <s v="Does not apply"/>
    <s v="Does not apply"/>
    <s v="Non-denominational"/>
    <s v="West Midlands"/>
    <x v="1"/>
    <x v="8"/>
    <s v="Birmingham, Northfield"/>
    <s v="B31 4BS"/>
    <n v="5"/>
    <n v="648"/>
    <d v="2020-11-03T00:00:00"/>
    <d v="2020-12-07T00:00:00"/>
  </r>
  <r>
    <s v="Ofsted School Webpage"/>
    <n v="130352"/>
    <n v="2112922"/>
    <s v="Arnhem Wharf Primary School"/>
    <x v="0"/>
    <s v="Community School"/>
    <d v="1996-01-03T00:00:00"/>
    <s v="Not applicable"/>
    <s v="Does not have a sixth form"/>
    <s v="Does not apply"/>
    <s v="Does not apply"/>
    <s v="Non-denominational"/>
    <s v="London"/>
    <x v="3"/>
    <x v="119"/>
    <s v="Poplar and Limehouse"/>
    <s v="E14 3RP"/>
    <n v="5"/>
    <n v="611"/>
    <d v="2020-11-03T00:00:00"/>
    <d v="2020-12-09T00:00:00"/>
  </r>
  <r>
    <s v="Ofsted School Webpage"/>
    <n v="131843"/>
    <n v="2102858"/>
    <s v="Brunswick Park Primary School"/>
    <x v="0"/>
    <s v="Community School"/>
    <d v="1998-09-01T00:00:00"/>
    <s v="Not applicable"/>
    <s v="Does not have a sixth form"/>
    <s v="Does not apply"/>
    <s v="Does not apply"/>
    <s v="Non-denominational"/>
    <s v="London"/>
    <x v="3"/>
    <x v="132"/>
    <s v="Camberwell and Peckham"/>
    <s v="SE5 7QH"/>
    <n v="5"/>
    <n v="402"/>
    <d v="2020-11-03T00:00:00"/>
    <d v="2020-12-10T00:00:00"/>
  </r>
  <r>
    <s v="Ofsted School Webpage"/>
    <n v="118357"/>
    <n v="8862259"/>
    <s v="Chartham Primary School"/>
    <x v="0"/>
    <s v="Community School"/>
    <s v="NULL"/>
    <s v="Not applicable"/>
    <s v="Does not have a sixth form"/>
    <s v="Does not apply"/>
    <s v="Does not apply"/>
    <s v="Non-denominational"/>
    <s v="South East"/>
    <x v="2"/>
    <x v="7"/>
    <s v="Canterbury"/>
    <s v="CT4 7QN"/>
    <n v="2"/>
    <n v="356"/>
    <d v="2020-11-03T00:00:00"/>
    <d v="2020-12-03T00:00:00"/>
  </r>
  <r>
    <s v="Ofsted School Webpage"/>
    <n v="136809"/>
    <n v="3132004"/>
    <s v="Cranford Primary School"/>
    <x v="0"/>
    <s v="Community School"/>
    <d v="2011-09-01T00:00:00"/>
    <s v="Not applicable"/>
    <s v="Does not have a sixth form"/>
    <s v="Does not apply"/>
    <s v="Does not apply"/>
    <s v="Non-denominational"/>
    <s v="London"/>
    <x v="3"/>
    <x v="37"/>
    <s v="Feltham and Heston"/>
    <s v="TW4 6LB"/>
    <n v="3"/>
    <n v="682"/>
    <d v="2020-11-03T00:00:00"/>
    <d v="2020-12-01T00:00:00"/>
  </r>
  <r>
    <s v="Ofsted School Webpage"/>
    <n v="119161"/>
    <n v="8882064"/>
    <s v="Clitheroe Pendle Primary School"/>
    <x v="0"/>
    <s v="Community School"/>
    <s v="NULL"/>
    <s v="Not applicable"/>
    <s v="Does not have a sixth form"/>
    <s v="Does not apply"/>
    <s v="Does not apply"/>
    <s v="Non-denominational"/>
    <s v="North West"/>
    <x v="4"/>
    <x v="27"/>
    <s v="Ribble Valley"/>
    <s v="BB7 2AL"/>
    <n v="1"/>
    <n v="349"/>
    <d v="2020-11-03T00:00:00"/>
    <d v="2020-12-06T00:00:00"/>
  </r>
  <r>
    <s v="Ofsted School Webpage"/>
    <n v="138167"/>
    <n v="8864113"/>
    <s v="Astor Secondary School"/>
    <x v="1"/>
    <s v="Academy Converter"/>
    <d v="2012-06-02T00:00:00"/>
    <s v="Non-selective"/>
    <s v="Has a sixth form"/>
    <s v="Does not apply"/>
    <s v="Does not apply"/>
    <s v="Non-denominational"/>
    <s v="South East"/>
    <x v="2"/>
    <x v="7"/>
    <s v="Dover"/>
    <s v="CT17 0AS"/>
    <n v="4"/>
    <n v="802"/>
    <d v="2020-11-03T00:00:00"/>
    <d v="2020-11-30T00:00:00"/>
  </r>
  <r>
    <s v="Ofsted School Webpage"/>
    <n v="136589"/>
    <n v="3304108"/>
    <s v="Bartley Green School"/>
    <x v="1"/>
    <s v="Academy Converter"/>
    <d v="2011-04-01T00:00:00"/>
    <s v="Non-selective"/>
    <s v="Does not have a sixth form"/>
    <s v="None"/>
    <s v="Does not apply"/>
    <s v="Non-denominational"/>
    <s v="West Midlands"/>
    <x v="1"/>
    <x v="8"/>
    <s v="Birmingham, Edgbaston"/>
    <s v="B32 3QJ"/>
    <n v="5"/>
    <n v="926"/>
    <d v="2020-11-03T00:00:00"/>
    <d v="2020-11-29T00:00:00"/>
  </r>
  <r>
    <s v="Ofsted School Webpage"/>
    <n v="138331"/>
    <n v="3942091"/>
    <s v="East Herrington Primary Academy"/>
    <x v="0"/>
    <s v="Academy Converter"/>
    <d v="2012-07-01T00:00:00"/>
    <s v="Not applicable"/>
    <s v="Does not have a sixth form"/>
    <s v="Does not apply"/>
    <s v="Does not apply"/>
    <s v="Non-denominational"/>
    <s v="North East, Yorkshire and the Humber"/>
    <x v="8"/>
    <x v="102"/>
    <s v="Houghton and Sunderland South"/>
    <s v="SR3 3PR"/>
    <n v="4"/>
    <n v="475"/>
    <d v="2020-11-03T00:00:00"/>
    <d v="2020-12-09T00:00:00"/>
  </r>
  <r>
    <s v="Ofsted School Webpage"/>
    <n v="138629"/>
    <n v="8652040"/>
    <s v="Easton Royal Academy"/>
    <x v="0"/>
    <s v="Academy Converter"/>
    <d v="2012-09-01T00:00:00"/>
    <s v="Not applicable"/>
    <s v="Does not have a sixth form"/>
    <s v="Does not apply"/>
    <s v="Does not apply"/>
    <s v="Non-denominational"/>
    <s v="South West"/>
    <x v="5"/>
    <x v="125"/>
    <s v="Devizes"/>
    <s v="SN9 5LZ"/>
    <n v="1"/>
    <n v="56"/>
    <d v="2020-11-03T00:00:00"/>
    <d v="2020-11-23T00:00:00"/>
  </r>
  <r>
    <s v="Ofsted School Webpage"/>
    <n v="136731"/>
    <n v="8884689"/>
    <s v="Ripley St Thomas Church of England Academy"/>
    <x v="1"/>
    <s v="Academy Converter"/>
    <d v="2011-05-01T00:00:00"/>
    <s v="Non-selective"/>
    <s v="Has a sixth form"/>
    <s v="Church of England"/>
    <s v="Does not apply"/>
    <s v="Christian"/>
    <s v="North West"/>
    <x v="4"/>
    <x v="27"/>
    <s v="Lancaster and Fleetwood"/>
    <s v="LA1 4RS"/>
    <n v="2"/>
    <n v="1733"/>
    <d v="2020-11-03T00:00:00"/>
    <d v="2020-12-06T00:00:00"/>
  </r>
  <r>
    <s v="Ofsted School Webpage"/>
    <n v="138324"/>
    <n v="9255226"/>
    <s v="Ruskington Chestnut Street Church of England Academy"/>
    <x v="0"/>
    <s v="Academy Converter"/>
    <d v="2012-07-01T00:00:00"/>
    <s v="Not applicable"/>
    <s v="Does not have a sixth form"/>
    <s v="Church of England"/>
    <s v="Does not apply"/>
    <s v="Christian"/>
    <s v="East Midlands"/>
    <x v="6"/>
    <x v="18"/>
    <s v="Sleaford and North Hykeham"/>
    <s v="NG34 9DL"/>
    <n v="3"/>
    <n v="204"/>
    <d v="2020-11-03T00:00:00"/>
    <d v="2020-11-30T00:00:00"/>
  </r>
  <r>
    <s v="Ofsted School Webpage"/>
    <n v="141847"/>
    <n v="8782248"/>
    <s v="Umberleigh Primary Academy"/>
    <x v="0"/>
    <s v="Academy Converter"/>
    <d v="2015-04-01T00:00:00"/>
    <s v="Not applicable"/>
    <s v="Does not have a sixth form"/>
    <s v="Does not apply"/>
    <s v="Does not apply"/>
    <s v="Non-denominational"/>
    <s v="South West"/>
    <x v="5"/>
    <x v="62"/>
    <s v="North Devon"/>
    <s v="EX37 9AD"/>
    <n v="1"/>
    <n v="47"/>
    <d v="2020-11-03T00:00:00"/>
    <d v="2020-11-26T00:00:00"/>
  </r>
  <r>
    <s v="Ofsted School Webpage"/>
    <n v="141985"/>
    <n v="9352059"/>
    <s v="Sprites Primary Academy"/>
    <x v="0"/>
    <s v="Academy Sponsor Led"/>
    <d v="2015-07-01T00:00:00"/>
    <s v="Not applicable"/>
    <s v="Does not have a sixth form"/>
    <s v="Does not apply"/>
    <s v="None"/>
    <s v="Non-denominational"/>
    <s v="East of England"/>
    <x v="7"/>
    <x v="14"/>
    <s v="Ipswich"/>
    <s v="IP2 0SA"/>
    <n v="4"/>
    <n v="390"/>
    <d v="2020-11-03T00:00:00"/>
    <d v="2020-12-03T00:00:00"/>
  </r>
  <r>
    <s v="Ofsted School Webpage"/>
    <n v="139269"/>
    <n v="3302121"/>
    <s v="Hawkesley Church Primary Academy"/>
    <x v="0"/>
    <s v="Academy Sponsor Led"/>
    <d v="2013-06-01T00:00:00"/>
    <s v="Not applicable"/>
    <s v="Does not have a sixth form"/>
    <s v="Church of England/Methodist"/>
    <s v="None"/>
    <s v="Christian"/>
    <s v="West Midlands"/>
    <x v="1"/>
    <x v="8"/>
    <s v="Birmingham, Northfield"/>
    <s v="B38 9TR"/>
    <n v="5"/>
    <n v="223"/>
    <d v="2020-11-03T00:00:00"/>
    <d v="2020-11-25T00:00:00"/>
  </r>
  <r>
    <s v="Ofsted School Webpage"/>
    <n v="138357"/>
    <n v="3722000"/>
    <s v="Thurcroft Junior Academy"/>
    <x v="0"/>
    <s v="Academy Sponsor Led"/>
    <d v="2012-07-01T00:00:00"/>
    <s v="Not applicable"/>
    <s v="Not applicable"/>
    <s v="Does not apply"/>
    <s v="None"/>
    <s v="Non-denominational"/>
    <s v="North East, Yorkshire and the Humber"/>
    <x v="0"/>
    <x v="0"/>
    <s v="Rother Valley"/>
    <s v="S66 9DD"/>
    <n v="5"/>
    <n v="270"/>
    <d v="2020-11-03T00:00:00"/>
    <d v="2020-12-01T00:00:00"/>
  </r>
  <r>
    <s v="Ofsted School Webpage"/>
    <n v="140173"/>
    <n v="8732020"/>
    <s v="Ramnoth Junior School"/>
    <x v="0"/>
    <s v="Academy Sponsor Led"/>
    <d v="2013-10-01T00:00:00"/>
    <s v="Not applicable"/>
    <s v="Does not have a sixth form"/>
    <s v="Does not apply"/>
    <s v="None"/>
    <s v="Non-denominational"/>
    <s v="East of England"/>
    <x v="7"/>
    <x v="43"/>
    <s v="North East Cambridgeshire"/>
    <s v="PE13 2JB"/>
    <n v="4"/>
    <n v="266"/>
    <d v="2020-11-03T00:00:00"/>
    <d v="2020-12-03T00:00:00"/>
  </r>
  <r>
    <s v="Ofsted School Webpage"/>
    <n v="143827"/>
    <n v="8792007"/>
    <s v="High Street Primary Academy"/>
    <x v="0"/>
    <s v="Academy Sponsor Led"/>
    <d v="2016-12-01T00:00:00"/>
    <s v="Not applicable"/>
    <s v="Does not have a sixth form"/>
    <s v="Does not apply"/>
    <s v="Unknown"/>
    <s v="Non-denominational"/>
    <s v="South West"/>
    <x v="5"/>
    <x v="23"/>
    <s v="Plymouth, Sutton and Devonport"/>
    <s v="PL1 3SJ"/>
    <n v="5"/>
    <n v="141"/>
    <d v="2020-11-03T00:00:00"/>
    <d v="2020-11-26T00:00:00"/>
  </r>
  <r>
    <s v="Ofsted School Webpage"/>
    <n v="143853"/>
    <n v="8314005"/>
    <s v="Noel-Baker Academy"/>
    <x v="1"/>
    <s v="Academy Sponsor Led"/>
    <d v="2017-02-01T00:00:00"/>
    <s v="Not applicable"/>
    <s v="Does not have a sixth form"/>
    <s v="Does not apply"/>
    <s v="Unknown"/>
    <s v="Non-denominational"/>
    <s v="East Midlands"/>
    <x v="6"/>
    <x v="69"/>
    <s v="Derby South"/>
    <s v="DE24 0BR"/>
    <n v="5"/>
    <n v="993"/>
    <d v="2020-11-03T00:00:00"/>
    <d v="2020-11-30T00:00:00"/>
  </r>
  <r>
    <s v="Ofsted School Webpage"/>
    <n v="142071"/>
    <n v="3301111"/>
    <s v="The Edge Academy"/>
    <x v="3"/>
    <s v="Free School - Alternative Provision"/>
    <d v="2015-09-01T00:00:00"/>
    <s v="Unknown"/>
    <s v="Does not have a sixth form"/>
    <s v="None"/>
    <s v="None"/>
    <s v="Non-denominational"/>
    <s v="West Midlands"/>
    <x v="1"/>
    <x v="8"/>
    <s v="Birmingham, Northfield"/>
    <s v="B31 2LQ"/>
    <n v="5"/>
    <n v="6"/>
    <d v="2020-11-03T00:00:00"/>
    <d v="2020-12-02T00:00:00"/>
  </r>
  <r>
    <s v="Ofsted School Webpage"/>
    <n v="141487"/>
    <n v="8847008"/>
    <s v="The Brookfield School"/>
    <x v="2"/>
    <s v="Academy Special Converter"/>
    <d v="2014-10-01T00:00:00"/>
    <s v="Not applicable"/>
    <s v="Not applicable"/>
    <s v="Does not apply"/>
    <s v="None"/>
    <s v="Non-denominational"/>
    <s v="West Midlands"/>
    <x v="1"/>
    <x v="19"/>
    <s v="Hereford and South Herefordshire"/>
    <s v="HR4 9NG"/>
    <n v="3"/>
    <n v="88"/>
    <d v="2020-11-03T00:00:00"/>
    <d v="2020-11-30T00:00:00"/>
  </r>
  <r>
    <s v="Ofsted School Webpage"/>
    <n v="144648"/>
    <n v="9372056"/>
    <s v="Heathcote Primary School"/>
    <x v="0"/>
    <s v="Free School"/>
    <d v="2017-09-01T00:00:00"/>
    <s v="Unknown"/>
    <s v="Does not have a sixth form"/>
    <s v="None"/>
    <s v="None"/>
    <s v="Non-denominational"/>
    <s v="West Midlands"/>
    <x v="1"/>
    <x v="65"/>
    <s v="Warwick and Leamington"/>
    <s v="CV34 7AP"/>
    <n v="1"/>
    <n v="168"/>
    <d v="2020-11-03T00:00:00"/>
    <d v="2020-11-25T00:00:00"/>
  </r>
  <r>
    <s v="Ofsted School Webpage"/>
    <n v="144755"/>
    <n v="3524013"/>
    <s v="Manchester Enterprise Academy Central"/>
    <x v="1"/>
    <s v="Free School"/>
    <d v="2017-09-01T00:00:00"/>
    <s v="Unknown"/>
    <s v="Does not have a sixth form"/>
    <s v="None"/>
    <s v="None"/>
    <s v="Non-denominational"/>
    <s v="North West"/>
    <x v="4"/>
    <x v="4"/>
    <s v="Manchester, Gorton"/>
    <s v="M14 6PL"/>
    <n v="5"/>
    <n v="635"/>
    <d v="2020-11-03T00:00:00"/>
    <d v="2020-11-26T00:00:00"/>
  </r>
  <r>
    <s v="Ofsted School Webpage"/>
    <n v="144962"/>
    <n v="2064003"/>
    <s v="City of London Academy Highbury Grove"/>
    <x v="1"/>
    <s v="Academy Sponsor Led"/>
    <d v="2017-12-01T00:00:00"/>
    <s v="Non-selective"/>
    <s v="Has a sixth form"/>
    <s v="Does not apply"/>
    <s v="Unknown"/>
    <s v="Non-denominational"/>
    <s v="London"/>
    <x v="3"/>
    <x v="70"/>
    <s v="Islington North"/>
    <s v="N5 2EQ"/>
    <n v="5"/>
    <n v="1086"/>
    <d v="2020-11-03T00:00:00"/>
    <d v="2020-12-07T00:00:00"/>
  </r>
  <r>
    <s v="Ofsted School Webpage"/>
    <n v="139176"/>
    <n v="3093300"/>
    <s v="St Paul's and All Hallows CofE Infant School"/>
    <x v="0"/>
    <s v="Academy Converter"/>
    <d v="2013-01-01T00:00:00"/>
    <s v="Not applicable"/>
    <s v="Does not have a sixth form"/>
    <s v="Church of England"/>
    <s v="Does not apply"/>
    <s v="Christian"/>
    <s v="London"/>
    <x v="3"/>
    <x v="24"/>
    <s v="Tottenham"/>
    <s v="N17 0HH"/>
    <n v="5"/>
    <n v="134"/>
    <d v="2020-11-03T00:00:00"/>
    <d v="2020-12-01T00:00:00"/>
  </r>
  <r>
    <s v="Ofsted School Webpage"/>
    <n v="141717"/>
    <n v="8052237"/>
    <s v="West Park Primary School"/>
    <x v="0"/>
    <s v="Academy Converter"/>
    <d v="2015-03-01T00:00:00"/>
    <s v="Non-selective"/>
    <s v="Does not have a sixth form"/>
    <s v="Does not apply"/>
    <s v="Does not apply"/>
    <s v="Non-denominational"/>
    <s v="North East, Yorkshire and the Humber"/>
    <x v="8"/>
    <x v="117"/>
    <s v="Hartlepool"/>
    <s v="TS26 0BU"/>
    <n v="2"/>
    <n v="336"/>
    <d v="2020-11-03T00:00:00"/>
    <d v="2020-12-02T00:00:00"/>
  </r>
  <r>
    <s v="Ofsted School Webpage"/>
    <n v="143196"/>
    <n v="3322156"/>
    <s v="Hob Green Primary School"/>
    <x v="0"/>
    <s v="Academy Converter"/>
    <d v="2016-11-01T00:00:00"/>
    <s v="Not applicable"/>
    <s v="Does not have a sixth form"/>
    <s v="Does not apply"/>
    <s v="Does not apply"/>
    <s v="Non-denominational"/>
    <s v="West Midlands"/>
    <x v="1"/>
    <x v="110"/>
    <s v="Stourbridge"/>
    <s v="DY9 9EX"/>
    <n v="5"/>
    <n v="268"/>
    <d v="2020-11-03T00:00:00"/>
    <d v="2020-12-01T00:00:00"/>
  </r>
  <r>
    <s v="Ofsted School Webpage"/>
    <n v="143204"/>
    <n v="8812083"/>
    <s v="Richard De Clare Community Academy"/>
    <x v="0"/>
    <s v="Academy Converter"/>
    <d v="2016-09-01T00:00:00"/>
    <s v="Not applicable"/>
    <s v="Does not have a sixth form"/>
    <s v="Does not apply"/>
    <s v="Does not apply"/>
    <s v="Non-denominational"/>
    <s v="East of England"/>
    <x v="7"/>
    <x v="75"/>
    <s v="Braintree"/>
    <s v="CO9 2JT"/>
    <n v="3"/>
    <n v="386"/>
    <d v="2020-11-03T00:00:00"/>
    <d v="2020-12-03T00:00:00"/>
  </r>
  <r>
    <s v="Ofsted School Webpage"/>
    <n v="137684"/>
    <n v="8664060"/>
    <s v="The Dorcan Academy"/>
    <x v="1"/>
    <s v="Academy Converter"/>
    <d v="2011-12-01T00:00:00"/>
    <s v="Non-selective"/>
    <s v="Does not have a sixth form"/>
    <s v="None"/>
    <s v="Does not apply"/>
    <s v="Non-denominational"/>
    <s v="South West"/>
    <x v="5"/>
    <x v="111"/>
    <s v="South Swindon"/>
    <s v="SN3 5DA"/>
    <n v="4"/>
    <n v="757"/>
    <d v="2020-11-03T00:00:00"/>
    <d v="2020-11-30T00:00:00"/>
  </r>
  <r>
    <s v="Ofsted School Webpage"/>
    <n v="108665"/>
    <n v="3931018"/>
    <s v="Boldon Nursery School"/>
    <x v="4"/>
    <s v="LA Nursery School"/>
    <s v="NULL"/>
    <s v="Not applicable"/>
    <s v="Not applicable"/>
    <s v="Does not apply"/>
    <s v="Does not apply"/>
    <s v="Non-denominational"/>
    <s v="North East, Yorkshire and the Humber"/>
    <x v="8"/>
    <x v="17"/>
    <s v="Jarrow"/>
    <s v="NE35 9DG"/>
    <n v="3"/>
    <n v="86"/>
    <d v="2020-11-03T00:00:00"/>
    <d v="2020-12-06T00:00:00"/>
  </r>
  <r>
    <s v="Ofsted School Webpage"/>
    <n v="140251"/>
    <n v="8552070"/>
    <s v="Stanton Under Bardon Community Primary School"/>
    <x v="0"/>
    <s v="Academy Converter"/>
    <d v="2013-10-01T00:00:00"/>
    <s v="Not applicable"/>
    <s v="Does not have a sixth form"/>
    <s v="Does not apply"/>
    <s v="Does not apply"/>
    <s v="Non-denominational"/>
    <s v="East Midlands"/>
    <x v="6"/>
    <x v="112"/>
    <s v="Bosworth"/>
    <s v="LE67 9TQ"/>
    <n v="3"/>
    <n v="106"/>
    <d v="2020-11-03T00:00:00"/>
    <d v="2020-12-01T00:00:00"/>
  </r>
  <r>
    <s v="Ofsted School Webpage"/>
    <n v="139983"/>
    <n v="8562237"/>
    <s v="Humberstone Junior School"/>
    <x v="0"/>
    <s v="Academy Converter"/>
    <d v="2013-08-01T00:00:00"/>
    <s v="Not applicable"/>
    <s v="Does not have a sixth form"/>
    <s v="Does not apply"/>
    <s v="Does not apply"/>
    <s v="Non-denominational"/>
    <s v="East Midlands"/>
    <x v="6"/>
    <x v="79"/>
    <s v="Leicester East"/>
    <s v="LE5 1AE"/>
    <n v="4"/>
    <n v="359"/>
    <d v="2020-11-03T00:00:00"/>
    <d v="2020-11-29T00:00:00"/>
  </r>
  <r>
    <s v="Ofsted School Webpage"/>
    <n v="136175"/>
    <n v="8866917"/>
    <s v="Dover Christ Church Academy"/>
    <x v="1"/>
    <s v="Academy Sponsor Led"/>
    <d v="2010-09-01T00:00:00"/>
    <s v="Non-selective"/>
    <s v="Has a sixth form"/>
    <s v="Does not apply"/>
    <s v="None"/>
    <s v="Non-denominational"/>
    <s v="South East"/>
    <x v="2"/>
    <x v="7"/>
    <s v="Dover"/>
    <s v="CT16 2EG"/>
    <n v="4"/>
    <n v="809"/>
    <d v="2020-11-03T00:00:00"/>
    <d v="2020-12-10T00:00:00"/>
  </r>
  <r>
    <s v="Ofsted School Webpage"/>
    <n v="138391"/>
    <n v="8452002"/>
    <s v="Oakwood Primary Academy"/>
    <x v="0"/>
    <s v="Academy Sponsor Led"/>
    <d v="2012-09-01T00:00:00"/>
    <s v="Not applicable"/>
    <s v="Not applicable"/>
    <s v="Does not apply"/>
    <s v="None"/>
    <s v="Non-denominational"/>
    <s v="South East"/>
    <x v="2"/>
    <x v="80"/>
    <s v="Eastbourne"/>
    <s v="BN22 0SS"/>
    <n v="4"/>
    <n v="404"/>
    <d v="2020-11-03T00:00:00"/>
    <d v="2020-11-30T00:00:00"/>
  </r>
  <r>
    <s v="Ofsted School Webpage"/>
    <n v="139005"/>
    <n v="8552008"/>
    <s v="Beacon Academy"/>
    <x v="0"/>
    <s v="Academy Sponsor Led"/>
    <d v="2012-12-01T00:00:00"/>
    <s v="Not applicable"/>
    <s v="Does not have a sixth form"/>
    <s v="Does not apply"/>
    <s v="None"/>
    <s v="Non-denominational"/>
    <s v="East Midlands"/>
    <x v="6"/>
    <x v="112"/>
    <s v="Loughborough"/>
    <s v="LE11 2NF"/>
    <n v="4"/>
    <n v="318"/>
    <d v="2020-11-03T00:00:00"/>
    <d v="2020-11-30T00:00:00"/>
  </r>
  <r>
    <s v="Ofsted School Webpage"/>
    <n v="113652"/>
    <n v="8787081"/>
    <s v="Wesc Foundation School"/>
    <x v="2"/>
    <s v="Non-Maintained Special School"/>
    <s v="NULL"/>
    <s v="Not applicable"/>
    <s v="Does not have a sixth form"/>
    <s v="Does not apply"/>
    <s v="Does not apply"/>
    <s v="Non-denominational"/>
    <s v="South West"/>
    <x v="5"/>
    <x v="62"/>
    <s v="East Devon"/>
    <s v="EX2 6HA"/>
    <n v="2"/>
    <n v="9"/>
    <d v="2020-11-03T00:00:00"/>
    <d v="2020-12-02T00:00:00"/>
  </r>
  <r>
    <s v="Ofsted School Webpage"/>
    <n v="130344"/>
    <n v="9191101"/>
    <s v="North Herts Education Support Centre"/>
    <x v="3"/>
    <s v="Pupil Referral Unit"/>
    <d v="1995-09-01T00:00:00"/>
    <s v="Not applicable"/>
    <s v="Not applicable"/>
    <s v="Does not apply"/>
    <s v="Does not apply"/>
    <s v="Non-denominational"/>
    <s v="East of England"/>
    <x v="7"/>
    <x v="56"/>
    <s v="North East Hertfordshire"/>
    <s v="SG6 3LY"/>
    <n v="1"/>
    <n v="10"/>
    <d v="2020-11-03T00:00:00"/>
    <d v="2020-12-07T00:00:00"/>
  </r>
  <r>
    <s v="Ofsted School Webpage"/>
    <n v="119771"/>
    <n v="8884408"/>
    <s v="Fleetwood High School"/>
    <x v="1"/>
    <s v="Foundation School"/>
    <s v="NULL"/>
    <s v="Non-selective"/>
    <s v="Does not have a sixth form"/>
    <s v="None"/>
    <s v="Does not apply"/>
    <s v="Non-denominational"/>
    <s v="North West"/>
    <x v="4"/>
    <x v="27"/>
    <s v="Lancaster and Fleetwood"/>
    <s v="FY7 8HE"/>
    <n v="5"/>
    <n v="935"/>
    <d v="2020-11-03T00:00:00"/>
    <d v="2020-11-26T00:00:00"/>
  </r>
  <r>
    <s v="Ofsted School Webpage"/>
    <n v="139968"/>
    <n v="8102013"/>
    <s v="Wold Academy"/>
    <x v="0"/>
    <s v="Academy Sponsor Led"/>
    <d v="2013-10-01T00:00:00"/>
    <s v="Non-selective"/>
    <s v="Does not have a sixth form"/>
    <s v="Does not apply"/>
    <s v="None"/>
    <s v="Non-denominational"/>
    <s v="North East, Yorkshire and the Humber"/>
    <x v="0"/>
    <x v="122"/>
    <s v="Kingston upon Hull West and Hessle"/>
    <s v="HU5 5QG"/>
    <n v="4"/>
    <n v="564"/>
    <d v="2020-11-03T00:00:00"/>
    <d v="2020-12-03T00:00:00"/>
  </r>
  <r>
    <s v="Ofsted School Webpage"/>
    <n v="105535"/>
    <n v="3523460"/>
    <s v="St Patrick's RC Primary School"/>
    <x v="0"/>
    <s v="Voluntary Aided School"/>
    <s v="NULL"/>
    <s v="Not applicable"/>
    <s v="Does not have a sixth form"/>
    <s v="Roman Catholic"/>
    <s v="Does not apply"/>
    <s v="Christian"/>
    <s v="North West"/>
    <x v="4"/>
    <x v="4"/>
    <s v="Manchester Central"/>
    <s v="M4 5HF"/>
    <n v="5"/>
    <n v="206"/>
    <d v="2020-11-03T00:00:00"/>
    <d v="2020-12-07T00:00:00"/>
  </r>
  <r>
    <s v="Ofsted School Webpage"/>
    <n v="142633"/>
    <n v="9262118"/>
    <s v="The Bishop's Church of England Primary Academy"/>
    <x v="0"/>
    <s v="Academy Sponsor Led"/>
    <d v="2016-11-01T00:00:00"/>
    <s v="Not applicable"/>
    <s v="Does not have a sixth form"/>
    <s v="Church of England"/>
    <s v="Unknown"/>
    <s v="Christian"/>
    <s v="East of England"/>
    <x v="7"/>
    <x v="33"/>
    <s v="South West Norfolk"/>
    <s v="IP24 1EB"/>
    <n v="4"/>
    <n v="421"/>
    <d v="2020-11-03T00:00:00"/>
    <d v="2020-12-03T00:00:00"/>
  </r>
  <r>
    <s v="Ofsted School Webpage"/>
    <n v="142881"/>
    <n v="9374009"/>
    <s v="Rugby Free Secondary School"/>
    <x v="1"/>
    <s v="Free School"/>
    <d v="2016-09-05T00:00:00"/>
    <s v="Unknown"/>
    <s v="Does not have a sixth form"/>
    <s v="None"/>
    <s v="None"/>
    <s v="Non-denominational"/>
    <s v="West Midlands"/>
    <x v="1"/>
    <x v="65"/>
    <s v="Rugby"/>
    <s v="CV22 5PE"/>
    <n v="2"/>
    <n v="682"/>
    <d v="2020-11-03T00:00:00"/>
    <d v="2020-12-02T00:00:00"/>
  </r>
  <r>
    <s v="Ofsted School Webpage"/>
    <n v="142962"/>
    <n v="8413002"/>
    <s v="St Mary's Cockerton Church of England Primary School"/>
    <x v="0"/>
    <s v="Academy Converter"/>
    <d v="2016-10-01T00:00:00"/>
    <s v="Not applicable"/>
    <s v="Does not have a sixth form"/>
    <s v="Church of England"/>
    <s v="Does not apply"/>
    <s v="Christian"/>
    <s v="North East, Yorkshire and the Humber"/>
    <x v="8"/>
    <x v="54"/>
    <s v="Darlington"/>
    <s v="DL3 9EX"/>
    <n v="5"/>
    <n v="198"/>
    <d v="2020-11-03T00:00:00"/>
    <d v="2020-11-30T00:00:00"/>
  </r>
  <r>
    <s v="Ofsted School Webpage"/>
    <n v="145414"/>
    <n v="8602031"/>
    <s v="Dosthill Primary School"/>
    <x v="0"/>
    <s v="Academy Sponsor Led"/>
    <d v="2018-01-01T00:00:00"/>
    <s v="Not applicable"/>
    <s v="Does not have a sixth form"/>
    <s v="Does not apply"/>
    <s v="Does not apply"/>
    <s v="Non-denominational"/>
    <s v="West Midlands"/>
    <x v="1"/>
    <x v="36"/>
    <s v="Tamworth"/>
    <s v="B77 1LQ"/>
    <n v="2"/>
    <n v="560"/>
    <d v="2020-11-03T00:00:00"/>
    <d v="2020-11-30T00:00:00"/>
  </r>
  <r>
    <s v="Ofsted School Webpage"/>
    <n v="145313"/>
    <n v="2104005"/>
    <s v="Bacon's College"/>
    <x v="1"/>
    <s v="Academy Sponsor Led"/>
    <d v="2018-03-01T00:00:00"/>
    <s v="Non-selective"/>
    <s v="Has a sixth form"/>
    <s v="Church of England"/>
    <s v="None"/>
    <s v="Christian"/>
    <s v="London"/>
    <x v="3"/>
    <x v="132"/>
    <s v="Bermondsey and Old Southwark"/>
    <s v="SE16 6AT"/>
    <n v="5"/>
    <n v="980"/>
    <d v="2020-11-03T00:00:00"/>
    <d v="2020-12-06T00:00:00"/>
  </r>
  <r>
    <s v="Ofsted School Webpage"/>
    <n v="147627"/>
    <n v="8307012"/>
    <s v="Stubbin Wood School"/>
    <x v="2"/>
    <s v="Academy Special Converter"/>
    <d v="2020-06-01T00:00:00"/>
    <s v="Not applicable"/>
    <s v="Has a sixth form"/>
    <s v="Does not apply"/>
    <s v="Does not apply"/>
    <s v="Non-denominational"/>
    <s v="East Midlands"/>
    <x v="6"/>
    <x v="6"/>
    <s v="Bolsover"/>
    <s v="NG20 8QF"/>
    <n v="4"/>
    <s v="NULL"/>
    <d v="2020-11-03T00:00:00"/>
    <d v="2020-12-02T00:00:00"/>
  </r>
  <r>
    <s v="Ofsted School Webpage"/>
    <n v="143448"/>
    <n v="9082240"/>
    <s v="Illogan School"/>
    <x v="0"/>
    <s v="Academy Converter"/>
    <d v="2016-10-01T00:00:00"/>
    <s v="Not applicable"/>
    <s v="Does not have a sixth form"/>
    <s v="Does not apply"/>
    <s v="Does not apply"/>
    <s v="Non-denominational"/>
    <s v="South West"/>
    <x v="5"/>
    <x v="42"/>
    <s v="Camborne and Redruth"/>
    <s v="TR16 4SW"/>
    <n v="4"/>
    <n v="216"/>
    <d v="2020-11-03T00:00:00"/>
    <d v="2020-12-03T00:00:00"/>
  </r>
  <r>
    <s v="Ofsted School Webpage"/>
    <n v="112831"/>
    <n v="8303056"/>
    <s v="Hulland CofE Primary School"/>
    <x v="0"/>
    <s v="Voluntary Controlled School"/>
    <s v="NULL"/>
    <s v="Not applicable"/>
    <s v="Does not have a sixth form"/>
    <s v="Church of England"/>
    <s v="Does not apply"/>
    <s v="Christian"/>
    <s v="East Midlands"/>
    <x v="6"/>
    <x v="6"/>
    <s v="Derbyshire Dales"/>
    <s v="DE6 3FS"/>
    <n v="1"/>
    <n v="54"/>
    <d v="2020-11-04T00:00:00"/>
    <d v="2020-12-02T00:00:00"/>
  </r>
  <r>
    <s v="Ofsted School Webpage"/>
    <n v="102449"/>
    <n v="3125409"/>
    <s v="Oak Wood School"/>
    <x v="1"/>
    <s v="Foundation School"/>
    <s v="NULL"/>
    <s v="Non-selective"/>
    <s v="Has a sixth form"/>
    <s v="None"/>
    <s v="Does not apply"/>
    <s v="Non-denominational"/>
    <s v="London"/>
    <x v="3"/>
    <x v="133"/>
    <s v="Uxbridge and South Ruislip"/>
    <s v="UB10 0EX"/>
    <n v="4"/>
    <n v="912"/>
    <d v="2020-11-04T00:00:00"/>
    <d v="2020-11-29T00:00:00"/>
  </r>
  <r>
    <s v="Ofsted School Webpage"/>
    <n v="104664"/>
    <n v="3413588"/>
    <s v="St Sebastian's Catholic Primary School and Nursery"/>
    <x v="0"/>
    <s v="Voluntary Aided School"/>
    <s v="NULL"/>
    <s v="Not applicable"/>
    <s v="Does not have a sixth form"/>
    <s v="Roman Catholic"/>
    <s v="Does not apply"/>
    <s v="Christian"/>
    <s v="North West"/>
    <x v="4"/>
    <x v="29"/>
    <s v="Liverpool, Wavertree"/>
    <s v="L7 0LH"/>
    <n v="5"/>
    <n v="265"/>
    <d v="2020-11-04T00:00:00"/>
    <d v="2020-12-10T00:00:00"/>
  </r>
  <r>
    <s v="Ofsted School Webpage"/>
    <n v="104910"/>
    <n v="3433322"/>
    <s v="Holy Spirit Catholic Primary School"/>
    <x v="0"/>
    <s v="Voluntary Aided School"/>
    <s v="NULL"/>
    <s v="Not applicable"/>
    <s v="Does not have a sixth form"/>
    <s v="Roman Catholic"/>
    <s v="Does not apply"/>
    <s v="Christian"/>
    <s v="North West"/>
    <x v="4"/>
    <x v="93"/>
    <s v="Bootle"/>
    <s v="L30 2NR"/>
    <n v="5"/>
    <n v="213"/>
    <d v="2020-11-04T00:00:00"/>
    <d v="2020-11-26T00:00:00"/>
  </r>
  <r>
    <s v="Ofsted School Webpage"/>
    <n v="100633"/>
    <n v="2085205"/>
    <s v="Immanuel and St Andrew Church of England Primary School"/>
    <x v="0"/>
    <s v="Voluntary Aided School"/>
    <s v="NULL"/>
    <s v="Not applicable"/>
    <s v="Does not have a sixth form"/>
    <s v="Church of England"/>
    <s v="Does not apply"/>
    <s v="Christian"/>
    <s v="London"/>
    <x v="3"/>
    <x v="134"/>
    <s v="Streatham"/>
    <s v="SW16 5SL"/>
    <n v="3"/>
    <n v="428"/>
    <d v="2020-11-05T00:00:00"/>
    <d v="2020-12-06T00:00:00"/>
  </r>
  <r>
    <s v="Ofsted School Webpage"/>
    <n v="121558"/>
    <n v="8153235"/>
    <s v="Cracoe and Rylstone Voluntary Controlled Church of England Primary School"/>
    <x v="0"/>
    <s v="Voluntary Controlled School"/>
    <s v="NULL"/>
    <s v="Not applicable"/>
    <s v="Does not have a sixth form"/>
    <s v="Church of England"/>
    <s v="Does not apply"/>
    <s v="Christian"/>
    <s v="North East, Yorkshire and the Humber"/>
    <x v="0"/>
    <x v="60"/>
    <s v="Skipton and Ripon"/>
    <s v="BD23 6LQ"/>
    <n v="1"/>
    <n v="35"/>
    <d v="2020-11-05T00:00:00"/>
    <d v="2020-12-01T00:00:00"/>
  </r>
  <r>
    <s v="Ofsted School Webpage"/>
    <n v="105693"/>
    <n v="3533011"/>
    <s v="Christ Church CofE Primary School"/>
    <x v="0"/>
    <s v="Voluntary Controlled School"/>
    <s v="NULL"/>
    <s v="Not applicable"/>
    <s v="Does not have a sixth form"/>
    <s v="Church of England"/>
    <s v="Does not apply"/>
    <s v="Christian"/>
    <s v="North West"/>
    <x v="4"/>
    <x v="41"/>
    <s v="Oldham East and Saddleworth"/>
    <s v="OL3 5RY"/>
    <n v="2"/>
    <n v="99"/>
    <d v="2020-11-05T00:00:00"/>
    <d v="2020-12-01T00:00:00"/>
  </r>
  <r>
    <s v="Ofsted School Webpage"/>
    <n v="121580"/>
    <n v="8153261"/>
    <s v="Ripley Endowed Church of England School"/>
    <x v="0"/>
    <s v="Voluntary Controlled School"/>
    <s v="NULL"/>
    <s v="Not applicable"/>
    <s v="Does not have a sixth form"/>
    <s v="Church of England"/>
    <s v="Does not apply"/>
    <s v="Christian"/>
    <s v="North East, Yorkshire and the Humber"/>
    <x v="0"/>
    <x v="60"/>
    <s v="Harrogate and Knaresborough"/>
    <s v="HG3 3AY"/>
    <n v="1"/>
    <n v="52"/>
    <d v="2020-11-05T00:00:00"/>
    <d v="2020-12-09T00:00:00"/>
  </r>
  <r>
    <s v="Ofsted School Webpage"/>
    <n v="105222"/>
    <n v="3503319"/>
    <s v="St Ethelbert's RC Primary School"/>
    <x v="0"/>
    <s v="Voluntary Aided School"/>
    <s v="NULL"/>
    <s v="Not applicable"/>
    <s v="Does not have a sixth form"/>
    <s v="Roman Catholic"/>
    <s v="Does not apply"/>
    <s v="Christian"/>
    <s v="North West"/>
    <x v="4"/>
    <x v="116"/>
    <s v="Bolton South East"/>
    <s v="BL3 5RL"/>
    <n v="5"/>
    <n v="249"/>
    <d v="2020-11-05T00:00:00"/>
    <d v="2020-12-01T00:00:00"/>
  </r>
  <r>
    <s v="Ofsted School Webpage"/>
    <n v="102400"/>
    <n v="3122054"/>
    <s v="Whiteheath Junior School"/>
    <x v="0"/>
    <s v="Community School"/>
    <s v="NULL"/>
    <s v="Not applicable"/>
    <s v="Does not have a sixth form"/>
    <s v="Does not apply"/>
    <s v="Does not apply"/>
    <s v="Non-denominational"/>
    <s v="London"/>
    <x v="3"/>
    <x v="133"/>
    <s v="Ruislip, Northwood and Pinner"/>
    <s v="HA4 7PR"/>
    <n v="2"/>
    <n v="353"/>
    <d v="2020-11-05T00:00:00"/>
    <d v="2020-12-01T00:00:00"/>
  </r>
  <r>
    <s v="Ofsted School Webpage"/>
    <n v="119401"/>
    <n v="8883143"/>
    <s v="Leyland Methodist Infant School"/>
    <x v="0"/>
    <s v="Voluntary Controlled School"/>
    <s v="NULL"/>
    <s v="Not applicable"/>
    <s v="Does not have a sixth form"/>
    <s v="Methodist"/>
    <s v="Does not apply"/>
    <s v="Christian"/>
    <s v="North West"/>
    <x v="4"/>
    <x v="27"/>
    <s v="South Ribble"/>
    <s v="PR25 3ET"/>
    <n v="2"/>
    <n v="207"/>
    <d v="2020-11-05T00:00:00"/>
    <d v="2020-12-03T00:00:00"/>
  </r>
  <r>
    <s v="Ofsted School Webpage"/>
    <n v="119676"/>
    <n v="8883792"/>
    <s v="St. Mary's Catholic Primary School Euxton"/>
    <x v="0"/>
    <s v="Voluntary Aided School"/>
    <s v="NULL"/>
    <s v="Not applicable"/>
    <s v="Does not have a sixth form"/>
    <s v="Roman Catholic"/>
    <s v="Does not apply"/>
    <s v="Christian"/>
    <s v="North West"/>
    <x v="4"/>
    <x v="27"/>
    <s v="Chorley"/>
    <s v="PR7 6JW"/>
    <n v="2"/>
    <n v="206"/>
    <d v="2020-11-05T00:00:00"/>
    <d v="2020-12-02T00:00:00"/>
  </r>
  <r>
    <s v="Ofsted School Webpage"/>
    <n v="119743"/>
    <n v="8884150"/>
    <s v="Walton-Le-Dale High School"/>
    <x v="1"/>
    <s v="Community School"/>
    <s v="NULL"/>
    <s v="Non-selective"/>
    <s v="Does not have a sixth form"/>
    <s v="Does not apply"/>
    <s v="Does not apply"/>
    <s v="Non-denominational"/>
    <s v="North West"/>
    <x v="4"/>
    <x v="27"/>
    <s v="Ribble Valley"/>
    <s v="PR5 6RN"/>
    <n v="4"/>
    <n v="775"/>
    <d v="2020-11-05T00:00:00"/>
    <d v="2020-12-06T00:00:00"/>
  </r>
  <r>
    <s v="Ofsted School Webpage"/>
    <n v="116932"/>
    <n v="8854006"/>
    <s v="The De Montfort School"/>
    <x v="1"/>
    <s v="Community School"/>
    <s v="NULL"/>
    <s v="Non-selective"/>
    <s v="Has a sixth form"/>
    <s v="Does not apply"/>
    <s v="Does not apply"/>
    <s v="Non-denominational"/>
    <s v="West Midlands"/>
    <x v="1"/>
    <x v="89"/>
    <s v="Mid Worcestershire"/>
    <s v="WR11 1DQ"/>
    <n v="2"/>
    <n v="926"/>
    <d v="2020-11-05T00:00:00"/>
    <d v="2020-11-29T00:00:00"/>
  </r>
  <r>
    <s v="Ofsted School Webpage"/>
    <n v="102746"/>
    <n v="3162066"/>
    <s v="Star Primary School"/>
    <x v="0"/>
    <s v="Community School"/>
    <s v="NULL"/>
    <s v="Not applicable"/>
    <s v="Does not have a sixth form"/>
    <s v="Does not apply"/>
    <s v="Does not apply"/>
    <s v="Non-denominational"/>
    <s v="London"/>
    <x v="3"/>
    <x v="107"/>
    <s v="West Ham"/>
    <s v="E16 4NH"/>
    <n v="5"/>
    <n v="666"/>
    <d v="2020-11-05T00:00:00"/>
    <d v="2020-12-10T00:00:00"/>
  </r>
  <r>
    <s v="Ofsted School Webpage"/>
    <n v="122238"/>
    <n v="9292281"/>
    <s v="Shilbottle Primary School"/>
    <x v="0"/>
    <s v="Community School"/>
    <s v="NULL"/>
    <s v="Not applicable"/>
    <s v="Does not have a sixth form"/>
    <s v="Does not apply"/>
    <s v="Does not apply"/>
    <s v="Non-denominational"/>
    <s v="North East, Yorkshire and the Humber"/>
    <x v="8"/>
    <x v="39"/>
    <s v="Berwick-upon-Tweed"/>
    <s v="NE66 2XQ"/>
    <n v="3"/>
    <n v="129"/>
    <d v="2020-11-05T00:00:00"/>
    <d v="2020-11-26T00:00:00"/>
  </r>
  <r>
    <s v="Ofsted School Webpage"/>
    <n v="116664"/>
    <n v="8852021"/>
    <s v="Sidemoor First School and Nursery"/>
    <x v="0"/>
    <s v="Community School"/>
    <s v="NULL"/>
    <s v="Not applicable"/>
    <s v="Does not have a sixth form"/>
    <s v="Does not apply"/>
    <s v="Does not apply"/>
    <s v="Non-denominational"/>
    <s v="West Midlands"/>
    <x v="1"/>
    <x v="89"/>
    <s v="Bromsgrove"/>
    <s v="B61 8QN"/>
    <n v="3"/>
    <n v="288"/>
    <d v="2020-11-05T00:00:00"/>
    <d v="2020-12-07T00:00:00"/>
  </r>
  <r>
    <s v="Ofsted School Webpage"/>
    <n v="133488"/>
    <n v="9192027"/>
    <s v="Swallow Dell Primary and Nursery School"/>
    <x v="0"/>
    <s v="Community School"/>
    <d v="2002-01-01T00:00:00"/>
    <s v="Not applicable"/>
    <s v="Does not have a sixth form"/>
    <s v="Does not apply"/>
    <s v="Does not apply"/>
    <s v="Non-denominational"/>
    <s v="East of England"/>
    <x v="7"/>
    <x v="56"/>
    <s v="Welwyn Hatfield"/>
    <s v="AL7 3JP"/>
    <n v="4"/>
    <n v="440"/>
    <d v="2020-11-05T00:00:00"/>
    <d v="2020-12-09T00:00:00"/>
  </r>
  <r>
    <s v="Ofsted School Webpage"/>
    <n v="104060"/>
    <n v="3342051"/>
    <s v="Marston Green Junior School"/>
    <x v="0"/>
    <s v="Community School"/>
    <s v="NULL"/>
    <s v="Not applicable"/>
    <s v="Does not have a sixth form"/>
    <s v="Does not apply"/>
    <s v="Does not apply"/>
    <s v="Non-denominational"/>
    <s v="West Midlands"/>
    <x v="1"/>
    <x v="74"/>
    <s v="Meriden"/>
    <s v="B37 7BA"/>
    <n v="4"/>
    <n v="353"/>
    <d v="2020-11-05T00:00:00"/>
    <d v="2020-11-30T00:00:00"/>
  </r>
  <r>
    <s v="Ofsted School Webpage"/>
    <n v="115948"/>
    <n v="8502183"/>
    <s v="Sopley Primary School"/>
    <x v="0"/>
    <s v="Community School"/>
    <s v="NULL"/>
    <s v="Not applicable"/>
    <s v="Does not have a sixth form"/>
    <s v="Does not apply"/>
    <s v="Does not apply"/>
    <s v="Non-denominational"/>
    <s v="South East"/>
    <x v="2"/>
    <x v="2"/>
    <s v="New Forest West"/>
    <s v="BH23 8ET"/>
    <n v="2"/>
    <n v="99"/>
    <d v="2020-11-05T00:00:00"/>
    <d v="2020-11-30T00:00:00"/>
  </r>
  <r>
    <s v="Ofsted School Webpage"/>
    <n v="121309"/>
    <n v="8152081"/>
    <s v="North and South Cowton Community Primary School"/>
    <x v="0"/>
    <s v="Community School"/>
    <s v="NULL"/>
    <s v="Not applicable"/>
    <s v="Does not have a sixth form"/>
    <s v="Does not apply"/>
    <s v="Does not apply"/>
    <s v="Non-denominational"/>
    <s v="North East, Yorkshire and the Humber"/>
    <x v="0"/>
    <x v="60"/>
    <s v="Richmond (Yorks)"/>
    <s v="DL7 0HF"/>
    <n v="1"/>
    <n v="28"/>
    <d v="2020-11-05T00:00:00"/>
    <d v="2021-01-17T00:00:00"/>
  </r>
  <r>
    <s v="Ofsted School Webpage"/>
    <n v="118289"/>
    <n v="8862163"/>
    <s v="East Farleigh Primary School"/>
    <x v="0"/>
    <s v="Community School"/>
    <s v="NULL"/>
    <s v="Not applicable"/>
    <s v="Does not have a sixth form"/>
    <s v="Does not apply"/>
    <s v="Does not apply"/>
    <s v="Non-denominational"/>
    <s v="South East"/>
    <x v="2"/>
    <x v="7"/>
    <s v="Maidstone and The Weald"/>
    <s v="ME15 0LY"/>
    <n v="2"/>
    <n v="206"/>
    <d v="2020-11-05T00:00:00"/>
    <d v="2020-11-29T00:00:00"/>
  </r>
  <r>
    <s v="Ofsted School Webpage"/>
    <n v="107046"/>
    <n v="3732279"/>
    <s v="Halfway Junior School"/>
    <x v="0"/>
    <s v="Community School"/>
    <s v="NULL"/>
    <s v="Not applicable"/>
    <s v="Does not have a sixth form"/>
    <s v="Does not apply"/>
    <s v="Does not apply"/>
    <s v="Non-denominational"/>
    <s v="North East, Yorkshire and the Humber"/>
    <x v="0"/>
    <x v="99"/>
    <s v="Sheffield South East"/>
    <s v="S20 4TA"/>
    <n v="3"/>
    <n v="196"/>
    <d v="2020-11-05T00:00:00"/>
    <d v="2020-11-26T00:00:00"/>
  </r>
  <r>
    <s v="Ofsted School Webpage"/>
    <n v="103078"/>
    <n v="3202075"/>
    <s v="Coppermill Primary School"/>
    <x v="0"/>
    <s v="Community School"/>
    <s v="NULL"/>
    <s v="Not applicable"/>
    <s v="Does not have a sixth form"/>
    <s v="Does not apply"/>
    <s v="Does not apply"/>
    <s v="Non-denominational"/>
    <s v="London"/>
    <x v="3"/>
    <x v="124"/>
    <s v="Walthamstow"/>
    <s v="E17 6PB"/>
    <n v="3"/>
    <n v="254"/>
    <d v="2020-11-05T00:00:00"/>
    <d v="2020-12-10T00:00:00"/>
  </r>
  <r>
    <s v="Ofsted School Webpage"/>
    <n v="115574"/>
    <n v="9162138"/>
    <s v="Cam Woodfield Infant School"/>
    <x v="0"/>
    <s v="Community School"/>
    <s v="NULL"/>
    <s v="Not applicable"/>
    <s v="Does not have a sixth form"/>
    <s v="Does not apply"/>
    <s v="Does not apply"/>
    <s v="Non-denominational"/>
    <s v="South West"/>
    <x v="5"/>
    <x v="28"/>
    <s v="Stroud"/>
    <s v="GL11 6JJ"/>
    <n v="3"/>
    <n v="131"/>
    <d v="2020-11-05T00:00:00"/>
    <d v="2020-12-06T00:00:00"/>
  </r>
  <r>
    <s v="Ofsted School Webpage"/>
    <n v="123364"/>
    <n v="8942041"/>
    <s v="Donnington Wood Infant School and Nursery Centre"/>
    <x v="0"/>
    <s v="Community School"/>
    <s v="NULL"/>
    <s v="Not applicable"/>
    <s v="Does not have a sixth form"/>
    <s v="Does not apply"/>
    <s v="Does not apply"/>
    <s v="Non-denominational"/>
    <s v="West Midlands"/>
    <x v="1"/>
    <x v="100"/>
    <s v="The Wrekin"/>
    <s v="TF2 8EP"/>
    <n v="5"/>
    <n v="205"/>
    <d v="2020-11-05T00:00:00"/>
    <d v="2020-11-29T00:00:00"/>
  </r>
  <r>
    <s v="Ofsted School Webpage"/>
    <n v="113249"/>
    <n v="8782603"/>
    <s v="Ermington Primary School"/>
    <x v="0"/>
    <s v="Community School"/>
    <s v="NULL"/>
    <s v="Not applicable"/>
    <s v="Does not have a sixth form"/>
    <s v="Does not apply"/>
    <s v="Does not apply"/>
    <s v="Non-denominational"/>
    <s v="South West"/>
    <x v="5"/>
    <x v="62"/>
    <s v="South West Devon"/>
    <s v="PL21 9NH"/>
    <n v="1"/>
    <n v="146"/>
    <d v="2020-11-05T00:00:00"/>
    <d v="2020-11-25T00:00:00"/>
  </r>
  <r>
    <s v="Ofsted School Webpage"/>
    <n v="112720"/>
    <n v="8312409"/>
    <s v="Dale Community Primary School"/>
    <x v="0"/>
    <s v="Community School"/>
    <s v="NULL"/>
    <s v="Not applicable"/>
    <s v="Does not have a sixth form"/>
    <s v="Does not apply"/>
    <s v="Does not apply"/>
    <s v="Non-denominational"/>
    <s v="East Midlands"/>
    <x v="6"/>
    <x v="69"/>
    <s v="Derby South"/>
    <s v="DE23 6NL"/>
    <n v="4"/>
    <n v="544"/>
    <d v="2020-11-05T00:00:00"/>
    <d v="2020-12-01T00:00:00"/>
  </r>
  <r>
    <s v="Ofsted School Webpage"/>
    <n v="106839"/>
    <n v="3722013"/>
    <s v="Ferham Primary School"/>
    <x v="0"/>
    <s v="Community School"/>
    <s v="NULL"/>
    <s v="Not applicable"/>
    <s v="Does not have a sixth form"/>
    <s v="Does not apply"/>
    <s v="Does not apply"/>
    <s v="Non-denominational"/>
    <s v="North East, Yorkshire and the Humber"/>
    <x v="0"/>
    <x v="0"/>
    <s v="Rotherham"/>
    <s v="S61 1AP"/>
    <n v="5"/>
    <n v="240"/>
    <d v="2020-11-05T00:00:00"/>
    <d v="2020-12-02T00:00:00"/>
  </r>
  <r>
    <s v="Ofsted School Webpage"/>
    <n v="103697"/>
    <n v="3312147"/>
    <s v="Moseley Primary School"/>
    <x v="0"/>
    <s v="Community School"/>
    <s v="NULL"/>
    <s v="Not applicable"/>
    <s v="Does not have a sixth form"/>
    <s v="Does not apply"/>
    <s v="Does not apply"/>
    <s v="Non-denominational"/>
    <s v="West Midlands"/>
    <x v="1"/>
    <x v="15"/>
    <s v="Coventry North West"/>
    <s v="CV6 1AB"/>
    <n v="4"/>
    <n v="495"/>
    <d v="2020-11-05T00:00:00"/>
    <d v="2020-11-24T00:00:00"/>
  </r>
  <r>
    <s v="Ofsted School Webpage"/>
    <n v="125552"/>
    <n v="9372309"/>
    <s v="Park Hill Junior School"/>
    <x v="0"/>
    <s v="Community School"/>
    <s v="NULL"/>
    <s v="Not applicable"/>
    <s v="Does not have a sixth form"/>
    <s v="Does not apply"/>
    <s v="Does not apply"/>
    <s v="Non-denominational"/>
    <s v="West Midlands"/>
    <x v="1"/>
    <x v="65"/>
    <s v="Kenilworth and Southam"/>
    <s v="CV8 2JJ"/>
    <n v="1"/>
    <n v="247"/>
    <d v="2020-11-05T00:00:00"/>
    <d v="2020-11-29T00:00:00"/>
  </r>
  <r>
    <s v="Ofsted School Webpage"/>
    <n v="140689"/>
    <n v="8512006"/>
    <s v="Milton Park Primary School"/>
    <x v="0"/>
    <s v="Community School"/>
    <d v="2014-09-02T00:00:00"/>
    <s v="Not applicable"/>
    <s v="Does not have a sixth form"/>
    <s v="Does not apply"/>
    <s v="Does not apply"/>
    <s v="Non-denominational"/>
    <s v="South East"/>
    <x v="2"/>
    <x v="58"/>
    <s v="Portsmouth South"/>
    <s v="PO4 8ET"/>
    <n v="4"/>
    <n v="370"/>
    <d v="2020-11-05T00:00:00"/>
    <d v="2020-12-03T00:00:00"/>
  </r>
  <r>
    <s v="Ofsted School Webpage"/>
    <n v="132763"/>
    <n v="8742456"/>
    <s v="Hampton Hargate Primary School"/>
    <x v="0"/>
    <s v="Community School"/>
    <d v="2000-09-01T00:00:00"/>
    <s v="Not applicable"/>
    <s v="Does not have a sixth form"/>
    <s v="Does not apply"/>
    <s v="Does not apply"/>
    <s v="Non-denominational"/>
    <s v="East of England"/>
    <x v="7"/>
    <x v="13"/>
    <s v="North West Cambridgeshire"/>
    <s v="PE7 8BZ"/>
    <n v="3"/>
    <n v="627"/>
    <d v="2020-11-05T00:00:00"/>
    <d v="2020-11-26T00:00:00"/>
  </r>
  <r>
    <s v="Ofsted School Webpage"/>
    <n v="131017"/>
    <n v="8923328"/>
    <s v="Henry Whipple Primary School"/>
    <x v="0"/>
    <s v="Community School"/>
    <d v="2007-09-01T00:00:00"/>
    <s v="Not applicable"/>
    <s v="Does not have a sixth form"/>
    <s v="Does not apply"/>
    <s v="Does not apply"/>
    <s v="Non-denominational"/>
    <s v="East Midlands"/>
    <x v="6"/>
    <x v="126"/>
    <s v="Nottingham North"/>
    <s v="NG5 5GH"/>
    <n v="5"/>
    <n v="213"/>
    <d v="2020-11-05T00:00:00"/>
    <d v="2020-11-29T00:00:00"/>
  </r>
  <r>
    <s v="Ofsted School Webpage"/>
    <n v="110354"/>
    <n v="8262284"/>
    <s v="Langland Community School"/>
    <x v="0"/>
    <s v="Community School"/>
    <s v="NULL"/>
    <s v="Not applicable"/>
    <s v="Does not have a sixth form"/>
    <s v="Does not apply"/>
    <s v="Does not apply"/>
    <s v="Non-denominational"/>
    <s v="South East"/>
    <x v="2"/>
    <x v="135"/>
    <s v="Milton Keynes South"/>
    <s v="MK6 4HA"/>
    <n v="5"/>
    <n v="240"/>
    <d v="2020-11-05T00:00:00"/>
    <d v="2020-12-03T00:00:00"/>
  </r>
  <r>
    <s v="Ofsted School Webpage"/>
    <n v="122563"/>
    <n v="8912362"/>
    <s v="Hillocks Primary and Nursery School"/>
    <x v="0"/>
    <s v="Community School"/>
    <s v="NULL"/>
    <s v="Not applicable"/>
    <s v="Does not have a sixth form"/>
    <s v="Does not apply"/>
    <s v="Does not apply"/>
    <s v="Non-denominational"/>
    <s v="East Midlands"/>
    <x v="6"/>
    <x v="49"/>
    <s v="Ashfield"/>
    <s v="NG17 4ND"/>
    <n v="4"/>
    <n v="308"/>
    <d v="2020-11-05T00:00:00"/>
    <d v="2020-11-29T00:00:00"/>
  </r>
  <r>
    <s v="Ofsted School Webpage"/>
    <n v="121038"/>
    <n v="9263032"/>
    <s v="Garboldisham Church Primary School"/>
    <x v="0"/>
    <s v="Voluntary Controlled School"/>
    <d v="1899-12-31T00:00:00"/>
    <s v="Not applicable"/>
    <s v="Does not have a sixth form"/>
    <s v="Church of England"/>
    <s v="Does not apply"/>
    <s v="Christian"/>
    <s v="East of England"/>
    <x v="7"/>
    <x v="33"/>
    <s v="South West Norfolk"/>
    <s v="IP22 2SE"/>
    <n v="2"/>
    <n v="108"/>
    <d v="2020-11-05T00:00:00"/>
    <d v="2020-12-03T00:00:00"/>
  </r>
  <r>
    <s v="Ofsted School Webpage"/>
    <n v="120298"/>
    <n v="8564274"/>
    <s v="Fullhurst Community College"/>
    <x v="1"/>
    <s v="Foundation School"/>
    <s v="NULL"/>
    <s v="Non-selective"/>
    <s v="Does not have a sixth form"/>
    <s v="None"/>
    <s v="Does not apply"/>
    <s v="Non-denominational"/>
    <s v="East Midlands"/>
    <x v="6"/>
    <x v="79"/>
    <s v="Leicester West"/>
    <s v="LE3 1AH"/>
    <n v="5"/>
    <n v="1266"/>
    <d v="2020-11-05T00:00:00"/>
    <d v="2020-12-07T00:00:00"/>
  </r>
  <r>
    <s v="Ofsted School Webpage"/>
    <n v="106460"/>
    <n v="3593329"/>
    <s v="St Patrick's Catholic Primary School"/>
    <x v="0"/>
    <s v="Voluntary Aided School"/>
    <s v="NULL"/>
    <s v="Not applicable"/>
    <s v="Does not have a sixth form"/>
    <s v="Roman Catholic"/>
    <s v="Does not apply"/>
    <s v="Christian"/>
    <s v="North West"/>
    <x v="4"/>
    <x v="123"/>
    <s v="Wigan"/>
    <s v="WN1 3RZ"/>
    <n v="5"/>
    <n v="359"/>
    <d v="2020-11-05T00:00:00"/>
    <d v="2020-12-02T00:00:00"/>
  </r>
  <r>
    <s v="Ofsted School Webpage"/>
    <n v="100857"/>
    <n v="2105402"/>
    <s v="The St Thomas the Apostle College"/>
    <x v="1"/>
    <s v="Voluntary Aided School"/>
    <s v="NULL"/>
    <s v="Non-selective"/>
    <s v="Has a sixth form"/>
    <s v="Roman Catholic"/>
    <s v="Does not apply"/>
    <s v="Christian"/>
    <s v="London"/>
    <x v="3"/>
    <x v="132"/>
    <s v="Camberwell and Peckham"/>
    <s v="SE15 2EB"/>
    <n v="5"/>
    <n v="1000"/>
    <d v="2020-11-05T00:00:00"/>
    <d v="2020-12-01T00:00:00"/>
  </r>
  <r>
    <s v="Ofsted School Webpage"/>
    <n v="138787"/>
    <n v="3414001"/>
    <s v="Childwall Sports &amp; Science Academy"/>
    <x v="1"/>
    <s v="Academy Sponsor Led"/>
    <d v="2012-09-01T00:00:00"/>
    <s v="Non-selective"/>
    <s v="Has a sixth form"/>
    <s v="None"/>
    <s v="None"/>
    <s v="Non-denominational"/>
    <s v="North West"/>
    <x v="4"/>
    <x v="29"/>
    <s v="Liverpool, Wavertree"/>
    <s v="L15 6XZ"/>
    <n v="5"/>
    <n v="939"/>
    <d v="2020-11-05T00:00:00"/>
    <d v="2020-11-30T00:00:00"/>
  </r>
  <r>
    <s v="Ofsted School Webpage"/>
    <n v="123784"/>
    <n v="9333151"/>
    <s v="St Mary's Voluntary Controlled Church of England Primary School"/>
    <x v="0"/>
    <s v="Voluntary Controlled School"/>
    <s v="NULL"/>
    <s v="Not applicable"/>
    <s v="Does not have a sixth form"/>
    <s v="Church of England"/>
    <s v="Does not apply"/>
    <s v="Christian"/>
    <s v="South West"/>
    <x v="5"/>
    <x v="34"/>
    <s v="Bridgwater and West Somerset"/>
    <s v="TA6 7LX"/>
    <n v="3"/>
    <n v="470"/>
    <d v="2020-11-05T00:00:00"/>
    <d v="2020-12-06T00:00:00"/>
  </r>
  <r>
    <s v="Ofsted School Webpage"/>
    <n v="122109"/>
    <n v="9285207"/>
    <s v="Millbrook Junior School"/>
    <x v="0"/>
    <s v="Foundation School"/>
    <s v="NULL"/>
    <s v="Not applicable"/>
    <s v="Does not have a sixth form"/>
    <s v="None"/>
    <s v="Does not apply"/>
    <s v="Non-denominational"/>
    <s v="East Midlands"/>
    <x v="6"/>
    <x v="64"/>
    <s v="Kettering"/>
    <s v="NN15 5DP"/>
    <n v="2"/>
    <n v="468"/>
    <d v="2020-11-05T00:00:00"/>
    <d v="2020-12-06T00:00:00"/>
  </r>
  <r>
    <s v="Ofsted School Webpage"/>
    <n v="122957"/>
    <n v="8917023"/>
    <s v="Ash Lea School"/>
    <x v="2"/>
    <s v="Community Special School"/>
    <s v="NULL"/>
    <s v="Not applicable"/>
    <s v="Has a sixth form"/>
    <s v="Does not apply"/>
    <s v="Does not apply"/>
    <s v="Non-denominational"/>
    <s v="East Midlands"/>
    <x v="6"/>
    <x v="49"/>
    <s v="Rushcliffe"/>
    <s v="NG12 3PA"/>
    <n v="1"/>
    <n v="88"/>
    <d v="2020-11-05T00:00:00"/>
    <d v="2020-12-03T00:00:00"/>
  </r>
  <r>
    <s v="Ofsted School Webpage"/>
    <n v="102698"/>
    <n v="3157004"/>
    <s v="Perseid School"/>
    <x v="2"/>
    <s v="Community Special School"/>
    <s v="NULL"/>
    <s v="Not applicable"/>
    <s v="Has a sixth form"/>
    <s v="Does not apply"/>
    <s v="Does not apply"/>
    <s v="Non-denominational"/>
    <s v="London"/>
    <x v="3"/>
    <x v="136"/>
    <s v="Mitcham and Morden"/>
    <s v="SM4 5LT"/>
    <n v="4"/>
    <n v="146"/>
    <d v="2020-11-05T00:00:00"/>
    <d v="2020-12-01T00:00:00"/>
  </r>
  <r>
    <s v="Ofsted School Webpage"/>
    <n v="133779"/>
    <n v="3917038"/>
    <s v="Talbot House Trust"/>
    <x v="2"/>
    <s v="Non-Maintained Special School"/>
    <d v="2002-09-01T00:00:00"/>
    <s v="Not applicable"/>
    <s v="Has a sixth form"/>
    <s v="Does not apply"/>
    <s v="Does not apply"/>
    <s v="Non-denominational"/>
    <s v="North East, Yorkshire and the Humber"/>
    <x v="8"/>
    <x v="83"/>
    <s v="Newcastle upon Tyne North"/>
    <s v="NE15 8HW"/>
    <n v="5"/>
    <n v="38"/>
    <d v="2020-11-05T00:00:00"/>
    <d v="2020-12-07T00:00:00"/>
  </r>
  <r>
    <s v="Ofsted School Webpage"/>
    <n v="141226"/>
    <n v="9262071"/>
    <s v="Antingham and Southrepps Primary School"/>
    <x v="0"/>
    <s v="Academy Sponsor Led"/>
    <d v="2014-10-01T00:00:00"/>
    <s v="Not applicable"/>
    <s v="Does not have a sixth form"/>
    <s v="Does not apply"/>
    <s v="None"/>
    <s v="Non-denominational"/>
    <s v="East of England"/>
    <x v="7"/>
    <x v="33"/>
    <s v="North Norfolk"/>
    <s v="NR11 8UG"/>
    <n v="2"/>
    <n v="71"/>
    <d v="2020-11-05T00:00:00"/>
    <d v="2020-12-02T00:00:00"/>
  </r>
  <r>
    <s v="Ofsted School Webpage"/>
    <n v="138983"/>
    <n v="3122001"/>
    <s v="Belmore Primary Academy"/>
    <x v="0"/>
    <s v="Academy Sponsor Led"/>
    <d v="2012-12-01T00:00:00"/>
    <s v="Not applicable"/>
    <s v="Does not have a sixth form"/>
    <s v="Does not apply"/>
    <s v="None"/>
    <s v="Non-denominational"/>
    <s v="London"/>
    <x v="3"/>
    <x v="133"/>
    <s v="Hayes and Harlington"/>
    <s v="UB4 9LF"/>
    <n v="4"/>
    <n v="614"/>
    <d v="2020-11-05T00:00:00"/>
    <d v="2020-12-10T00:00:00"/>
  </r>
  <r>
    <s v="Ofsted School Webpage"/>
    <n v="140881"/>
    <n v="8734009"/>
    <s v="Littleport &amp; East Cambs Academy"/>
    <x v="1"/>
    <s v="Academy Sponsor Led"/>
    <d v="2017-09-01T00:00:00"/>
    <s v="Unknown"/>
    <s v="Does not have a sixth form"/>
    <s v="None"/>
    <s v="None"/>
    <s v="Non-denominational"/>
    <s v="East of England"/>
    <x v="7"/>
    <x v="43"/>
    <s v="North East Cambridgeshire"/>
    <s v="CB6 1EW"/>
    <n v="2"/>
    <n v="349"/>
    <d v="2020-11-05T00:00:00"/>
    <d v="2020-12-03T00:00:00"/>
  </r>
  <r>
    <s v="Ofsted School Webpage"/>
    <n v="138420"/>
    <n v="3352005"/>
    <s v="Croft Academy"/>
    <x v="0"/>
    <s v="Academy Sponsor Led"/>
    <d v="2012-09-01T00:00:00"/>
    <s v="Not applicable"/>
    <s v="Not applicable"/>
    <s v="None"/>
    <s v="None"/>
    <s v="Non-denominational"/>
    <s v="West Midlands"/>
    <x v="1"/>
    <x v="73"/>
    <s v="Walsall North"/>
    <s v="WS2 8JE"/>
    <n v="5"/>
    <n v="230"/>
    <d v="2020-11-05T00:00:00"/>
    <d v="2020-11-29T00:00:00"/>
  </r>
  <r>
    <s v="Ofsted School Webpage"/>
    <n v="137223"/>
    <n v="9084152"/>
    <s v="Falmouth School"/>
    <x v="1"/>
    <s v="Academy Converter"/>
    <d v="2011-08-01T00:00:00"/>
    <s v="Non-selective"/>
    <s v="Has a sixth form"/>
    <s v="Does not apply"/>
    <s v="Does not apply"/>
    <s v="Non-denominational"/>
    <s v="South West"/>
    <x v="5"/>
    <x v="42"/>
    <s v="Truro and Falmouth"/>
    <s v="TR11 4LH"/>
    <n v="3"/>
    <n v="946"/>
    <d v="2020-11-05T00:00:00"/>
    <d v="2020-11-25T00:00:00"/>
  </r>
  <r>
    <s v="Ofsted School Webpage"/>
    <n v="133114"/>
    <n v="8836905"/>
    <s v="The Gateway Academy"/>
    <x v="1"/>
    <s v="Academy Sponsor Led"/>
    <d v="2006-09-01T00:00:00"/>
    <s v="Non-selective"/>
    <s v="Does not have a sixth form"/>
    <s v="Does not apply"/>
    <s v="None"/>
    <s v="Non-denominational"/>
    <s v="East of England"/>
    <x v="7"/>
    <x v="44"/>
    <s v="Thurrock"/>
    <s v="RM16 4LU"/>
    <n v="5"/>
    <n v="1029"/>
    <d v="2020-11-05T00:00:00"/>
    <d v="2020-12-02T00:00:00"/>
  </r>
  <r>
    <s v="Ofsted School Webpage"/>
    <n v="138154"/>
    <n v="8552146"/>
    <s v="Stafford Leys Community Primary School"/>
    <x v="0"/>
    <s v="Academy Converter"/>
    <d v="2012-06-01T00:00:00"/>
    <s v="Not applicable"/>
    <s v="Does not have a sixth form"/>
    <s v="Does not apply"/>
    <s v="Does not apply"/>
    <s v="Non-denominational"/>
    <s v="East Midlands"/>
    <x v="6"/>
    <x v="112"/>
    <s v="Charnwood"/>
    <s v="LE3 3LJ"/>
    <n v="1"/>
    <n v="616"/>
    <d v="2020-11-05T00:00:00"/>
    <d v="2020-11-26T00:00:00"/>
  </r>
  <r>
    <s v="Ofsted School Webpage"/>
    <n v="142281"/>
    <n v="8084632"/>
    <s v="St Patrick's Catholic College, A Voluntary Catholic Academy"/>
    <x v="1"/>
    <s v="Academy Converter"/>
    <d v="2015-09-01T00:00:00"/>
    <s v="Non-selective"/>
    <s v="Does not have a sixth form"/>
    <s v="Roman Catholic"/>
    <s v="Does not apply"/>
    <s v="Christian"/>
    <s v="North East, Yorkshire and the Humber"/>
    <x v="8"/>
    <x v="40"/>
    <s v="Stockton South"/>
    <s v="TS17 9DE"/>
    <n v="5"/>
    <n v="494"/>
    <d v="2020-11-05T00:00:00"/>
    <d v="2020-12-09T00:00:00"/>
  </r>
  <r>
    <s v="Ofsted School Webpage"/>
    <n v="141486"/>
    <n v="8603092"/>
    <s v="St Giles' and St George's Church of England Academy"/>
    <x v="0"/>
    <s v="Academy Converter"/>
    <d v="2014-10-01T00:00:00"/>
    <s v="Not applicable"/>
    <s v="Does not have a sixth form"/>
    <s v="Church of England"/>
    <s v="Does not apply"/>
    <s v="Christian"/>
    <s v="West Midlands"/>
    <x v="1"/>
    <x v="36"/>
    <s v="Newcastle-under-Lyme"/>
    <s v="ST5 2NB"/>
    <n v="4"/>
    <n v="293"/>
    <d v="2020-11-05T00:00:00"/>
    <d v="2020-12-02T00:00:00"/>
  </r>
  <r>
    <s v="Ofsted School Webpage"/>
    <n v="144927"/>
    <n v="8022287"/>
    <s v="Oldmixon Primary School"/>
    <x v="0"/>
    <s v="Academy Converter"/>
    <d v="2017-10-01T00:00:00"/>
    <s v="Not applicable"/>
    <s v="Does not have a sixth form"/>
    <s v="Does not apply"/>
    <s v="Does not apply"/>
    <s v="Non-denominational"/>
    <s v="South West"/>
    <x v="5"/>
    <x v="98"/>
    <s v="Weston-Super-Mare"/>
    <s v="BS24 9DA"/>
    <n v="5"/>
    <n v="238"/>
    <d v="2020-11-05T00:00:00"/>
    <d v="2020-11-26T00:00:00"/>
  </r>
  <r>
    <s v="Ofsted School Webpage"/>
    <n v="144995"/>
    <n v="8652035"/>
    <s v="New Close Primary School"/>
    <x v="0"/>
    <s v="Academy Sponsor Led"/>
    <d v="2017-11-01T00:00:00"/>
    <s v="Not applicable"/>
    <s v="Does not have a sixth form"/>
    <s v="Does not apply"/>
    <s v="Unknown"/>
    <s v="Non-denominational"/>
    <s v="South West"/>
    <x v="5"/>
    <x v="125"/>
    <s v="South West Wiltshire"/>
    <s v="BA12 9JJ"/>
    <n v="1"/>
    <n v="86"/>
    <d v="2020-11-05T00:00:00"/>
    <d v="2020-12-02T00:00:00"/>
  </r>
  <r>
    <s v="Ofsted School Webpage"/>
    <n v="136990"/>
    <n v="9354000"/>
    <s v="Bury St Edmunds County Upper School"/>
    <x v="1"/>
    <s v="Academy Converter"/>
    <d v="2011-08-01T00:00:00"/>
    <s v="Non-selective"/>
    <s v="Has a sixth form"/>
    <s v="Does not apply"/>
    <s v="Does not apply"/>
    <s v="Non-denominational"/>
    <s v="East of England"/>
    <x v="7"/>
    <x v="14"/>
    <s v="Bury St Edmunds"/>
    <s v="IP32 6RF"/>
    <n v="1"/>
    <n v="973"/>
    <d v="2020-11-05T00:00:00"/>
    <d v="2020-12-03T00:00:00"/>
  </r>
  <r>
    <s v="Ofsted School Webpage"/>
    <n v="140757"/>
    <n v="8383400"/>
    <s v="St Catherine's Roman Catholic School"/>
    <x v="0"/>
    <s v="Academy Converter"/>
    <d v="2014-04-01T00:00:00"/>
    <s v="Not applicable"/>
    <s v="Does not have a sixth form"/>
    <s v="Roman Catholic"/>
    <s v="Does not apply"/>
    <s v="Christian"/>
    <s v="South West"/>
    <x v="5"/>
    <x v="87"/>
    <s v="West Dorset"/>
    <s v="DT6 3TR"/>
    <n v="3"/>
    <n v="166"/>
    <d v="2020-11-05T00:00:00"/>
    <d v="2020-11-29T00:00:00"/>
  </r>
  <r>
    <s v="Ofsted School Webpage"/>
    <n v="136862"/>
    <n v="9082431"/>
    <s v="St Columb Major Academy"/>
    <x v="0"/>
    <s v="Academy Converter"/>
    <d v="2011-07-01T00:00:00"/>
    <s v="Not applicable"/>
    <s v="Not applicable"/>
    <s v="Does not apply"/>
    <s v="Does not apply"/>
    <s v="Non-denominational"/>
    <s v="South West"/>
    <x v="5"/>
    <x v="42"/>
    <s v="St Austell and Newquay"/>
    <s v="TR9 6RW"/>
    <n v="4"/>
    <n v="379"/>
    <d v="2020-11-05T00:00:00"/>
    <d v="2020-12-01T00:00:00"/>
  </r>
  <r>
    <s v="Ofsted School Webpage"/>
    <n v="140279"/>
    <n v="9312596"/>
    <s v="Cholsey Primary School"/>
    <x v="0"/>
    <s v="Academy Converter"/>
    <d v="2013-11-01T00:00:00"/>
    <s v="Not applicable"/>
    <s v="Does not have a sixth form"/>
    <s v="Does not apply"/>
    <s v="Does not apply"/>
    <s v="Non-denominational"/>
    <s v="South East"/>
    <x v="2"/>
    <x v="137"/>
    <s v="Wantage"/>
    <s v="OX10 9PP"/>
    <n v="1"/>
    <n v="285"/>
    <d v="2020-11-05T00:00:00"/>
    <d v="2020-12-03T00:00:00"/>
  </r>
  <r>
    <s v="Ofsted School Webpage"/>
    <n v="137090"/>
    <n v="9194498"/>
    <s v="The Chauncy School"/>
    <x v="1"/>
    <s v="Academy Converter"/>
    <d v="2011-08-01T00:00:00"/>
    <s v="Non-selective"/>
    <s v="Has a sixth form"/>
    <s v="None"/>
    <s v="Does not apply"/>
    <s v="Non-denominational"/>
    <s v="East of England"/>
    <x v="7"/>
    <x v="56"/>
    <s v="Hertford and Stortford"/>
    <s v="SG12 0DP"/>
    <n v="1"/>
    <n v="1133"/>
    <d v="2020-11-05T00:00:00"/>
    <d v="2020-12-10T00:00:00"/>
  </r>
  <r>
    <s v="Ofsted School Webpage"/>
    <n v="136292"/>
    <n v="9165410"/>
    <s v="The Cotswold Academy"/>
    <x v="1"/>
    <s v="Academy Converter"/>
    <d v="2010-09-01T00:00:00"/>
    <s v="Non-selective"/>
    <s v="Has a sixth form"/>
    <s v="None"/>
    <s v="Does not apply"/>
    <s v="Non-denominational"/>
    <s v="South West"/>
    <x v="5"/>
    <x v="28"/>
    <s v="The Cotswolds"/>
    <s v="GL54 2BD"/>
    <n v="1"/>
    <n v="1408"/>
    <d v="2020-11-05T00:00:00"/>
    <d v="2020-11-26T00:00:00"/>
  </r>
  <r>
    <s v="Ofsted School Webpage"/>
    <n v="137136"/>
    <n v="8862001"/>
    <s v="Horizon Primary Academy"/>
    <x v="0"/>
    <s v="Academy Sponsor Led"/>
    <d v="2011-09-01T00:00:00"/>
    <s v="Not applicable"/>
    <s v="Not applicable"/>
    <s v="None"/>
    <s v="None"/>
    <s v="Non-denominational"/>
    <s v="South East"/>
    <x v="2"/>
    <x v="7"/>
    <s v="Sevenoaks"/>
    <s v="BR8 7BT"/>
    <n v="5"/>
    <n v="205"/>
    <d v="2020-11-05T00:00:00"/>
    <d v="2020-12-09T00:00:00"/>
  </r>
  <r>
    <s v="Ofsted School Webpage"/>
    <n v="141988"/>
    <n v="8652025"/>
    <s v="Marden Vale CofE Academy"/>
    <x v="0"/>
    <s v="Academy Sponsor Led"/>
    <d v="2015-09-01T00:00:00"/>
    <s v="Not applicable"/>
    <s v="Does not have a sixth form"/>
    <s v="Church of England"/>
    <s v="None"/>
    <s v="Christian"/>
    <s v="South West"/>
    <x v="5"/>
    <x v="125"/>
    <s v="North Wiltshire"/>
    <s v="SN11 9BD"/>
    <n v="3"/>
    <n v="226"/>
    <d v="2020-11-05T00:00:00"/>
    <d v="2020-11-30T00:00:00"/>
  </r>
  <r>
    <s v="Ofsted School Webpage"/>
    <n v="136339"/>
    <n v="8735204"/>
    <s v="Crosshall Junior School"/>
    <x v="0"/>
    <s v="Academy Converter"/>
    <d v="2010-10-01T00:00:00"/>
    <s v="Not applicable"/>
    <s v="Not applicable"/>
    <s v="None"/>
    <s v="Does not apply"/>
    <s v="Non-denominational"/>
    <s v="East of England"/>
    <x v="7"/>
    <x v="43"/>
    <s v="Huntingdon"/>
    <s v="PE19 7GG"/>
    <n v="1"/>
    <n v="460"/>
    <d v="2020-11-05T00:00:00"/>
    <d v="2020-12-03T00:00:00"/>
  </r>
  <r>
    <s v="Ofsted School Webpage"/>
    <n v="138866"/>
    <n v="8122007"/>
    <s v="Strand Primary Academy"/>
    <x v="0"/>
    <s v="Academy Sponsor Led"/>
    <d v="2012-10-01T00:00:00"/>
    <s v="Not applicable"/>
    <s v="Not applicable"/>
    <s v="Does not apply"/>
    <s v="None"/>
    <s v="Non-denominational"/>
    <s v="North East, Yorkshire and the Humber"/>
    <x v="0"/>
    <x v="138"/>
    <s v="Great Grimsby"/>
    <s v="DN32 7BE"/>
    <n v="5"/>
    <n v="158"/>
    <d v="2020-11-05T00:00:00"/>
    <d v="2020-12-02T00:00:00"/>
  </r>
  <r>
    <s v="Ofsted School Webpage"/>
    <n v="141771"/>
    <n v="3722060"/>
    <s v="Dinnington Community Primary School"/>
    <x v="0"/>
    <s v="Academy Converter"/>
    <d v="2016-05-01T00:00:00"/>
    <s v="Not applicable"/>
    <s v="Does not have a sixth form"/>
    <s v="Does not apply"/>
    <s v="Does not apply"/>
    <s v="Non-denominational"/>
    <s v="North East, Yorkshire and the Humber"/>
    <x v="0"/>
    <x v="0"/>
    <s v="Rother Valley"/>
    <s v="S25 2RE"/>
    <n v="5"/>
    <n v="275"/>
    <d v="2020-11-05T00:00:00"/>
    <d v="2020-12-10T00:00:00"/>
  </r>
  <r>
    <s v="Ofsted School Webpage"/>
    <n v="145951"/>
    <n v="8862098"/>
    <s v="Pilgrims' Way Primary School"/>
    <x v="0"/>
    <s v="Academy Sponsor Led"/>
    <d v="2018-05-01T00:00:00"/>
    <s v="Unknown"/>
    <s v="Does not have a sixth form"/>
    <s v="None"/>
    <s v="None"/>
    <s v="Non-denominational"/>
    <s v="South East"/>
    <x v="2"/>
    <x v="7"/>
    <s v="Canterbury"/>
    <s v="CT1 1XU"/>
    <n v="4"/>
    <n v="252"/>
    <d v="2020-11-05T00:00:00"/>
    <d v="2020-12-03T00:00:00"/>
  </r>
  <r>
    <s v="Ofsted School Webpage"/>
    <n v="146527"/>
    <n v="9367001"/>
    <s v="Unified Academy"/>
    <x v="2"/>
    <s v="Academy Special Sponsor Led"/>
    <d v="2019-01-01T00:00:00"/>
    <s v="Not applicable"/>
    <s v="Not applicable"/>
    <s v="Does not apply"/>
    <s v="Does not apply"/>
    <s v="Non-denominational"/>
    <s v="South East"/>
    <x v="2"/>
    <x v="21"/>
    <s v="Mole Valley"/>
    <s v="RH5 4DB"/>
    <n v="3"/>
    <n v="85"/>
    <d v="2020-11-05T00:00:00"/>
    <d v="2021-01-04T00:00:00"/>
  </r>
  <r>
    <s v="Ofsted School Webpage"/>
    <n v="144340"/>
    <n v="3592006"/>
    <s v="St Mark's CofE Primary School"/>
    <x v="0"/>
    <s v="Academy Sponsor Led"/>
    <d v="2017-04-01T00:00:00"/>
    <s v="Not applicable"/>
    <s v="Does not have a sixth form"/>
    <s v="Church of England"/>
    <s v="Unknown"/>
    <s v="Christian"/>
    <s v="North West"/>
    <x v="4"/>
    <x v="123"/>
    <s v="Wigan"/>
    <s v="WN5 9DS"/>
    <n v="5"/>
    <n v="245"/>
    <d v="2020-11-05T00:00:00"/>
    <d v="2020-12-06T00:00:00"/>
  </r>
  <r>
    <s v="Ofsted School Webpage"/>
    <n v="142875"/>
    <n v="2102007"/>
    <s v="Galleywall Primary School"/>
    <x v="0"/>
    <s v="Free School"/>
    <d v="2016-09-05T00:00:00"/>
    <s v="Unknown"/>
    <s v="Does not have a sixth form"/>
    <s v="None"/>
    <s v="None"/>
    <s v="Non-denominational"/>
    <s v="London"/>
    <x v="3"/>
    <x v="132"/>
    <s v="Bermondsey and Old Southwark"/>
    <s v="SE16 3PB"/>
    <n v="5"/>
    <n v="228"/>
    <d v="2020-11-05T00:00:00"/>
    <d v="2020-12-08T00:00:00"/>
  </r>
  <r>
    <s v="Ofsted School Webpage"/>
    <n v="144457"/>
    <n v="8852121"/>
    <s v="Orchard Primary School"/>
    <x v="0"/>
    <s v="Academy Converter"/>
    <d v="2017-08-01T00:00:00"/>
    <s v="Not applicable"/>
    <s v="Does not have a sixth form"/>
    <s v="Does not apply"/>
    <s v="Does not apply"/>
    <s v="Non-denominational"/>
    <s v="West Midlands"/>
    <x v="1"/>
    <x v="89"/>
    <s v="West Worcestershire"/>
    <s v="WR10 1ET"/>
    <n v="3"/>
    <n v="171"/>
    <d v="2020-11-05T00:00:00"/>
    <d v="2020-12-01T00:00:00"/>
  </r>
  <r>
    <s v="Ofsted School Webpage"/>
    <n v="144622"/>
    <n v="3574001"/>
    <s v="Rayner Stephens High School"/>
    <x v="1"/>
    <s v="Academy Sponsor Led"/>
    <d v="2017-07-01T00:00:00"/>
    <s v="Not applicable"/>
    <s v="Does not have a sixth form"/>
    <s v="Does not apply"/>
    <s v="Unknown"/>
    <s v="Non-denominational"/>
    <s v="North West"/>
    <x v="4"/>
    <x v="139"/>
    <s v="Stalybridge and Hyde"/>
    <s v="SK16 5BL"/>
    <n v="4"/>
    <n v="622"/>
    <d v="2020-11-06T00:00:00"/>
    <d v="2020-12-07T00:00:00"/>
  </r>
  <r>
    <s v="Ofsted School Webpage"/>
    <n v="145189"/>
    <n v="8112012"/>
    <s v="Easington CofE Primary Academy"/>
    <x v="0"/>
    <s v="Academy Sponsor Led"/>
    <d v="2017-10-01T00:00:00"/>
    <s v="Unknown"/>
    <s v="Does not have a sixth form"/>
    <s v="Church of England"/>
    <s v="None"/>
    <s v="Christian"/>
    <s v="North East, Yorkshire and the Humber"/>
    <x v="0"/>
    <x v="31"/>
    <s v="Beverley and Holderness"/>
    <s v="HU12 0TS"/>
    <n v="4"/>
    <n v="36"/>
    <d v="2020-11-06T00:00:00"/>
    <d v="2020-12-07T00:00:00"/>
  </r>
  <r>
    <s v="Ofsted School Webpage"/>
    <n v="148040"/>
    <n v="9192112"/>
    <s v="De Havilland Primary School"/>
    <x v="0"/>
    <s v="Academy Sponsor Led"/>
    <d v="2020-10-01T00:00:00"/>
    <s v="Not applicable"/>
    <s v="Does not have a sixth form"/>
    <s v="Does not apply"/>
    <s v="Does not apply"/>
    <s v="Non-denominational"/>
    <s v="East of England"/>
    <x v="7"/>
    <x v="56"/>
    <s v="Welwyn Hatfield"/>
    <s v="AL10 8TQ"/>
    <s v="NULL"/>
    <s v="NULL"/>
    <d v="2020-11-06T00:00:00"/>
    <d v="2020-12-07T00:00:00"/>
  </r>
  <r>
    <s v="Ofsted School Webpage"/>
    <n v="148061"/>
    <n v="8602041"/>
    <s v="Forest Hills Primary School"/>
    <x v="0"/>
    <s v="Academy Sponsor Led"/>
    <d v="2020-11-01T00:00:00"/>
    <s v="Not applicable"/>
    <s v="Does not have a sixth form"/>
    <s v="Does not apply"/>
    <s v="Does not apply"/>
    <s v="Non-denominational"/>
    <s v="West Midlands"/>
    <x v="1"/>
    <x v="36"/>
    <s v="Cannock Chase"/>
    <s v="WS15 2PD"/>
    <s v="NULL"/>
    <s v="NULL"/>
    <d v="2020-11-10T00:00:00"/>
    <d v="2020-12-06T00:00:00"/>
  </r>
  <r>
    <s v="Ofsted School Webpage"/>
    <n v="147893"/>
    <n v="8382012"/>
    <s v="Pamphill Church of England First School"/>
    <x v="0"/>
    <s v="Academy Sponsor Led"/>
    <d v="2020-10-01T00:00:00"/>
    <s v="Not applicable"/>
    <s v="Does not have a sixth form"/>
    <s v="Church of England"/>
    <s v="Church of England"/>
    <s v="Christian"/>
    <s v="South West"/>
    <x v="5"/>
    <x v="87"/>
    <s v="North Dorset"/>
    <s v="BH21 4EE"/>
    <s v="NULL"/>
    <s v="NULL"/>
    <d v="2020-11-10T00:00:00"/>
    <d v="2020-12-02T00:00:00"/>
  </r>
  <r>
    <s v="Ofsted School Webpage"/>
    <n v="148348"/>
    <n v="8851115"/>
    <s v="Newbridge Short Stay Secondary School"/>
    <x v="3"/>
    <s v="Academy Alternative Provision Sponsor Led"/>
    <d v="2020-11-01T00:00:00"/>
    <s v="Unknown"/>
    <s v="Does not have a sixth form"/>
    <s v="Does not apply"/>
    <s v="None"/>
    <s v="Non-denominational"/>
    <s v="West Midlands"/>
    <x v="1"/>
    <x v="89"/>
    <s v="Worcester"/>
    <s v="WR5 1DS"/>
    <s v="NULL"/>
    <s v="NULL"/>
    <d v="2020-11-10T00:00:00"/>
    <d v="2020-12-07T00:00:00"/>
  </r>
  <r>
    <s v="Ofsted School Webpage"/>
    <n v="148173"/>
    <n v="8653462"/>
    <s v="Amesbury Archer Primary School"/>
    <x v="0"/>
    <s v="Academy Converter"/>
    <d v="2020-10-01T00:00:00"/>
    <s v="Not applicable"/>
    <s v="Does not have a sixth form"/>
    <s v="Does not apply"/>
    <s v="Does not apply"/>
    <s v="Non-denominational"/>
    <s v="South West"/>
    <x v="5"/>
    <x v="125"/>
    <s v="Salisbury"/>
    <s v="SP4 7XX"/>
    <s v="NULL"/>
    <s v="NULL"/>
    <d v="2020-11-10T00:00:00"/>
    <d v="2020-12-03T00:00:00"/>
  </r>
  <r>
    <s v="Ofsted School Webpage"/>
    <n v="142960"/>
    <n v="3314030"/>
    <s v="Lyng Hall School"/>
    <x v="1"/>
    <s v="Academy Converter"/>
    <d v="2016-07-01T00:00:00"/>
    <s v="Non-selective"/>
    <s v="Has a sixth form"/>
    <s v="None"/>
    <s v="Does not apply"/>
    <s v="Non-denominational"/>
    <s v="West Midlands"/>
    <x v="1"/>
    <x v="15"/>
    <s v="Coventry North East"/>
    <s v="CV2 3JS"/>
    <n v="5"/>
    <n v="828"/>
    <d v="2020-11-10T00:00:00"/>
    <d v="2020-12-03T00:00:00"/>
  </r>
  <r>
    <s v="Ofsted School Webpage"/>
    <n v="142783"/>
    <n v="9287000"/>
    <s v="Daventry Hill School"/>
    <x v="2"/>
    <s v="Free School Special"/>
    <d v="2016-09-01T00:00:00"/>
    <s v="Unknown"/>
    <s v="Has a sixth form"/>
    <s v="Does not apply"/>
    <s v="None"/>
    <s v="Non-denominational"/>
    <s v="East Midlands"/>
    <x v="6"/>
    <x v="64"/>
    <s v="Daventry"/>
    <s v="NN11 0QE"/>
    <n v="2"/>
    <n v="156"/>
    <d v="2020-11-10T00:00:00"/>
    <d v="2020-12-06T00:00:00"/>
  </r>
  <r>
    <s v="Ofsted School Webpage"/>
    <n v="144487"/>
    <n v="8924008"/>
    <s v="Park Vale Academy"/>
    <x v="1"/>
    <s v="Academy Sponsor Led"/>
    <d v="2016-09-01T00:00:00"/>
    <s v="Non-selective"/>
    <s v="Has a sixth form"/>
    <s v="None"/>
    <s v="None"/>
    <s v="Non-denominational"/>
    <s v="East Midlands"/>
    <x v="6"/>
    <x v="126"/>
    <s v="Nottingham North"/>
    <s v="NG5 9AZ"/>
    <n v="5"/>
    <n v="818"/>
    <d v="2020-11-10T00:00:00"/>
    <d v="2020-12-01T00:00:00"/>
  </r>
  <r>
    <s v="Ofsted School Webpage"/>
    <n v="139616"/>
    <n v="3094705"/>
    <s v="Heartlands High School"/>
    <x v="1"/>
    <s v="Academy Converter"/>
    <d v="2013-05-01T00:00:00"/>
    <s v="Non-selective"/>
    <s v="Does not have a sixth form"/>
    <s v="Does not apply"/>
    <s v="Does not apply"/>
    <s v="Non-denominational"/>
    <s v="London"/>
    <x v="3"/>
    <x v="24"/>
    <s v="Hornsey and Wood Green"/>
    <s v="N22 7ST"/>
    <n v="4"/>
    <n v="1135"/>
    <d v="2020-11-10T00:00:00"/>
    <d v="2020-12-07T00:00:00"/>
  </r>
  <r>
    <s v="Ofsted School Webpage"/>
    <n v="137199"/>
    <n v="3104022"/>
    <s v="Canons High School"/>
    <x v="1"/>
    <s v="Academy Converter"/>
    <d v="2011-08-01T00:00:00"/>
    <s v="Non-selective"/>
    <s v="Has a sixth form"/>
    <s v="Does not apply"/>
    <s v="Does not apply"/>
    <s v="Non-denominational"/>
    <s v="London"/>
    <x v="3"/>
    <x v="127"/>
    <s v="Harrow East"/>
    <s v="HA8 6AN"/>
    <n v="2"/>
    <n v="1262"/>
    <d v="2020-11-10T00:00:00"/>
    <d v="2020-12-10T00:00:00"/>
  </r>
  <r>
    <s v="Ofsted School Webpage"/>
    <n v="144978"/>
    <n v="8912033"/>
    <s v="Netherfield Primary School"/>
    <x v="0"/>
    <s v="Academy Sponsor Led"/>
    <d v="2018-03-01T00:00:00"/>
    <s v="Not applicable"/>
    <s v="Does not have a sixth form"/>
    <s v="Does not apply"/>
    <s v="Unknown"/>
    <s v="Non-denominational"/>
    <s v="East Midlands"/>
    <x v="6"/>
    <x v="49"/>
    <s v="Gedling"/>
    <s v="NG4 2LR"/>
    <n v="5"/>
    <n v="453"/>
    <d v="2020-11-10T00:00:00"/>
    <d v="2020-12-03T00:00:00"/>
  </r>
  <r>
    <s v="Ofsted School Webpage"/>
    <n v="144994"/>
    <n v="9362039"/>
    <s v="St Matthew's CofE Primary School"/>
    <x v="0"/>
    <s v="Academy Sponsor Led"/>
    <d v="2018-02-01T00:00:00"/>
    <s v="Non-selective"/>
    <s v="Does not have a sixth form"/>
    <s v="Church of England"/>
    <s v="Church of England/Christian"/>
    <s v="Christian"/>
    <s v="South East"/>
    <x v="2"/>
    <x v="21"/>
    <s v="Reigate"/>
    <s v="RH1 1JF"/>
    <n v="3"/>
    <n v="410"/>
    <d v="2020-11-10T00:00:00"/>
    <d v="2020-12-17T00:00:00"/>
  </r>
  <r>
    <s v="Ofsted School Webpage"/>
    <n v="144937"/>
    <n v="3944065"/>
    <s v="Washington Academy"/>
    <x v="1"/>
    <s v="Academy Converter"/>
    <d v="2017-09-01T00:00:00"/>
    <s v="Non-selective"/>
    <s v="Does not have a sixth form"/>
    <s v="Does not apply"/>
    <s v="Does not apply"/>
    <s v="Non-denominational"/>
    <s v="North East, Yorkshire and the Humber"/>
    <x v="8"/>
    <x v="102"/>
    <s v="Washington and Sunderland West"/>
    <s v="NE37 2AA"/>
    <n v="5"/>
    <n v="644"/>
    <d v="2020-11-10T00:00:00"/>
    <d v="2020-12-06T00:00:00"/>
  </r>
  <r>
    <s v="Ofsted School Webpage"/>
    <n v="137313"/>
    <n v="9335400"/>
    <s v="Sexey's School"/>
    <x v="1"/>
    <s v="Academy Converter"/>
    <d v="2011-08-17T00:00:00"/>
    <s v="Non-selective"/>
    <s v="Has a sixth form"/>
    <s v="Church of England"/>
    <s v="Does not apply"/>
    <s v="Christian"/>
    <s v="South West"/>
    <x v="5"/>
    <x v="34"/>
    <s v="Somerton and Frome"/>
    <s v="BA10 0DF"/>
    <n v="1"/>
    <n v="597"/>
    <d v="2020-11-10T00:00:00"/>
    <d v="2020-12-07T00:00:00"/>
  </r>
  <r>
    <s v="Ofsted School Webpage"/>
    <n v="143882"/>
    <n v="3162091"/>
    <s v="Cleves Primary School"/>
    <x v="0"/>
    <s v="Academy Converter"/>
    <d v="2017-01-01T00:00:00"/>
    <s v="Not applicable"/>
    <s v="Does not have a sixth form"/>
    <s v="Does not apply"/>
    <s v="Does not apply"/>
    <s v="Non-denominational"/>
    <s v="London"/>
    <x v="3"/>
    <x v="107"/>
    <s v="East Ham"/>
    <s v="E6 1QP"/>
    <n v="4"/>
    <n v="496"/>
    <d v="2020-11-10T00:00:00"/>
    <d v="2020-12-07T00:00:00"/>
  </r>
  <r>
    <s v="Ofsted School Webpage"/>
    <n v="142444"/>
    <n v="9082020"/>
    <s v="St Just Primary School"/>
    <x v="0"/>
    <s v="Academy Converter"/>
    <d v="2015-11-01T00:00:00"/>
    <s v="Not applicable"/>
    <s v="Does not have a sixth form"/>
    <s v="Does not apply"/>
    <s v="Does not apply"/>
    <s v="Non-denominational"/>
    <s v="South West"/>
    <x v="5"/>
    <x v="42"/>
    <s v="St Ives"/>
    <s v="TR19 7JU"/>
    <n v="4"/>
    <n v="178"/>
    <d v="2020-11-10T00:00:00"/>
    <d v="2020-12-03T00:00:00"/>
  </r>
  <r>
    <s v="Ofsted School Webpage"/>
    <n v="139528"/>
    <n v="9314145"/>
    <s v="St Gregory the Great Catholic School"/>
    <x v="1"/>
    <s v="Academy Converter"/>
    <d v="2013-04-01T00:00:00"/>
    <s v="Non-selective"/>
    <s v="Has a sixth form"/>
    <s v="Roman Catholic"/>
    <s v="Does not apply"/>
    <s v="Christian"/>
    <s v="South East"/>
    <x v="2"/>
    <x v="137"/>
    <s v="Oxford East"/>
    <s v="OX4 3DR"/>
    <n v="4"/>
    <n v="1116"/>
    <d v="2020-11-10T00:00:00"/>
    <d v="2020-12-06T00:00:00"/>
  </r>
  <r>
    <s v="Ofsted School Webpage"/>
    <n v="142295"/>
    <n v="3032007"/>
    <s v="Hillsgrove Primary School"/>
    <x v="0"/>
    <s v="Academy Converter"/>
    <d v="2015-09-01T00:00:00"/>
    <s v="Not applicable"/>
    <s v="Does not have a sixth form"/>
    <s v="Does not apply"/>
    <s v="Does not apply"/>
    <s v="Non-denominational"/>
    <s v="London"/>
    <x v="3"/>
    <x v="77"/>
    <s v="Bexleyheath and Crayford"/>
    <s v="DA16 1DR"/>
    <n v="3"/>
    <n v="386"/>
    <d v="2020-11-10T00:00:00"/>
    <d v="2020-11-29T00:00:00"/>
  </r>
  <r>
    <s v="Ofsted School Webpage"/>
    <n v="139988"/>
    <n v="9284094"/>
    <s v="The Ferrers School"/>
    <x v="1"/>
    <s v="Academy Converter"/>
    <d v="2013-08-01T00:00:00"/>
    <s v="Non-selective"/>
    <s v="Has a sixth form"/>
    <s v="None"/>
    <s v="Does not apply"/>
    <s v="Non-denominational"/>
    <s v="East Midlands"/>
    <x v="6"/>
    <x v="64"/>
    <s v="Wellingborough"/>
    <s v="NN10 8LF"/>
    <n v="2"/>
    <n v="999"/>
    <d v="2020-11-10T00:00:00"/>
    <d v="2020-12-08T00:00:00"/>
  </r>
  <r>
    <s v="Ofsted School Webpage"/>
    <n v="140326"/>
    <n v="3814035"/>
    <s v="The Halifax Academy"/>
    <x v="1"/>
    <s v="Academy Converter"/>
    <d v="2013-11-01T00:00:00"/>
    <s v="Non-selective"/>
    <s v="Does not have a sixth form"/>
    <s v="Does not apply"/>
    <s v="Does not apply"/>
    <s v="Non-denominational"/>
    <s v="North East, Yorkshire and the Humber"/>
    <x v="0"/>
    <x v="140"/>
    <s v="Halifax"/>
    <s v="HX2 0BA"/>
    <n v="5"/>
    <n v="1334"/>
    <d v="2020-11-10T00:00:00"/>
    <d v="2020-12-06T00:00:00"/>
  </r>
  <r>
    <s v="Ofsted School Webpage"/>
    <n v="135967"/>
    <n v="9286909"/>
    <s v="Kettering Science Academy"/>
    <x v="1"/>
    <s v="Academy Sponsor Led"/>
    <d v="2009-09-01T00:00:00"/>
    <s v="Non-selective"/>
    <s v="Has a sixth form"/>
    <s v="Does not apply"/>
    <s v="None"/>
    <s v="Non-denominational"/>
    <s v="East Midlands"/>
    <x v="6"/>
    <x v="64"/>
    <s v="Kettering"/>
    <s v="NN15 7AA"/>
    <n v="3"/>
    <n v="1147"/>
    <d v="2020-11-10T00:00:00"/>
    <d v="2020-12-03T00:00:00"/>
  </r>
  <r>
    <s v="Ofsted School Webpage"/>
    <n v="139685"/>
    <n v="8862024"/>
    <s v="Copperfield Academy"/>
    <x v="0"/>
    <s v="Academy Sponsor Led"/>
    <d v="2013-11-01T00:00:00"/>
    <s v="Not applicable"/>
    <s v="Does not have a sixth form"/>
    <s v="Does not apply"/>
    <s v="None"/>
    <s v="Non-denominational"/>
    <s v="South East"/>
    <x v="2"/>
    <x v="7"/>
    <s v="Gravesham"/>
    <s v="DA11 0RB"/>
    <n v="4"/>
    <n v="457"/>
    <d v="2020-11-10T00:00:00"/>
    <d v="2020-12-09T00:00:00"/>
  </r>
  <r>
    <s v="Ofsted School Webpage"/>
    <n v="137351"/>
    <n v="9193986"/>
    <s v="Summercroft Primary School"/>
    <x v="0"/>
    <s v="Academy Converter"/>
    <d v="2011-09-01T00:00:00"/>
    <s v="Not applicable"/>
    <s v="Not applicable"/>
    <s v="Does not apply"/>
    <s v="Does not apply"/>
    <s v="Non-denominational"/>
    <s v="East of England"/>
    <x v="7"/>
    <x v="56"/>
    <s v="Hertford and Stortford"/>
    <s v="CM23 5BJ"/>
    <n v="1"/>
    <n v="461"/>
    <d v="2020-11-10T00:00:00"/>
    <d v="2020-12-10T00:00:00"/>
  </r>
  <r>
    <s v="Ofsted School Webpage"/>
    <n v="136545"/>
    <n v="3055409"/>
    <s v="Charles Darwin School"/>
    <x v="1"/>
    <s v="Academy Converter"/>
    <d v="2011-04-01T00:00:00"/>
    <s v="Non-selective"/>
    <s v="Has a sixth form"/>
    <s v="None"/>
    <s v="Does not apply"/>
    <s v="Non-denominational"/>
    <s v="London"/>
    <x v="3"/>
    <x v="105"/>
    <s v="Orpington"/>
    <s v="TN16 3AU"/>
    <n v="3"/>
    <n v="1324"/>
    <d v="2020-11-10T00:00:00"/>
    <d v="2020-12-06T00:00:00"/>
  </r>
  <r>
    <s v="Ofsted School Webpage"/>
    <n v="113635"/>
    <n v="8787006"/>
    <s v="Mill Water School"/>
    <x v="2"/>
    <s v="Foundation Special School"/>
    <s v="NULL"/>
    <s v="Not applicable"/>
    <s v="Has a sixth form"/>
    <s v="Does not apply"/>
    <s v="Does not apply"/>
    <s v="Non-denominational"/>
    <s v="South West"/>
    <x v="5"/>
    <x v="62"/>
    <s v="East Devon"/>
    <s v="EX9 7BJ"/>
    <n v="2"/>
    <n v="117"/>
    <d v="2020-11-10T00:00:00"/>
    <d v="2020-12-06T00:00:00"/>
  </r>
  <r>
    <s v="Ofsted School Webpage"/>
    <n v="133653"/>
    <n v="8457000"/>
    <s v="St Mary's School and 6th Form College"/>
    <x v="2"/>
    <s v="Non-Maintained Special School"/>
    <d v="2001-04-19T00:00:00"/>
    <s v="Not applicable"/>
    <s v="Has a sixth form"/>
    <s v="Inter- / non- denominational"/>
    <s v="Does not apply"/>
    <s v="Non-denominational"/>
    <s v="South East"/>
    <x v="2"/>
    <x v="80"/>
    <s v="Bexhill and Battle"/>
    <s v="TN40 2LU"/>
    <n v="3"/>
    <n v="60"/>
    <d v="2020-11-10T00:00:00"/>
    <d v="2020-12-09T00:00:00"/>
  </r>
  <r>
    <s v="Ofsted School Webpage"/>
    <n v="131608"/>
    <n v="2117170"/>
    <s v="The Cherry Trees School"/>
    <x v="2"/>
    <s v="Community Special School"/>
    <s v="NULL"/>
    <s v="Not applicable"/>
    <s v="Not applicable"/>
    <s v="Does not apply"/>
    <s v="Does not apply"/>
    <s v="Non-denominational"/>
    <s v="London"/>
    <x v="3"/>
    <x v="119"/>
    <s v="Poplar and Limehouse"/>
    <s v="E3 4EA"/>
    <n v="5"/>
    <n v="19"/>
    <d v="2020-11-10T00:00:00"/>
    <d v="2020-12-20T00:00:00"/>
  </r>
  <r>
    <s v="Ofsted School Webpage"/>
    <n v="103609"/>
    <n v="3307026"/>
    <s v="Hunters Hill College"/>
    <x v="2"/>
    <s v="Community Special School"/>
    <s v="NULL"/>
    <s v="Not applicable"/>
    <s v="Not applicable"/>
    <s v="Does not apply"/>
    <s v="Does not apply"/>
    <s v="Non-denominational"/>
    <s v="West Midlands"/>
    <x v="1"/>
    <x v="8"/>
    <s v="Bromsgrove"/>
    <s v="B60 1QD"/>
    <n v="5"/>
    <n v="117"/>
    <d v="2020-11-10T00:00:00"/>
    <d v="2020-12-08T00:00:00"/>
  </r>
  <r>
    <s v="Ofsted School Webpage"/>
    <n v="136012"/>
    <n v="9214032"/>
    <s v="Carisbrooke College"/>
    <x v="1"/>
    <s v="Foundation School"/>
    <d v="2011-09-01T00:00:00"/>
    <s v="Non-selective"/>
    <s v="Has a sixth form"/>
    <s v="None"/>
    <s v="Does not apply"/>
    <s v="Non-denominational"/>
    <s v="South East"/>
    <x v="2"/>
    <x v="82"/>
    <s v="Isle of Wight"/>
    <s v="PO30 5QU"/>
    <n v="3"/>
    <n v="573"/>
    <d v="2020-11-10T00:00:00"/>
    <d v="2020-12-17T00:00:00"/>
  </r>
  <r>
    <s v="Ofsted School Webpage"/>
    <n v="141180"/>
    <n v="8932003"/>
    <s v="Morville CofE (Controlled) Primary School"/>
    <x v="0"/>
    <s v="Academy Sponsor Led"/>
    <d v="2014-09-01T00:00:00"/>
    <s v="Not applicable"/>
    <s v="Does not have a sixth form"/>
    <s v="Church of England"/>
    <s v="None"/>
    <s v="Christian"/>
    <s v="West Midlands"/>
    <x v="1"/>
    <x v="78"/>
    <s v="Ludlow"/>
    <s v="WV16 4RJ"/>
    <n v="1"/>
    <n v="52"/>
    <d v="2020-11-10T00:00:00"/>
    <d v="2020-11-30T00:00:00"/>
  </r>
  <r>
    <s v="Ofsted School Webpage"/>
    <n v="141948"/>
    <n v="9267000"/>
    <s v="The Fen Rivers Academy"/>
    <x v="2"/>
    <s v="Academy Special Sponsor Led"/>
    <d v="2018-06-01T00:00:00"/>
    <s v="Not applicable"/>
    <s v="Does not have a sixth form"/>
    <s v="Does not apply"/>
    <s v="None"/>
    <s v="Non-denominational"/>
    <s v="East of England"/>
    <x v="7"/>
    <x v="33"/>
    <s v="North West Norfolk"/>
    <s v="PE30 2HU"/>
    <n v="4"/>
    <n v="37"/>
    <d v="2020-11-10T00:00:00"/>
    <d v="2020-12-03T00:00:00"/>
  </r>
  <r>
    <s v="Ofsted School Webpage"/>
    <n v="134884"/>
    <n v="3837074"/>
    <s v="West Specialist Inclusive Learning Centre"/>
    <x v="2"/>
    <s v="Community Special School"/>
    <d v="2005-01-01T00:00:00"/>
    <s v="Not applicable"/>
    <s v="Has a sixth form"/>
    <s v="Does not apply"/>
    <s v="Does not apply"/>
    <s v="Non-denominational"/>
    <s v="North East, Yorkshire and the Humber"/>
    <x v="0"/>
    <x v="26"/>
    <s v="Leeds West"/>
    <s v="LS28 6HL"/>
    <n v="4"/>
    <n v="221"/>
    <d v="2020-11-10T00:00:00"/>
    <d v="2020-12-15T00:00:00"/>
  </r>
  <r>
    <s v="Ofsted School Webpage"/>
    <n v="108033"/>
    <n v="3833379"/>
    <s v="St Philip's Catholic Primary  School"/>
    <x v="0"/>
    <s v="Voluntary Aided School"/>
    <s v="NULL"/>
    <s v="Not applicable"/>
    <s v="Does not have a sixth form"/>
    <s v="Roman Catholic"/>
    <s v="Does not apply"/>
    <s v="Christian"/>
    <s v="North East, Yorkshire and the Humber"/>
    <x v="0"/>
    <x v="26"/>
    <s v="Leeds Central"/>
    <s v="LS10 3SL"/>
    <n v="5"/>
    <n v="262"/>
    <d v="2020-11-10T00:00:00"/>
    <d v="2020-12-03T00:00:00"/>
  </r>
  <r>
    <s v="Ofsted School Webpage"/>
    <n v="121540"/>
    <n v="8153163"/>
    <s v="Weaverthorpe Church of England Voluntary Controlled Primary School"/>
    <x v="0"/>
    <s v="Voluntary Controlled School"/>
    <s v="NULL"/>
    <s v="Not applicable"/>
    <s v="Does not have a sixth form"/>
    <s v="Church of England"/>
    <s v="Does not apply"/>
    <s v="Christian"/>
    <s v="North East, Yorkshire and the Humber"/>
    <x v="0"/>
    <x v="60"/>
    <s v="Thirsk and Malton"/>
    <s v="YO17 8ES"/>
    <n v="3"/>
    <n v="40"/>
    <d v="2020-11-10T00:00:00"/>
    <d v="2021-01-05T00:00:00"/>
  </r>
  <r>
    <s v="Ofsted School Webpage"/>
    <n v="116837"/>
    <n v="8853084"/>
    <s v="Overbury CofE First School"/>
    <x v="0"/>
    <s v="Voluntary Controlled School"/>
    <s v="NULL"/>
    <s v="Not applicable"/>
    <s v="Does not have a sixth form"/>
    <s v="Church of England"/>
    <s v="Does not apply"/>
    <s v="Christian"/>
    <s v="West Midlands"/>
    <x v="1"/>
    <x v="89"/>
    <s v="West Worcestershire"/>
    <s v="GL20 7NT"/>
    <n v="1"/>
    <n v="66"/>
    <d v="2020-11-10T00:00:00"/>
    <d v="2020-11-30T00:00:00"/>
  </r>
  <r>
    <s v="Ofsted School Webpage"/>
    <n v="108628"/>
    <n v="3924008"/>
    <s v="Norham High School"/>
    <x v="1"/>
    <s v="Foundation School"/>
    <s v="NULL"/>
    <s v="Non-selective"/>
    <s v="Does not have a sixth form"/>
    <s v="None"/>
    <s v="Does not apply"/>
    <s v="Non-denominational"/>
    <s v="North East, Yorkshire and the Humber"/>
    <x v="8"/>
    <x v="113"/>
    <s v="Tynemouth"/>
    <s v="NE29 7BU"/>
    <n v="5"/>
    <n v="311"/>
    <d v="2020-11-10T00:00:00"/>
    <d v="2021-01-17T00:00:00"/>
  </r>
  <r>
    <s v="Ofsted School Webpage"/>
    <n v="119624"/>
    <n v="8883711"/>
    <s v="St Wulstan's and St Edmund's Catholic Primary School and Nursery"/>
    <x v="0"/>
    <s v="Voluntary Aided School"/>
    <s v="NULL"/>
    <s v="Not applicable"/>
    <s v="Does not have a sixth form"/>
    <s v="Roman Catholic"/>
    <s v="Does not apply"/>
    <s v="Christian"/>
    <s v="North West"/>
    <x v="4"/>
    <x v="27"/>
    <s v="Lancaster and Fleetwood"/>
    <s v="FY7 7JY"/>
    <n v="4"/>
    <n v="248"/>
    <d v="2020-11-10T00:00:00"/>
    <d v="2020-12-07T00:00:00"/>
  </r>
  <r>
    <s v="Ofsted School Webpage"/>
    <n v="121943"/>
    <n v="9282208"/>
    <s v="Kingsthorpe Grove Primary School"/>
    <x v="0"/>
    <s v="Community School"/>
    <d v="1899-12-31T00:00:00"/>
    <s v="Not applicable"/>
    <s v="Does not have a sixth form"/>
    <s v="Does not apply"/>
    <s v="Does not apply"/>
    <s v="Non-denominational"/>
    <s v="East Midlands"/>
    <x v="6"/>
    <x v="64"/>
    <s v="Northampton North"/>
    <s v="NN2 7QL"/>
    <n v="4"/>
    <n v="477"/>
    <d v="2020-11-10T00:00:00"/>
    <d v="2020-12-09T00:00:00"/>
  </r>
  <r>
    <s v="Ofsted School Webpage"/>
    <n v="118085"/>
    <n v="8114064"/>
    <s v="Headlands School"/>
    <x v="1"/>
    <s v="Community School"/>
    <s v="NULL"/>
    <s v="Non-selective"/>
    <s v="Has a sixth form"/>
    <s v="Does not apply"/>
    <s v="Does not apply"/>
    <s v="Non-denominational"/>
    <s v="North East, Yorkshire and the Humber"/>
    <x v="0"/>
    <x v="31"/>
    <s v="East Yorkshire"/>
    <s v="YO16 6UR"/>
    <n v="4"/>
    <n v="904"/>
    <d v="2020-11-10T00:00:00"/>
    <d v="2020-12-02T00:00:00"/>
  </r>
  <r>
    <s v="Ofsted School Webpage"/>
    <n v="120830"/>
    <n v="9262105"/>
    <s v="Ludham Primary School and Nursery"/>
    <x v="0"/>
    <s v="Community School"/>
    <s v="NULL"/>
    <s v="Not applicable"/>
    <s v="Does not have a sixth form"/>
    <s v="Does not apply"/>
    <s v="Does not apply"/>
    <s v="Non-denominational"/>
    <s v="East of England"/>
    <x v="7"/>
    <x v="33"/>
    <s v="North Norfolk"/>
    <s v="NR29 5QN"/>
    <n v="3"/>
    <n v="113"/>
    <d v="2020-11-10T00:00:00"/>
    <d v="2020-12-07T00:00:00"/>
  </r>
  <r>
    <s v="Ofsted School Webpage"/>
    <n v="103982"/>
    <n v="3332177"/>
    <s v="Ferndale Primary School"/>
    <x v="0"/>
    <s v="Community School"/>
    <s v="NULL"/>
    <s v="Not applicable"/>
    <s v="Does not have a sixth form"/>
    <s v="Does not apply"/>
    <s v="Does not apply"/>
    <s v="Non-denominational"/>
    <s v="West Midlands"/>
    <x v="1"/>
    <x v="10"/>
    <s v="West Bromwich East"/>
    <s v="B43 5QF"/>
    <n v="4"/>
    <n v="631"/>
    <d v="2020-11-10T00:00:00"/>
    <d v="2020-11-30T00:00:00"/>
  </r>
  <r>
    <s v="Ofsted School Webpage"/>
    <n v="109664"/>
    <n v="8233353"/>
    <s v="Caddington Village School"/>
    <x v="0"/>
    <s v="Community School"/>
    <s v="NULL"/>
    <s v="Not applicable"/>
    <s v="Does not have a sixth form"/>
    <s v="Does not apply"/>
    <s v="Does not apply"/>
    <s v="Non-denominational"/>
    <s v="East of England"/>
    <x v="7"/>
    <x v="115"/>
    <s v="Luton South"/>
    <s v="LU1 4JD"/>
    <n v="4"/>
    <n v="354"/>
    <d v="2020-11-10T00:00:00"/>
    <d v="2020-12-06T00:00:00"/>
  </r>
  <r>
    <s v="Ofsted School Webpage"/>
    <n v="119344"/>
    <n v="8892823"/>
    <s v="Brookhouse Primary School"/>
    <x v="0"/>
    <s v="Community School"/>
    <s v="NULL"/>
    <s v="Not applicable"/>
    <s v="Does not have a sixth form"/>
    <s v="Does not apply"/>
    <s v="Does not apply"/>
    <s v="Non-denominational"/>
    <s v="North West"/>
    <x v="4"/>
    <x v="90"/>
    <s v="Blackburn"/>
    <s v="BB1 6NY"/>
    <n v="4"/>
    <n v="274"/>
    <d v="2020-11-10T00:00:00"/>
    <d v="2020-12-06T00:00:00"/>
  </r>
  <r>
    <s v="Ofsted School Webpage"/>
    <n v="133280"/>
    <n v="8913297"/>
    <s v="Abbey Primary School"/>
    <x v="0"/>
    <s v="Community School"/>
    <d v="2001-09-01T00:00:00"/>
    <s v="Not applicable"/>
    <s v="Does not have a sixth form"/>
    <s v="Does not apply"/>
    <s v="Does not apply"/>
    <s v="Non-denominational"/>
    <s v="East Midlands"/>
    <x v="6"/>
    <x v="49"/>
    <s v="Mansfield"/>
    <s v="NG19 0AB"/>
    <n v="4"/>
    <n v="477"/>
    <d v="2020-11-10T00:00:00"/>
    <d v="2020-12-02T00:00:00"/>
  </r>
  <r>
    <s v="Ofsted School Webpage"/>
    <n v="100601"/>
    <n v="2082836"/>
    <s v="Glenbrook Primary School"/>
    <x v="0"/>
    <s v="Community School"/>
    <s v="NULL"/>
    <s v="Not applicable"/>
    <s v="Does not have a sixth form"/>
    <s v="Does not apply"/>
    <s v="Does not apply"/>
    <s v="Non-denominational"/>
    <s v="London"/>
    <x v="3"/>
    <x v="134"/>
    <s v="Streatham"/>
    <s v="SW4 8LD"/>
    <n v="4"/>
    <n v="192"/>
    <d v="2020-11-10T00:00:00"/>
    <d v="2020-12-02T00:00:00"/>
  </r>
  <r>
    <s v="Ofsted School Webpage"/>
    <n v="116260"/>
    <n v="8502767"/>
    <s v="Emsworth Primary School"/>
    <x v="0"/>
    <s v="Community School"/>
    <s v="NULL"/>
    <s v="Not applicable"/>
    <s v="Does not have a sixth form"/>
    <s v="Does not apply"/>
    <s v="Does not apply"/>
    <s v="Non-denominational"/>
    <s v="South East"/>
    <x v="2"/>
    <x v="2"/>
    <s v="Havant"/>
    <s v="PO10 7LX"/>
    <n v="2"/>
    <n v="355"/>
    <d v="2020-11-10T00:00:00"/>
    <d v="2020-11-29T00:00:00"/>
  </r>
  <r>
    <s v="Ofsted School Webpage"/>
    <n v="114914"/>
    <n v="8812611"/>
    <s v="Ghyllgrove Primary School"/>
    <x v="0"/>
    <s v="Community School"/>
    <s v="NULL"/>
    <s v="Not applicable"/>
    <s v="Does not have a sixth form"/>
    <s v="Does not apply"/>
    <s v="Does not apply"/>
    <s v="Non-denominational"/>
    <s v="East of England"/>
    <x v="7"/>
    <x v="75"/>
    <s v="Basildon and Billericay"/>
    <s v="SS14 2BG"/>
    <n v="5"/>
    <n v="530"/>
    <d v="2020-11-10T00:00:00"/>
    <d v="2020-12-15T00:00:00"/>
  </r>
  <r>
    <s v="Ofsted School Webpage"/>
    <n v="117091"/>
    <n v="9192016"/>
    <s v="Holdbrook Primary School and Nursery"/>
    <x v="0"/>
    <s v="Community School"/>
    <s v="NULL"/>
    <s v="Not applicable"/>
    <s v="Does not have a sixth form"/>
    <s v="Does not apply"/>
    <s v="Does not apply"/>
    <s v="Non-denominational"/>
    <s v="East of England"/>
    <x v="7"/>
    <x v="56"/>
    <s v="Broxbourne"/>
    <s v="EN8 7QG"/>
    <n v="5"/>
    <n v="196"/>
    <d v="2020-11-10T00:00:00"/>
    <d v="2020-12-07T00:00:00"/>
  </r>
  <r>
    <s v="Ofsted School Webpage"/>
    <n v="130302"/>
    <n v="2042533"/>
    <s v="Rushmore Primary School"/>
    <x v="0"/>
    <s v="Community School"/>
    <d v="1995-09-01T00:00:00"/>
    <s v="Not applicable"/>
    <s v="Does not have a sixth form"/>
    <s v="Does not apply"/>
    <s v="Does not apply"/>
    <s v="Non-denominational"/>
    <s v="London"/>
    <x v="3"/>
    <x v="12"/>
    <s v="Hackney North and Stoke Newington"/>
    <s v="E5 0LE"/>
    <n v="4"/>
    <n v="461"/>
    <d v="2020-11-10T00:00:00"/>
    <d v="2020-12-02T00:00:00"/>
  </r>
  <r>
    <s v="Ofsted School Webpage"/>
    <n v="114705"/>
    <n v="8812002"/>
    <s v="St George's Infant School and Nursery"/>
    <x v="0"/>
    <s v="Community School"/>
    <d v="1899-12-31T00:00:00"/>
    <s v="Not applicable"/>
    <s v="Does not have a sixth form"/>
    <s v="Does not apply"/>
    <s v="Does not apply"/>
    <s v="Non-denominational"/>
    <s v="East of England"/>
    <x v="7"/>
    <x v="75"/>
    <s v="Colchester"/>
    <s v="CO2 7RW"/>
    <n v="4"/>
    <n v="288"/>
    <d v="2020-11-10T00:00:00"/>
    <d v="2021-01-18T00:00:00"/>
  </r>
  <r>
    <s v="Ofsted School Webpage"/>
    <n v="117499"/>
    <n v="9194000"/>
    <s v="The Priory School"/>
    <x v="1"/>
    <s v="Foundation School"/>
    <s v="NULL"/>
    <s v="Non-selective"/>
    <s v="Has a sixth form"/>
    <s v="Does not apply"/>
    <s v="Does not apply"/>
    <s v="Non-denominational"/>
    <s v="East of England"/>
    <x v="7"/>
    <x v="56"/>
    <s v="Hitchin and Harpenden"/>
    <s v="SG5 2UR"/>
    <n v="2"/>
    <n v="1206"/>
    <d v="2020-11-10T00:00:00"/>
    <d v="2020-12-13T00:00:00"/>
  </r>
  <r>
    <s v="Ofsted School Webpage"/>
    <n v="119237"/>
    <n v="8882197"/>
    <s v="The Roebuck School"/>
    <x v="0"/>
    <s v="Community School"/>
    <s v="NULL"/>
    <s v="Not applicable"/>
    <s v="Does not have a sixth form"/>
    <s v="Does not apply"/>
    <s v="Does not apply"/>
    <s v="Non-denominational"/>
    <s v="North West"/>
    <x v="4"/>
    <x v="27"/>
    <s v="Preston"/>
    <s v="PR2 2BN"/>
    <n v="4"/>
    <n v="292"/>
    <d v="2020-11-10T00:00:00"/>
    <d v="2020-12-13T00:00:00"/>
  </r>
  <r>
    <s v="Ofsted School Webpage"/>
    <n v="109014"/>
    <n v="8032172"/>
    <s v="Shield Road Primary School"/>
    <x v="0"/>
    <s v="Community School"/>
    <s v="NULL"/>
    <s v="Not applicable"/>
    <s v="Does not have a sixth form"/>
    <s v="Does not apply"/>
    <s v="Does not apply"/>
    <s v="Non-denominational"/>
    <s v="South West"/>
    <x v="5"/>
    <x v="5"/>
    <s v="Filton and Bradley Stoke"/>
    <s v="BS7 0RR"/>
    <n v="4"/>
    <n v="227"/>
    <d v="2020-11-10T00:00:00"/>
    <d v="2020-11-29T00:00:00"/>
  </r>
  <r>
    <s v="Ofsted School Webpage"/>
    <n v="106917"/>
    <n v="3722120"/>
    <s v="West Melton Primary School"/>
    <x v="0"/>
    <s v="Community School"/>
    <s v="NULL"/>
    <s v="Not applicable"/>
    <s v="Does not have a sixth form"/>
    <s v="Does not apply"/>
    <s v="Does not apply"/>
    <s v="Non-denominational"/>
    <s v="North East, Yorkshire and the Humber"/>
    <x v="0"/>
    <x v="0"/>
    <s v="Wentworth and Dearne"/>
    <s v="S63 6NF"/>
    <n v="5"/>
    <n v="122"/>
    <d v="2020-11-10T00:00:00"/>
    <d v="2020-12-09T00:00:00"/>
  </r>
  <r>
    <s v="Ofsted School Webpage"/>
    <n v="113139"/>
    <n v="8782216"/>
    <s v="Southmead School"/>
    <x v="0"/>
    <s v="Foundation School"/>
    <s v="NULL"/>
    <s v="Not applicable"/>
    <s v="Does not have a sixth form"/>
    <s v="Does not apply"/>
    <s v="Does not apply"/>
    <s v="Non-denominational"/>
    <s v="South West"/>
    <x v="5"/>
    <x v="62"/>
    <s v="North Devon"/>
    <s v="EX33 2BU"/>
    <n v="1"/>
    <n v="375"/>
    <d v="2020-11-10T00:00:00"/>
    <d v="2020-12-06T00:00:00"/>
  </r>
  <r>
    <s v="Ofsted School Webpage"/>
    <n v="119572"/>
    <n v="8883590"/>
    <s v="Samlesbury Church of England School"/>
    <x v="0"/>
    <s v="Voluntary Aided School"/>
    <s v="NULL"/>
    <s v="Not applicable"/>
    <s v="Does not have a sixth form"/>
    <s v="Church of England"/>
    <s v="Does not apply"/>
    <s v="Christian"/>
    <s v="North West"/>
    <x v="4"/>
    <x v="27"/>
    <s v="Ribble Valley"/>
    <s v="PR5 0UE"/>
    <n v="3"/>
    <n v="70"/>
    <d v="2020-11-10T00:00:00"/>
    <d v="2020-12-09T00:00:00"/>
  </r>
  <r>
    <s v="Ofsted School Webpage"/>
    <n v="110814"/>
    <n v="8733067"/>
    <s v="Barnabas Oley CofE Primary School"/>
    <x v="0"/>
    <s v="Voluntary Controlled School"/>
    <s v="NULL"/>
    <s v="Not applicable"/>
    <s v="Does not have a sixth form"/>
    <s v="Church of England"/>
    <s v="Does not apply"/>
    <s v="Christian"/>
    <s v="East of England"/>
    <x v="7"/>
    <x v="43"/>
    <s v="Huntingdon"/>
    <s v="SG19 3AE"/>
    <n v="1"/>
    <n v="141"/>
    <d v="2020-11-10T00:00:00"/>
    <d v="2020-12-03T00:00:00"/>
  </r>
  <r>
    <s v="Ofsted School Webpage"/>
    <n v="104764"/>
    <n v="3422012"/>
    <s v="Sutton Manor Community Primary School"/>
    <x v="0"/>
    <s v="Community School"/>
    <s v="NULL"/>
    <s v="Not applicable"/>
    <s v="Does not have a sixth form"/>
    <s v="Does not apply"/>
    <s v="Does not apply"/>
    <s v="Non-denominational"/>
    <s v="North West"/>
    <x v="4"/>
    <x v="95"/>
    <s v="St Helens South and Whiston"/>
    <s v="WA9 4AT"/>
    <n v="5"/>
    <n v="228"/>
    <d v="2020-11-10T00:00:00"/>
    <d v="2020-12-09T00:00:00"/>
  </r>
  <r>
    <s v="Ofsted School Webpage"/>
    <n v="135552"/>
    <n v="9214604"/>
    <s v="Christ The King College"/>
    <x v="1"/>
    <s v="Voluntary Aided School"/>
    <d v="2008-09-01T00:00:00"/>
    <s v="Non-selective"/>
    <s v="Has a sixth form"/>
    <s v="Church of England/Roman Catholic"/>
    <s v="Does not apply"/>
    <s v="Christian"/>
    <s v="South East"/>
    <x v="2"/>
    <x v="82"/>
    <s v="Isle of Wight"/>
    <s v="PO30 5QT"/>
    <n v="3"/>
    <n v="1328"/>
    <d v="2020-11-10T00:00:00"/>
    <d v="2020-12-13T00:00:00"/>
  </r>
  <r>
    <s v="Ofsted School Webpage"/>
    <n v="109239"/>
    <n v="8023350"/>
    <s v="St Francis Catholic Primary School"/>
    <x v="0"/>
    <s v="Voluntary Aided School"/>
    <s v="NULL"/>
    <s v="Not applicable"/>
    <s v="Does not have a sixth form"/>
    <s v="Roman Catholic"/>
    <s v="Does not apply"/>
    <s v="Christian"/>
    <s v="South West"/>
    <x v="5"/>
    <x v="98"/>
    <s v="North Somerset"/>
    <s v="BS48 4PD"/>
    <n v="1"/>
    <n v="188"/>
    <d v="2020-11-10T00:00:00"/>
    <d v="2020-12-10T00:00:00"/>
  </r>
  <r>
    <s v="Ofsted School Webpage"/>
    <n v="122277"/>
    <n v="9293173"/>
    <s v="Longhoughton Church of England Primary School"/>
    <x v="0"/>
    <s v="Voluntary Controlled School"/>
    <s v="NULL"/>
    <s v="Not applicable"/>
    <s v="Does not have a sixth form"/>
    <s v="Church of England"/>
    <s v="Does not apply"/>
    <s v="Christian"/>
    <s v="North East, Yorkshire and the Humber"/>
    <x v="8"/>
    <x v="39"/>
    <s v="Berwick-upon-Tweed"/>
    <s v="NE66 3AJ"/>
    <n v="1"/>
    <n v="110"/>
    <d v="2020-11-10T00:00:00"/>
    <d v="2020-12-03T00:00:00"/>
  </r>
  <r>
    <s v="Ofsted School Webpage"/>
    <n v="104936"/>
    <n v="3433367"/>
    <s v="St Gregory's Catholic Primary School"/>
    <x v="0"/>
    <s v="Voluntary Aided School"/>
    <s v="NULL"/>
    <s v="Not applicable"/>
    <s v="Does not have a sixth form"/>
    <s v="Roman Catholic"/>
    <s v="Does not apply"/>
    <s v="Christian"/>
    <s v="North West"/>
    <x v="4"/>
    <x v="93"/>
    <s v="Sefton Central"/>
    <s v="L31 2LB"/>
    <n v="2"/>
    <n v="239"/>
    <d v="2020-11-10T00:00:00"/>
    <d v="2020-12-08T00:00:00"/>
  </r>
  <r>
    <s v="Ofsted School Webpage"/>
    <n v="119577"/>
    <n v="8883599"/>
    <s v="Altham St James Church of England Primary School"/>
    <x v="0"/>
    <s v="Voluntary Aided School"/>
    <s v="NULL"/>
    <s v="Not applicable"/>
    <s v="Does not have a sixth form"/>
    <s v="Church of England"/>
    <s v="Does not apply"/>
    <s v="Christian"/>
    <s v="North West"/>
    <x v="4"/>
    <x v="27"/>
    <s v="Hyndburn"/>
    <s v="BB5 5UH"/>
    <n v="3"/>
    <n v="63"/>
    <d v="2020-11-10T00:00:00"/>
    <d v="2020-11-30T00:00:00"/>
  </r>
  <r>
    <s v="Ofsted School Webpage"/>
    <n v="119584"/>
    <n v="8883607"/>
    <s v="St Bernadette's Catholic Primary School, Lancaster"/>
    <x v="0"/>
    <s v="Voluntary Aided School"/>
    <s v="NULL"/>
    <s v="Not applicable"/>
    <s v="Does not have a sixth form"/>
    <s v="Roman Catholic"/>
    <s v="Does not apply"/>
    <s v="Christian"/>
    <s v="North West"/>
    <x v="4"/>
    <x v="27"/>
    <s v="Lancaster and Fleetwood"/>
    <s v="LA1 4HT"/>
    <n v="2"/>
    <n v="212"/>
    <d v="2020-11-10T00:00:00"/>
    <d v="2021-02-03T00:00:00"/>
  </r>
  <r>
    <s v="Ofsted School Webpage"/>
    <n v="111378"/>
    <n v="8763632"/>
    <s v="Our Lady Mother of the Saviour Catholic Primary School"/>
    <x v="0"/>
    <s v="Voluntary Aided School"/>
    <s v="NULL"/>
    <s v="Not applicable"/>
    <s v="Does not have a sixth form"/>
    <s v="Roman Catholic"/>
    <s v="Does not apply"/>
    <s v="Christian"/>
    <s v="North West"/>
    <x v="4"/>
    <x v="141"/>
    <s v="Weaver Vale"/>
    <s v="WA7 2TP"/>
    <n v="5"/>
    <n v="191"/>
    <d v="2020-11-10T00:00:00"/>
    <d v="2020-12-07T00:00:00"/>
  </r>
  <r>
    <s v="Ofsted School Webpage"/>
    <n v="118737"/>
    <n v="8863339"/>
    <s v="Whitstable and Seasalter Endowed Church of England Junior School"/>
    <x v="0"/>
    <s v="Voluntary Aided School"/>
    <s v="NULL"/>
    <s v="Not applicable"/>
    <s v="Does not have a sixth form"/>
    <s v="Church of England"/>
    <s v="Does not apply"/>
    <s v="Christian"/>
    <s v="South East"/>
    <x v="2"/>
    <x v="7"/>
    <s v="Canterbury"/>
    <s v="CT5 1AY"/>
    <n v="2"/>
    <n v="192"/>
    <d v="2020-11-10T00:00:00"/>
    <d v="2020-12-16T00:00:00"/>
  </r>
  <r>
    <s v="Ofsted School Webpage"/>
    <n v="126482"/>
    <n v="8655208"/>
    <s v="St Mary's Catholic Primary School"/>
    <x v="0"/>
    <s v="Voluntary Aided School"/>
    <s v="NULL"/>
    <s v="Not applicable"/>
    <s v="Does not have a sixth form"/>
    <s v="Roman Catholic"/>
    <s v="Does not apply"/>
    <s v="Christian"/>
    <s v="South West"/>
    <x v="5"/>
    <x v="125"/>
    <s v="Chippenham"/>
    <s v="SN15 2AH"/>
    <n v="2"/>
    <n v="187"/>
    <d v="2020-11-10T00:00:00"/>
    <d v="2020-12-03T00:00:00"/>
  </r>
  <r>
    <s v="Ofsted School Webpage"/>
    <n v="123857"/>
    <n v="9333487"/>
    <s v="St Gildas Catholic Primary School"/>
    <x v="0"/>
    <s v="Voluntary Aided School"/>
    <s v="NULL"/>
    <s v="Not applicable"/>
    <s v="Does not have a sixth form"/>
    <s v="Roman Catholic"/>
    <s v="Does not apply"/>
    <s v="Christian"/>
    <s v="South West"/>
    <x v="5"/>
    <x v="34"/>
    <s v="Yeovil"/>
    <s v="BA21 4EG"/>
    <n v="4"/>
    <n v="213"/>
    <d v="2020-11-10T00:00:00"/>
    <d v="2020-12-13T00:00:00"/>
  </r>
  <r>
    <s v="Ofsted School Webpage"/>
    <n v="119603"/>
    <n v="8883636"/>
    <s v="Preston St Matthew's Church of England Primary School"/>
    <x v="0"/>
    <s v="Voluntary Aided School"/>
    <s v="NULL"/>
    <s v="Not applicable"/>
    <s v="Does not have a sixth form"/>
    <s v="Church of England"/>
    <s v="Does not apply"/>
    <s v="Christian"/>
    <s v="North West"/>
    <x v="4"/>
    <x v="27"/>
    <s v="Preston"/>
    <s v="PR1 5XB"/>
    <n v="5"/>
    <n v="446"/>
    <d v="2020-11-11T00:00:00"/>
    <d v="2020-12-06T00:00:00"/>
  </r>
  <r>
    <s v="Ofsted School Webpage"/>
    <n v="101507"/>
    <n v="3042033"/>
    <s v="Malorees Infant School"/>
    <x v="0"/>
    <s v="Community School"/>
    <s v="NULL"/>
    <s v="Not applicable"/>
    <s v="Does not have a sixth form"/>
    <s v="Does not apply"/>
    <s v="Does not apply"/>
    <s v="Non-denominational"/>
    <s v="London"/>
    <x v="3"/>
    <x v="72"/>
    <s v="Hampstead and Kilburn"/>
    <s v="NW6 7PB"/>
    <n v="4"/>
    <n v="196"/>
    <d v="2020-11-11T00:00:00"/>
    <d v="2021-01-04T00:00:00"/>
  </r>
  <r>
    <s v="Ofsted School Webpage"/>
    <n v="135037"/>
    <n v="8853109"/>
    <s v="Upper Arley CofE VC Primary School"/>
    <x v="0"/>
    <s v="Voluntary Controlled School"/>
    <d v="2007-09-01T00:00:00"/>
    <s v="Not applicable"/>
    <s v="Does not have a sixth form"/>
    <s v="Church of England"/>
    <s v="Does not apply"/>
    <s v="Christian"/>
    <s v="West Midlands"/>
    <x v="1"/>
    <x v="89"/>
    <s v="Wyre Forest"/>
    <s v="DY12 1XA"/>
    <n v="2"/>
    <n v="59"/>
    <d v="2020-11-11T00:00:00"/>
    <d v="2020-12-03T00:00:00"/>
  </r>
  <r>
    <s v="Ofsted School Webpage"/>
    <n v="138251"/>
    <n v="3804010"/>
    <s v="Dixons Trinity Academy"/>
    <x v="1"/>
    <s v="Free School"/>
    <d v="2012-09-01T00:00:00"/>
    <s v="Non-selective"/>
    <s v="Does not have a sixth form"/>
    <s v="None"/>
    <s v="None"/>
    <s v="Non-denominational"/>
    <s v="North East, Yorkshire and the Humber"/>
    <x v="0"/>
    <x v="103"/>
    <s v="Bradford West"/>
    <s v="BD5 0BE"/>
    <n v="5"/>
    <n v="579"/>
    <d v="2020-11-11T00:00:00"/>
    <d v="2020-12-10T00:00:00"/>
  </r>
  <r>
    <s v="Ofsted School Webpage"/>
    <n v="139294"/>
    <n v="3574011"/>
    <s v="Copley Academy"/>
    <x v="1"/>
    <s v="Academy Converter"/>
    <d v="2013-02-01T00:00:00"/>
    <s v="Non-selective"/>
    <s v="Does not have a sixth form"/>
    <s v="Does not apply"/>
    <s v="Does not apply"/>
    <s v="Non-denominational"/>
    <s v="North West"/>
    <x v="4"/>
    <x v="139"/>
    <s v="Stalybridge and Hyde"/>
    <s v="SK15 3RR"/>
    <n v="5"/>
    <n v="655"/>
    <d v="2020-11-11T00:00:00"/>
    <d v="2020-12-13T00:00:00"/>
  </r>
  <r>
    <s v="Ofsted School Webpage"/>
    <n v="144646"/>
    <n v="8884022"/>
    <s v="Bay Leadership Academy"/>
    <x v="1"/>
    <s v="Academy Sponsor Led"/>
    <d v="2018-06-01T00:00:00"/>
    <s v="Non-selective"/>
    <s v="Has a sixth form"/>
    <s v="Does not apply"/>
    <s v="Unknown"/>
    <s v="Non-denominational"/>
    <s v="North West"/>
    <x v="4"/>
    <x v="27"/>
    <s v="Morecambe and Lunesdale"/>
    <s v="LA3 1AB"/>
    <n v="5"/>
    <n v="689"/>
    <d v="2020-11-11T00:00:00"/>
    <d v="2020-12-03T00:00:00"/>
  </r>
  <r>
    <s v="Ofsted School Webpage"/>
    <n v="144372"/>
    <n v="3552004"/>
    <s v="St Augustine's CofE Primary School"/>
    <x v="0"/>
    <s v="Academy Sponsor Led"/>
    <d v="2017-09-01T00:00:00"/>
    <s v="Not applicable"/>
    <s v="Does not have a sixth form"/>
    <s v="Church of England"/>
    <s v="Unknown"/>
    <s v="Christian"/>
    <s v="North West"/>
    <x v="4"/>
    <x v="142"/>
    <s v="Salford and Eccles"/>
    <s v="M27 8UX"/>
    <n v="4"/>
    <n v="200"/>
    <d v="2020-11-11T00:00:00"/>
    <d v="2020-12-10T00:00:00"/>
  </r>
  <r>
    <s v="Ofsted School Webpage"/>
    <n v="142905"/>
    <n v="2084005"/>
    <s v="South Bank Engineering UTC"/>
    <x v="1"/>
    <s v="University Technical College"/>
    <d v="2016-09-01T00:00:00"/>
    <s v="Unknown"/>
    <s v="Has a sixth form"/>
    <s v="Does not apply"/>
    <s v="Does not apply"/>
    <s v="Non-denominational"/>
    <s v="London"/>
    <x v="3"/>
    <x v="134"/>
    <s v="Streatham"/>
    <s v="SW2 1QS"/>
    <n v="5"/>
    <n v="218"/>
    <d v="2020-11-11T00:00:00"/>
    <d v="2020-11-30T00:00:00"/>
  </r>
  <r>
    <s v="Ofsted School Webpage"/>
    <n v="142856"/>
    <n v="8884040"/>
    <s v="West Craven High School"/>
    <x v="1"/>
    <s v="Academy Converter"/>
    <d v="2016-09-01T00:00:00"/>
    <s v="Non-selective"/>
    <s v="Does not have a sixth form"/>
    <s v="Does not apply"/>
    <s v="Does not apply"/>
    <s v="Non-denominational"/>
    <s v="North West"/>
    <x v="4"/>
    <x v="27"/>
    <s v="Pendle"/>
    <s v="BB18 5TB"/>
    <n v="2"/>
    <n v="617"/>
    <d v="2020-11-12T00:00:00"/>
    <d v="2020-12-10T00:00:00"/>
  </r>
  <r>
    <s v="Ofsted School Webpage"/>
    <n v="143113"/>
    <n v="3804039"/>
    <s v="Queensbury Academy"/>
    <x v="1"/>
    <s v="Academy Sponsor Led"/>
    <d v="2016-09-01T00:00:00"/>
    <s v="Non-selective"/>
    <s v="Does not have a sixth form"/>
    <s v="Does not apply"/>
    <s v="Unknown"/>
    <s v="Non-denominational"/>
    <s v="North East, Yorkshire and the Humber"/>
    <x v="0"/>
    <x v="103"/>
    <s v="Bradford South"/>
    <s v="BD13 2AS"/>
    <n v="4"/>
    <n v="906"/>
    <d v="2020-11-12T00:00:00"/>
    <d v="2020-12-09T00:00:00"/>
  </r>
  <r>
    <s v="Ofsted School Webpage"/>
    <n v="143926"/>
    <n v="8222002"/>
    <s v="Wixams Tree Primary School"/>
    <x v="0"/>
    <s v="Free School"/>
    <d v="2017-09-01T00:00:00"/>
    <s v="Unknown"/>
    <s v="Does not have a sixth form"/>
    <s v="None"/>
    <s v="None"/>
    <s v="Non-denominational"/>
    <s v="East of England"/>
    <x v="7"/>
    <x v="50"/>
    <s v="Mid Bedfordshire"/>
    <s v="MK42 6BA"/>
    <n v="3"/>
    <n v="263"/>
    <d v="2020-11-12T00:00:00"/>
    <d v="2020-12-17T00:00:00"/>
  </r>
  <r>
    <s v="Ofsted School Webpage"/>
    <n v="146098"/>
    <n v="8652046"/>
    <s v="Wilton CofE Primary School"/>
    <x v="0"/>
    <s v="Academy Sponsor Led"/>
    <d v="2018-08-01T00:00:00"/>
    <s v="Not applicable"/>
    <s v="Does not have a sixth form"/>
    <s v="Church of England"/>
    <s v="Church of England"/>
    <s v="Christian"/>
    <s v="South West"/>
    <x v="5"/>
    <x v="125"/>
    <s v="Salisbury"/>
    <s v="SP2 0ES"/>
    <n v="2"/>
    <n v="160"/>
    <d v="2020-11-12T00:00:00"/>
    <d v="2020-11-30T00:00:00"/>
  </r>
  <r>
    <s v="Ofsted School Webpage"/>
    <n v="145792"/>
    <n v="8932070"/>
    <s v="Market Drayton Infant &amp; Nursery School"/>
    <x v="0"/>
    <s v="Academy Converter"/>
    <d v="2018-06-01T00:00:00"/>
    <s v="Not applicable"/>
    <s v="Does not have a sixth form"/>
    <s v="Does not apply"/>
    <s v="Does not apply"/>
    <s v="Non-denominational"/>
    <s v="West Midlands"/>
    <x v="1"/>
    <x v="78"/>
    <s v="North Shropshire"/>
    <s v="TF9 3BA"/>
    <n v="4"/>
    <n v="442"/>
    <d v="2020-11-12T00:00:00"/>
    <d v="2020-11-29T00:00:00"/>
  </r>
  <r>
    <s v="Ofsted School Webpage"/>
    <n v="145630"/>
    <n v="8022332"/>
    <s v="Castle Batch Primary School Academy"/>
    <x v="0"/>
    <s v="Academy Converter"/>
    <d v="2018-04-01T00:00:00"/>
    <s v="Not applicable"/>
    <s v="Does not have a sixth form"/>
    <s v="Does not apply"/>
    <s v="Does not apply"/>
    <s v="Non-denominational"/>
    <s v="South West"/>
    <x v="5"/>
    <x v="98"/>
    <s v="Weston-Super-Mare"/>
    <s v="BS22 7FN"/>
    <n v="2"/>
    <n v="420"/>
    <d v="2020-11-12T00:00:00"/>
    <d v="2020-12-02T00:00:00"/>
  </r>
  <r>
    <s v="Ofsted School Webpage"/>
    <n v="145587"/>
    <n v="8952222"/>
    <s v="Weston Village Primary School"/>
    <x v="0"/>
    <s v="Academy Converter"/>
    <d v="2018-04-01T00:00:00"/>
    <s v="Not applicable"/>
    <s v="Does not have a sixth form"/>
    <s v="Does not apply"/>
    <s v="Does not apply"/>
    <s v="Non-denominational"/>
    <s v="North West"/>
    <x v="4"/>
    <x v="91"/>
    <s v="Crewe and Nantwich"/>
    <s v="CW2 5LZ"/>
    <n v="1"/>
    <n v="250"/>
    <d v="2020-11-12T00:00:00"/>
    <d v="2020-12-10T00:00:00"/>
  </r>
  <r>
    <s v="Ofsted School Webpage"/>
    <n v="143424"/>
    <n v="8834001"/>
    <s v="Ortu Hassenbrook Academy"/>
    <x v="1"/>
    <s v="Academy Converter"/>
    <d v="2016-09-01T00:00:00"/>
    <s v="Unknown"/>
    <s v="Not applicable"/>
    <s v="None"/>
    <s v="Does not apply"/>
    <s v="Non-denominational"/>
    <s v="East of England"/>
    <x v="7"/>
    <x v="44"/>
    <s v="South Basildon and East Thurrock"/>
    <s v="SS17 0NS"/>
    <n v="4"/>
    <n v="524"/>
    <d v="2020-11-12T00:00:00"/>
    <d v="2020-12-06T00:00:00"/>
  </r>
  <r>
    <s v="Ofsted School Webpage"/>
    <n v="136597"/>
    <n v="9082313"/>
    <s v="Mount Hawke Academy"/>
    <x v="0"/>
    <s v="Academy Converter"/>
    <d v="2011-04-01T00:00:00"/>
    <s v="Not applicable"/>
    <s v="Not applicable"/>
    <s v="Does not apply"/>
    <s v="Does not apply"/>
    <s v="Non-denominational"/>
    <s v="South West"/>
    <x v="5"/>
    <x v="42"/>
    <s v="Camborne and Redruth"/>
    <s v="TR4 8BA"/>
    <n v="2"/>
    <n v="283"/>
    <d v="2020-11-12T00:00:00"/>
    <d v="2020-12-02T00:00:00"/>
  </r>
  <r>
    <s v="Ofsted School Webpage"/>
    <n v="139304"/>
    <n v="9254603"/>
    <s v="Spalding Grammar School"/>
    <x v="1"/>
    <s v="Academy Converter"/>
    <d v="2013-02-01T00:00:00"/>
    <s v="Selective"/>
    <s v="Has a sixth form"/>
    <s v="None"/>
    <s v="Does not apply"/>
    <s v="Non-denominational"/>
    <s v="East Midlands"/>
    <x v="6"/>
    <x v="18"/>
    <s v="South Holland and The Deepings"/>
    <s v="PE11 2XH"/>
    <n v="3"/>
    <n v="867"/>
    <d v="2020-11-12T00:00:00"/>
    <d v="2020-12-14T00:00:00"/>
  </r>
  <r>
    <s v="Ofsted School Webpage"/>
    <n v="141287"/>
    <n v="8782419"/>
    <s v="East Allington Primary School"/>
    <x v="0"/>
    <s v="Academy Converter"/>
    <d v="2014-09-01T00:00:00"/>
    <s v="Not applicable"/>
    <s v="Does not have a sixth form"/>
    <s v="Does not apply"/>
    <s v="Does not apply"/>
    <s v="Non-denominational"/>
    <s v="South West"/>
    <x v="5"/>
    <x v="62"/>
    <s v="Totnes"/>
    <s v="TQ9 7RE"/>
    <n v="2"/>
    <n v="99"/>
    <d v="2020-11-12T00:00:00"/>
    <d v="2020-11-30T00:00:00"/>
  </r>
  <r>
    <s v="Ofsted School Webpage"/>
    <n v="137770"/>
    <n v="9374190"/>
    <s v="Aylesford School and Sixth Form College"/>
    <x v="1"/>
    <s v="Academy Converter"/>
    <d v="2012-01-01T00:00:00"/>
    <s v="Non-selective"/>
    <s v="Has a sixth form"/>
    <s v="Does not apply"/>
    <s v="Does not apply"/>
    <s v="Non-denominational"/>
    <s v="West Midlands"/>
    <x v="1"/>
    <x v="65"/>
    <s v="Warwick and Leamington"/>
    <s v="CV34 6XR"/>
    <n v="2"/>
    <n v="1063"/>
    <d v="2020-11-12T00:00:00"/>
    <d v="2020-12-07T00:00:00"/>
  </r>
  <r>
    <s v="Ofsted School Webpage"/>
    <n v="138613"/>
    <n v="3122078"/>
    <s v="Cranford Park Academy"/>
    <x v="0"/>
    <s v="Academy Converter"/>
    <d v="2012-09-01T00:00:00"/>
    <s v="Not applicable"/>
    <s v="Does not have a sixth form"/>
    <s v="Does not apply"/>
    <s v="Does not apply"/>
    <s v="Non-denominational"/>
    <s v="London"/>
    <x v="3"/>
    <x v="133"/>
    <s v="Hayes and Harlington"/>
    <s v="UB3 4LQ"/>
    <n v="4"/>
    <n v="944"/>
    <d v="2020-11-12T00:00:00"/>
    <d v="2020-12-07T00:00:00"/>
  </r>
  <r>
    <s v="Ofsted School Webpage"/>
    <n v="137701"/>
    <n v="3334110"/>
    <s v="Oldbury Academy"/>
    <x v="1"/>
    <s v="Academy Converter"/>
    <d v="2011-12-01T00:00:00"/>
    <s v="Non-selective"/>
    <s v="Does not have a sixth form"/>
    <s v="Does not apply"/>
    <s v="Does not apply"/>
    <s v="Non-denominational"/>
    <s v="West Midlands"/>
    <x v="1"/>
    <x v="10"/>
    <s v="Warley"/>
    <s v="B68 8NE"/>
    <n v="5"/>
    <n v="1449"/>
    <d v="2020-11-12T00:00:00"/>
    <d v="2020-12-06T00:00:00"/>
  </r>
  <r>
    <s v="Ofsted School Webpage"/>
    <n v="138390"/>
    <n v="8452001"/>
    <s v="Heron Park Primary Academy"/>
    <x v="0"/>
    <s v="Academy Sponsor Led"/>
    <d v="2012-09-01T00:00:00"/>
    <s v="Not applicable"/>
    <s v="Not applicable"/>
    <s v="Does not apply"/>
    <s v="None"/>
    <s v="Non-denominational"/>
    <s v="South East"/>
    <x v="2"/>
    <x v="80"/>
    <s v="Eastbourne"/>
    <s v="BN22 9EE"/>
    <n v="5"/>
    <n v="408"/>
    <d v="2020-11-12T00:00:00"/>
    <d v="2021-01-04T00:00:00"/>
  </r>
  <r>
    <s v="Ofsted School Webpage"/>
    <n v="145021"/>
    <n v="8022007"/>
    <s v="Dundry Church of England Primary School"/>
    <x v="0"/>
    <s v="Academy Sponsor Led"/>
    <d v="2016-06-01T00:00:00"/>
    <s v="Unknown"/>
    <s v="Not applicable"/>
    <s v="Church of England"/>
    <s v="None"/>
    <s v="Christian"/>
    <s v="South West"/>
    <x v="5"/>
    <x v="98"/>
    <s v="North Somerset"/>
    <s v="BS41 8JE"/>
    <n v="5"/>
    <n v="78"/>
    <d v="2020-11-12T00:00:00"/>
    <d v="2020-11-30T00:00:00"/>
  </r>
  <r>
    <s v="Ofsted School Webpage"/>
    <n v="142489"/>
    <n v="3172001"/>
    <s v="Avanti Court Primary School"/>
    <x v="0"/>
    <s v="Academy Converter"/>
    <d v="2015-12-01T00:00:00"/>
    <s v="Not applicable"/>
    <s v="Does not have a sixth form"/>
    <s v="Hindu"/>
    <s v="Does not apply"/>
    <s v="Hindu"/>
    <s v="London"/>
    <x v="3"/>
    <x v="143"/>
    <s v="Ilford North"/>
    <s v="IG6 1LZ"/>
    <n v="3"/>
    <n v="759"/>
    <d v="2020-11-12T00:00:00"/>
    <d v="2021-01-06T00:00:00"/>
  </r>
  <r>
    <s v="Ofsted School Webpage"/>
    <n v="142080"/>
    <n v="3364003"/>
    <s v="The Khalsa Academy Wolverhampton"/>
    <x v="1"/>
    <s v="Free School"/>
    <d v="2015-09-01T00:00:00"/>
    <s v="Unknown"/>
    <s v="Has a sixth form"/>
    <s v="None"/>
    <s v="Sikh"/>
    <s v="Non-denominational"/>
    <s v="West Midlands"/>
    <x v="1"/>
    <x v="1"/>
    <s v="Wolverhampton South East"/>
    <s v="WV4 6AP"/>
    <n v="5"/>
    <n v="618"/>
    <d v="2020-11-12T00:00:00"/>
    <d v="2020-12-07T00:00:00"/>
  </r>
  <r>
    <s v="Ofsted School Webpage"/>
    <n v="143143"/>
    <n v="9332024"/>
    <s v="Minerva Primary School"/>
    <x v="0"/>
    <s v="Academy Sponsor Led"/>
    <d v="2016-09-01T00:00:00"/>
    <s v="Not applicable"/>
    <s v="Does not have a sixth form"/>
    <s v="Does not apply"/>
    <s v="Unknown"/>
    <s v="Non-denominational"/>
    <s v="South West"/>
    <x v="5"/>
    <x v="34"/>
    <s v="Taunton Deane"/>
    <s v="TA1 2BU"/>
    <n v="5"/>
    <n v="166"/>
    <d v="2020-11-12T00:00:00"/>
    <d v="2020-11-30T00:00:00"/>
  </r>
  <r>
    <s v="Ofsted School Webpage"/>
    <n v="140590"/>
    <n v="3723338"/>
    <s v="St Joseph's Catholic Primary School"/>
    <x v="0"/>
    <s v="Academy Converter"/>
    <d v="2014-02-01T00:00:00"/>
    <s v="Not applicable"/>
    <s v="Does not have a sixth form"/>
    <s v="Roman Catholic"/>
    <s v="Does not apply"/>
    <s v="Christian"/>
    <s v="North East, Yorkshire and the Humber"/>
    <x v="0"/>
    <x v="0"/>
    <s v="Rother Valley"/>
    <s v="S25 2QD"/>
    <n v="5"/>
    <n v="160"/>
    <d v="2020-11-12T00:00:00"/>
    <d v="2020-12-13T00:00:00"/>
  </r>
  <r>
    <s v="Ofsted School Webpage"/>
    <n v="143117"/>
    <n v="8302023"/>
    <s v="Whitecotes Primary Academy"/>
    <x v="0"/>
    <s v="Academy Sponsor Led"/>
    <d v="2016-09-01T00:00:00"/>
    <s v="Not applicable"/>
    <s v="Does not have a sixth form"/>
    <s v="Does not apply"/>
    <s v="Unknown"/>
    <s v="Non-denominational"/>
    <s v="East Midlands"/>
    <x v="6"/>
    <x v="6"/>
    <s v="Chesterfield"/>
    <s v="S40 3HJ"/>
    <n v="5"/>
    <n v="169"/>
    <d v="2020-11-12T00:00:00"/>
    <d v="2020-12-08T00:00:00"/>
  </r>
  <r>
    <s v="Ofsted School Webpage"/>
    <n v="137794"/>
    <n v="9252009"/>
    <s v="Bracebridge Heath St John's Primary Academy"/>
    <x v="0"/>
    <s v="Academy Converter"/>
    <d v="2012-01-01T00:00:00"/>
    <s v="Not applicable"/>
    <s v="Not applicable"/>
    <s v="Does not apply"/>
    <s v="Does not apply"/>
    <s v="Non-denominational"/>
    <s v="East Midlands"/>
    <x v="6"/>
    <x v="18"/>
    <s v="Lincoln"/>
    <s v="LN4 2LD"/>
    <n v="2"/>
    <n v="398"/>
    <d v="2020-11-12T00:00:00"/>
    <d v="2020-12-13T00:00:00"/>
  </r>
  <r>
    <s v="Ofsted School Webpage"/>
    <n v="139142"/>
    <n v="9252122"/>
    <s v="Bracebridge Infant and Nursery School"/>
    <x v="0"/>
    <s v="Academy Converter"/>
    <d v="2013-01-01T00:00:00"/>
    <s v="Not applicable"/>
    <s v="Does not have a sixth form"/>
    <s v="Does not apply"/>
    <s v="Does not apply"/>
    <s v="Non-denominational"/>
    <s v="East Midlands"/>
    <x v="6"/>
    <x v="18"/>
    <s v="Lincoln"/>
    <s v="LN5 8QG"/>
    <n v="5"/>
    <n v="86"/>
    <d v="2020-11-12T00:00:00"/>
    <d v="2020-12-10T00:00:00"/>
  </r>
  <r>
    <s v="Ofsted School Webpage"/>
    <n v="101239"/>
    <n v="3013506"/>
    <s v="St Vincent's Catholic Primary School"/>
    <x v="0"/>
    <s v="Voluntary Aided School"/>
    <s v="NULL"/>
    <s v="Not applicable"/>
    <s v="Does not have a sixth form"/>
    <s v="Roman Catholic"/>
    <s v="Does not apply"/>
    <s v="Christian"/>
    <s v="London"/>
    <x v="3"/>
    <x v="118"/>
    <s v="Barking"/>
    <s v="RM8 2JN"/>
    <n v="4"/>
    <n v="232"/>
    <d v="2020-11-12T00:00:00"/>
    <d v="2021-01-17T00:00:00"/>
  </r>
  <r>
    <s v="Ofsted School Webpage"/>
    <n v="122743"/>
    <n v="8913018"/>
    <s v="All Hallows CofE Primary School"/>
    <x v="0"/>
    <s v="Voluntary Controlled School"/>
    <s v="NULL"/>
    <s v="Not applicable"/>
    <s v="Does not have a sixth form"/>
    <s v="Church of England"/>
    <s v="Does not apply"/>
    <s v="Christian"/>
    <s v="East Midlands"/>
    <x v="6"/>
    <x v="49"/>
    <s v="Gedling"/>
    <s v="NG4 3JZ"/>
    <n v="2"/>
    <n v="210"/>
    <d v="2020-11-12T00:00:00"/>
    <d v="2020-12-03T00:00:00"/>
  </r>
  <r>
    <s v="Ofsted School Webpage"/>
    <n v="118687"/>
    <n v="8863169"/>
    <s v="Guston Church of England Primary School"/>
    <x v="0"/>
    <s v="Voluntary Controlled School"/>
    <s v="NULL"/>
    <s v="Non-selective"/>
    <s v="Does not have a sixth form"/>
    <s v="Church of England"/>
    <s v="Does not apply"/>
    <s v="Christian"/>
    <s v="South East"/>
    <x v="2"/>
    <x v="7"/>
    <s v="Dover"/>
    <s v="CT15 5LR"/>
    <n v="3"/>
    <n v="162"/>
    <d v="2020-11-12T00:00:00"/>
    <d v="2020-12-17T00:00:00"/>
  </r>
  <r>
    <s v="Ofsted School Webpage"/>
    <n v="103957"/>
    <n v="3332148"/>
    <s v="Temple Meadow Primary School"/>
    <x v="0"/>
    <s v="Foundation School"/>
    <s v="NULL"/>
    <s v="Not applicable"/>
    <s v="Does not have a sixth form"/>
    <s v="Does not apply"/>
    <s v="Does not apply"/>
    <s v="Non-denominational"/>
    <s v="West Midlands"/>
    <x v="1"/>
    <x v="10"/>
    <s v="Halesowen and Rowley Regis"/>
    <s v="B64 6RH"/>
    <n v="5"/>
    <n v="405"/>
    <d v="2020-11-12T00:00:00"/>
    <d v="2020-12-01T00:00:00"/>
  </r>
  <r>
    <s v="Ofsted School Webpage"/>
    <n v="138799"/>
    <n v="3302038"/>
    <s v="Nansen Primary School"/>
    <x v="0"/>
    <s v="Academy Sponsor Led"/>
    <d v="2012-10-01T00:00:00"/>
    <s v="Not applicable"/>
    <s v="Not applicable"/>
    <s v="None"/>
    <s v="None"/>
    <s v="Non-denominational"/>
    <s v="West Midlands"/>
    <x v="1"/>
    <x v="8"/>
    <s v="Birmingham, Hodge Hill"/>
    <s v="B8 3HG"/>
    <n v="5"/>
    <n v="860"/>
    <d v="2020-11-12T00:00:00"/>
    <d v="2020-12-03T00:00:00"/>
  </r>
  <r>
    <s v="Ofsted School Webpage"/>
    <n v="109435"/>
    <n v="8222009"/>
    <s v="Castle Newnham School"/>
    <x v="0"/>
    <s v="Foundation School"/>
    <s v="NULL"/>
    <s v="Not applicable"/>
    <s v="Does not have a sixth form"/>
    <s v="None"/>
    <s v="Does not apply"/>
    <s v="Non-denominational"/>
    <s v="East of England"/>
    <x v="7"/>
    <x v="50"/>
    <s v="Bedford"/>
    <s v="MK40 3EP"/>
    <n v="2"/>
    <n v="679"/>
    <d v="2020-11-12T00:00:00"/>
    <d v="2020-12-06T00:00:00"/>
  </r>
  <r>
    <s v="Ofsted School Webpage"/>
    <n v="105203"/>
    <n v="3503000"/>
    <s v="St Mary's CofE Primary School, Deane"/>
    <x v="0"/>
    <s v="Voluntary Controlled School"/>
    <s v="NULL"/>
    <s v="Not applicable"/>
    <s v="Does not have a sixth form"/>
    <s v="Church of England"/>
    <s v="Does not apply"/>
    <s v="Christian"/>
    <s v="North West"/>
    <x v="4"/>
    <x v="116"/>
    <s v="Bolton West"/>
    <s v="BL3 4QP"/>
    <n v="5"/>
    <n v="466"/>
    <d v="2020-11-12T00:00:00"/>
    <d v="2020-12-01T00:00:00"/>
  </r>
  <r>
    <s v="Ofsted School Webpage"/>
    <n v="114951"/>
    <n v="8815276"/>
    <s v="Howbridge Infant School"/>
    <x v="0"/>
    <s v="Foundation School"/>
    <s v="NULL"/>
    <s v="Not applicable"/>
    <s v="Does not have a sixth form"/>
    <s v="None"/>
    <s v="Does not apply"/>
    <s v="Non-denominational"/>
    <s v="East of England"/>
    <x v="7"/>
    <x v="75"/>
    <s v="Witham"/>
    <s v="CM8 1DJ"/>
    <n v="3"/>
    <n v="255"/>
    <d v="2020-11-12T00:00:00"/>
    <d v="2020-12-06T00:00:00"/>
  </r>
  <r>
    <s v="Ofsted School Webpage"/>
    <n v="100197"/>
    <n v="2035200"/>
    <s v="Hawksmoor School"/>
    <x v="0"/>
    <s v="Foundation School"/>
    <s v="NULL"/>
    <s v="Not applicable"/>
    <s v="Does not have a sixth form"/>
    <s v="None"/>
    <s v="Does not apply"/>
    <s v="Non-denominational"/>
    <s v="London"/>
    <x v="3"/>
    <x v="121"/>
    <s v="Erith and Thamesmead"/>
    <s v="SE28 8AS"/>
    <n v="4"/>
    <n v="538"/>
    <d v="2020-11-12T00:00:00"/>
    <d v="2021-01-17T00:00:00"/>
  </r>
  <r>
    <s v="Ofsted School Webpage"/>
    <n v="131189"/>
    <n v="9381109"/>
    <s v="Chalkhill Education Centre, Chalkhill Hospital"/>
    <x v="3"/>
    <s v="Pupil Referral Unit"/>
    <d v="2006-01-03T00:00:00"/>
    <s v="Not applicable"/>
    <s v="Not applicable"/>
    <s v="Does not apply"/>
    <s v="Does not apply"/>
    <s v="Non-denominational"/>
    <s v="South East"/>
    <x v="2"/>
    <x v="55"/>
    <s v="Mid Sussex"/>
    <s v="RH16 4NQ"/>
    <s v="NULL"/>
    <n v="0"/>
    <d v="2020-11-12T00:00:00"/>
    <d v="2020-12-09T00:00:00"/>
  </r>
  <r>
    <s v="Ofsted School Webpage"/>
    <n v="130981"/>
    <n v="3841101"/>
    <s v="The Priory Centre"/>
    <x v="3"/>
    <s v="Pupil Referral Unit"/>
    <s v="NULL"/>
    <s v="Not applicable"/>
    <s v="Not applicable"/>
    <s v="Does not apply"/>
    <s v="Does not apply"/>
    <s v="Non-denominational"/>
    <s v="North East, Yorkshire and the Humber"/>
    <x v="0"/>
    <x v="47"/>
    <s v="Wakefield"/>
    <s v="WF2 8BB"/>
    <n v="4"/>
    <n v="54"/>
    <d v="2020-11-12T00:00:00"/>
    <d v="2020-12-09T00:00:00"/>
  </r>
  <r>
    <s v="Ofsted School Webpage"/>
    <n v="137035"/>
    <n v="3052011"/>
    <s v="Stewart Fleming Primary School"/>
    <x v="0"/>
    <s v="Academy Converter"/>
    <d v="2011-08-01T00:00:00"/>
    <s v="Not applicable"/>
    <s v="Not applicable"/>
    <s v="Does not apply"/>
    <s v="Does not apply"/>
    <s v="Non-denominational"/>
    <s v="London"/>
    <x v="3"/>
    <x v="105"/>
    <s v="Lewisham West and Penge"/>
    <s v="SE20 7YB"/>
    <n v="3"/>
    <n v="466"/>
    <d v="2020-11-12T00:00:00"/>
    <d v="2021-01-17T00:00:00"/>
  </r>
  <r>
    <s v="Ofsted School Webpage"/>
    <n v="140349"/>
    <n v="9362027"/>
    <s v="Cordwalles Junior School"/>
    <x v="0"/>
    <s v="Academy Sponsor Led"/>
    <d v="2013-12-01T00:00:00"/>
    <s v="Not applicable"/>
    <s v="Does not have a sixth form"/>
    <s v="Does not apply"/>
    <s v="None"/>
    <s v="Non-denominational"/>
    <s v="South East"/>
    <x v="2"/>
    <x v="21"/>
    <s v="Surrey Heath"/>
    <s v="GU15 4DR"/>
    <n v="4"/>
    <n v="211"/>
    <d v="2020-11-12T00:00:00"/>
    <d v="2021-01-04T00:00:00"/>
  </r>
  <r>
    <s v="Ofsted School Webpage"/>
    <n v="137065"/>
    <n v="3834065"/>
    <s v="Co-op Academy Leeds"/>
    <x v="1"/>
    <s v="Academy Sponsor Led"/>
    <d v="2012-09-01T00:00:00"/>
    <s v="Non-selective"/>
    <s v="Has a sixth form"/>
    <s v="Does not apply"/>
    <s v="None"/>
    <s v="Non-denominational"/>
    <s v="North East, Yorkshire and the Humber"/>
    <x v="0"/>
    <x v="26"/>
    <s v="Leeds Central"/>
    <s v="LS9 7HD"/>
    <n v="5"/>
    <n v="932"/>
    <d v="2020-11-12T00:00:00"/>
    <d v="2020-12-06T00:00:00"/>
  </r>
  <r>
    <s v="Ofsted School Webpage"/>
    <n v="103623"/>
    <n v="3307047"/>
    <s v="Springfield House Community Special School"/>
    <x v="2"/>
    <s v="Community Special School"/>
    <s v="NULL"/>
    <s v="Not applicable"/>
    <s v="Not applicable"/>
    <s v="Does not apply"/>
    <s v="Does not apply"/>
    <s v="Non-denominational"/>
    <s v="West Midlands"/>
    <x v="1"/>
    <x v="8"/>
    <s v="Meriden"/>
    <s v="B93 0AJ"/>
    <n v="5"/>
    <n v="96"/>
    <d v="2020-11-12T00:00:00"/>
    <d v="2020-12-16T00:00:00"/>
  </r>
  <r>
    <s v="Ofsted School Webpage"/>
    <n v="141548"/>
    <n v="8862055"/>
    <s v="Lansdowne Primary School"/>
    <x v="0"/>
    <s v="Academy Sponsor Led"/>
    <d v="2014-11-01T00:00:00"/>
    <s v="Not applicable"/>
    <s v="Does not have a sixth form"/>
    <s v="Does not apply"/>
    <s v="None"/>
    <s v="Non-denominational"/>
    <s v="South East"/>
    <x v="2"/>
    <x v="7"/>
    <s v="Sittingbourne and Sheppey"/>
    <s v="ME10 3BH"/>
    <n v="4"/>
    <n v="411"/>
    <d v="2020-11-12T00:00:00"/>
    <d v="2021-01-17T00:00:00"/>
  </r>
  <r>
    <s v="Ofsted School Webpage"/>
    <n v="114706"/>
    <n v="8812003"/>
    <s v="Hamilton Primary School"/>
    <x v="0"/>
    <s v="Community School"/>
    <s v="NULL"/>
    <s v="Not applicable"/>
    <s v="Does not have a sixth form"/>
    <s v="Does not apply"/>
    <s v="Does not apply"/>
    <s v="Non-denominational"/>
    <s v="East of England"/>
    <x v="7"/>
    <x v="75"/>
    <s v="Colchester"/>
    <s v="CO3 3GB"/>
    <n v="2"/>
    <n v="421"/>
    <d v="2020-11-12T00:00:00"/>
    <d v="2020-12-10T00:00:00"/>
  </r>
  <r>
    <s v="Ofsted School Webpage"/>
    <n v="121310"/>
    <n v="8152083"/>
    <s v="Osmotherley Primary School"/>
    <x v="0"/>
    <s v="Community School"/>
    <s v="NULL"/>
    <s v="Not applicable"/>
    <s v="Does not have a sixth form"/>
    <s v="Does not apply"/>
    <s v="Does not apply"/>
    <s v="Non-denominational"/>
    <s v="North East, Yorkshire and the Humber"/>
    <x v="0"/>
    <x v="60"/>
    <s v="Richmond (Yorks)"/>
    <s v="DL6 3BW"/>
    <n v="1"/>
    <n v="42"/>
    <d v="2020-11-12T00:00:00"/>
    <d v="2020-12-08T00:00:00"/>
  </r>
  <r>
    <s v="Ofsted School Webpage"/>
    <n v="121901"/>
    <n v="9282144"/>
    <s v="Meadowside Primary School"/>
    <x v="0"/>
    <s v="Community School"/>
    <s v="NULL"/>
    <s v="Not applicable"/>
    <s v="Does not have a sixth form"/>
    <s v="Does not apply"/>
    <s v="Does not apply"/>
    <s v="Non-denominational"/>
    <s v="East Midlands"/>
    <x v="6"/>
    <x v="64"/>
    <s v="Kettering"/>
    <s v="NN15 5QY"/>
    <n v="3"/>
    <n v="372"/>
    <d v="2020-11-12T00:00:00"/>
    <d v="2020-12-01T00:00:00"/>
  </r>
  <r>
    <s v="Ofsted School Webpage"/>
    <n v="134788"/>
    <n v="8653464"/>
    <s v="Old Sarum Primary School"/>
    <x v="0"/>
    <s v="Community School"/>
    <d v="2011-09-01T00:00:00"/>
    <s v="Not applicable"/>
    <s v="Does not have a sixth form"/>
    <s v="Does not apply"/>
    <s v="Does not apply"/>
    <s v="Non-denominational"/>
    <s v="South West"/>
    <x v="5"/>
    <x v="125"/>
    <s v="Salisbury"/>
    <s v="SP4 6GH"/>
    <n v="3"/>
    <n v="257"/>
    <d v="2020-11-12T00:00:00"/>
    <d v="2020-12-07T00:00:00"/>
  </r>
  <r>
    <s v="Ofsted School Webpage"/>
    <n v="100407"/>
    <n v="2062279"/>
    <s v="Hanover Primary School"/>
    <x v="0"/>
    <s v="Community School"/>
    <s v="NULL"/>
    <s v="Not applicable"/>
    <s v="Does not have a sixth form"/>
    <s v="Does not apply"/>
    <s v="Does not apply"/>
    <s v="Non-denominational"/>
    <s v="London"/>
    <x v="3"/>
    <x v="70"/>
    <s v="Islington South and Finsbury"/>
    <s v="N1 8BD"/>
    <n v="5"/>
    <n v="329"/>
    <d v="2020-11-12T00:00:00"/>
    <d v="2021-01-17T00:00:00"/>
  </r>
  <r>
    <s v="Ofsted School Webpage"/>
    <n v="105788"/>
    <n v="3542043"/>
    <s v="Moorhouse Primary School"/>
    <x v="0"/>
    <s v="Community School"/>
    <s v="NULL"/>
    <s v="Not applicable"/>
    <s v="Does not have a sixth form"/>
    <s v="Does not apply"/>
    <s v="Does not apply"/>
    <s v="Non-denominational"/>
    <s v="North West"/>
    <x v="4"/>
    <x v="9"/>
    <s v="Rochdale"/>
    <s v="OL16 4DR"/>
    <n v="5"/>
    <n v="250"/>
    <d v="2020-11-12T00:00:00"/>
    <d v="2020-12-14T00:00:00"/>
  </r>
  <r>
    <s v="Ofsted School Webpage"/>
    <n v="125931"/>
    <n v="9382202"/>
    <s v="London Meed Community Primary School"/>
    <x v="0"/>
    <s v="Community School"/>
    <s v="NULL"/>
    <s v="Not applicable"/>
    <s v="Does not have a sixth form"/>
    <s v="Does not apply"/>
    <s v="Does not apply"/>
    <s v="Non-denominational"/>
    <s v="South East"/>
    <x v="2"/>
    <x v="55"/>
    <s v="Mid Sussex"/>
    <s v="RH15 9YQ"/>
    <n v="1"/>
    <n v="392"/>
    <d v="2020-11-12T00:00:00"/>
    <d v="2021-01-13T00:00:00"/>
  </r>
  <r>
    <s v="Ofsted School Webpage"/>
    <n v="117733"/>
    <n v="8122113"/>
    <s v="Queen Mary Avenue Infant School"/>
    <x v="0"/>
    <s v="Community School"/>
    <s v="NULL"/>
    <s v="Not applicable"/>
    <s v="Does not have a sixth form"/>
    <s v="Does not apply"/>
    <s v="Does not apply"/>
    <s v="Non-denominational"/>
    <s v="North East, Yorkshire and the Humber"/>
    <x v="0"/>
    <x v="138"/>
    <s v="Cleethorpes"/>
    <s v="DN35 7SY"/>
    <n v="5"/>
    <n v="312"/>
    <d v="2020-11-12T00:00:00"/>
    <d v="2020-12-06T00:00:00"/>
  </r>
  <r>
    <s v="Ofsted School Webpage"/>
    <n v="104775"/>
    <n v="3422056"/>
    <s v="Newton-le-Willows Primary School"/>
    <x v="0"/>
    <s v="Community School"/>
    <s v="NULL"/>
    <s v="Not applicable"/>
    <s v="Does not have a sixth form"/>
    <s v="Does not apply"/>
    <s v="Does not apply"/>
    <s v="Non-denominational"/>
    <s v="North West"/>
    <x v="4"/>
    <x v="95"/>
    <s v="St Helens North"/>
    <s v="WA12 9UF"/>
    <n v="4"/>
    <n v="600"/>
    <d v="2020-11-12T00:00:00"/>
    <d v="2020-12-13T00:00:00"/>
  </r>
  <r>
    <s v="Ofsted School Webpage"/>
    <n v="116078"/>
    <n v="8502387"/>
    <s v="Norwood Primary School"/>
    <x v="0"/>
    <s v="Community School"/>
    <s v="NULL"/>
    <s v="Not applicable"/>
    <s v="Does not have a sixth form"/>
    <s v="Does not apply"/>
    <s v="Does not apply"/>
    <s v="Non-denominational"/>
    <s v="South East"/>
    <x v="2"/>
    <x v="2"/>
    <s v="Eastleigh"/>
    <s v="SO50 5JL"/>
    <n v="3"/>
    <n v="401"/>
    <d v="2020-11-12T00:00:00"/>
    <d v="2020-12-02T00:00:00"/>
  </r>
  <r>
    <s v="Ofsted School Webpage"/>
    <n v="104863"/>
    <n v="3432035"/>
    <s v="Farnborough Road Infant School"/>
    <x v="0"/>
    <s v="Community School"/>
    <s v="NULL"/>
    <s v="Not applicable"/>
    <s v="Does not have a sixth form"/>
    <s v="Does not apply"/>
    <s v="Does not apply"/>
    <s v="Non-denominational"/>
    <s v="North West"/>
    <x v="4"/>
    <x v="93"/>
    <s v="Southport"/>
    <s v="PR8 3DF"/>
    <n v="3"/>
    <n v="464"/>
    <d v="2020-11-12T00:00:00"/>
    <d v="2020-12-03T00:00:00"/>
  </r>
  <r>
    <s v="Ofsted School Webpage"/>
    <n v="131505"/>
    <n v="9192005"/>
    <s v="Featherstone Wood Primary School"/>
    <x v="0"/>
    <s v="Community School"/>
    <d v="1998-09-01T00:00:00"/>
    <s v="Not applicable"/>
    <s v="Does not have a sixth form"/>
    <s v="Does not apply"/>
    <s v="Does not apply"/>
    <s v="Non-denominational"/>
    <s v="East of England"/>
    <x v="7"/>
    <x v="56"/>
    <s v="Stevenage"/>
    <s v="SG2 9PP"/>
    <n v="4"/>
    <n v="189"/>
    <d v="2020-11-12T00:00:00"/>
    <d v="2020-12-06T00:00:00"/>
  </r>
  <r>
    <s v="Ofsted School Webpage"/>
    <n v="109920"/>
    <n v="8702226"/>
    <s v="Katesgrove Primary School"/>
    <x v="0"/>
    <s v="Community School"/>
    <s v="NULL"/>
    <s v="Not applicable"/>
    <s v="Does not have a sixth form"/>
    <s v="Does not apply"/>
    <s v="Does not apply"/>
    <s v="Non-denominational"/>
    <s v="South East"/>
    <x v="2"/>
    <x v="86"/>
    <s v="Reading East"/>
    <s v="RG1 2NL"/>
    <n v="3"/>
    <n v="664"/>
    <d v="2020-11-12T00:00:00"/>
    <d v="2020-11-30T00:00:00"/>
  </r>
  <r>
    <s v="Ofsted School Webpage"/>
    <n v="124008"/>
    <n v="8612075"/>
    <s v="Clarice Cliff Primary School"/>
    <x v="0"/>
    <s v="Community School"/>
    <s v="NULL"/>
    <s v="Not applicable"/>
    <s v="Does not have a sixth form"/>
    <s v="Does not apply"/>
    <s v="Does not apply"/>
    <s v="Non-denominational"/>
    <s v="West Midlands"/>
    <x v="1"/>
    <x v="45"/>
    <s v="Stoke-on-Trent South"/>
    <s v="ST4 3DP"/>
    <n v="5"/>
    <n v="437"/>
    <d v="2020-11-12T00:00:00"/>
    <d v="2020-12-03T00:00:00"/>
  </r>
  <r>
    <s v="Ofsted School Webpage"/>
    <n v="113250"/>
    <n v="8782604"/>
    <s v="Gulworthy Primary School"/>
    <x v="0"/>
    <s v="Community School"/>
    <s v="NULL"/>
    <s v="Not applicable"/>
    <s v="Does not have a sixth form"/>
    <s v="Does not apply"/>
    <s v="Does not apply"/>
    <s v="Non-denominational"/>
    <s v="South West"/>
    <x v="5"/>
    <x v="62"/>
    <s v="Torridge and West Devon"/>
    <s v="PL19 8JA"/>
    <n v="3"/>
    <n v="75"/>
    <d v="2020-11-12T00:00:00"/>
    <d v="2020-12-01T00:00:00"/>
  </r>
  <r>
    <s v="Ofsted School Webpage"/>
    <n v="121013"/>
    <n v="9262411"/>
    <s v="Downham Market, Hillcrest Primary School"/>
    <x v="0"/>
    <s v="Community School"/>
    <s v="NULL"/>
    <s v="Not applicable"/>
    <s v="Does not have a sixth form"/>
    <s v="Does not apply"/>
    <s v="Does not apply"/>
    <s v="Non-denominational"/>
    <s v="East of England"/>
    <x v="7"/>
    <x v="33"/>
    <s v="South West Norfolk"/>
    <s v="PE38 9ND"/>
    <n v="3"/>
    <n v="507"/>
    <d v="2020-11-12T00:00:00"/>
    <d v="2020-12-06T00:00:00"/>
  </r>
  <r>
    <s v="Ofsted School Webpage"/>
    <n v="121326"/>
    <n v="8152150"/>
    <s v="Alanbrooke School"/>
    <x v="0"/>
    <s v="Community School"/>
    <d v="1899-12-31T00:00:00"/>
    <s v="Not applicable"/>
    <s v="Does not have a sixth form"/>
    <s v="Does not apply"/>
    <s v="Does not apply"/>
    <s v="Non-denominational"/>
    <s v="North East, Yorkshire and the Humber"/>
    <x v="0"/>
    <x v="60"/>
    <s v="Thirsk and Malton"/>
    <s v="YO7 3SF"/>
    <n v="1"/>
    <n v="62"/>
    <d v="2020-11-12T00:00:00"/>
    <d v="2021-01-17T00:00:00"/>
  </r>
  <r>
    <s v="Ofsted School Webpage"/>
    <n v="117367"/>
    <n v="9192468"/>
    <s v="Burleigh Primary School"/>
    <x v="0"/>
    <s v="Community School"/>
    <s v="NULL"/>
    <s v="Not applicable"/>
    <s v="Does not have a sixth form"/>
    <s v="Does not apply"/>
    <s v="Does not apply"/>
    <s v="Non-denominational"/>
    <s v="East of England"/>
    <x v="7"/>
    <x v="56"/>
    <s v="Broxbourne"/>
    <s v="EN8 9DP"/>
    <n v="4"/>
    <n v="415"/>
    <d v="2020-11-12T00:00:00"/>
    <d v="2020-12-14T00:00:00"/>
  </r>
  <r>
    <s v="Ofsted School Webpage"/>
    <n v="112736"/>
    <n v="8312432"/>
    <s v="Brackensdale Primary School"/>
    <x v="0"/>
    <s v="Community School"/>
    <s v="NULL"/>
    <s v="Not applicable"/>
    <s v="Does not have a sixth form"/>
    <s v="Does not apply"/>
    <s v="Does not apply"/>
    <s v="Non-denominational"/>
    <s v="East Midlands"/>
    <x v="6"/>
    <x v="69"/>
    <s v="Derby North"/>
    <s v="DE22 4BS"/>
    <n v="4"/>
    <n v="489"/>
    <d v="2020-11-12T00:00:00"/>
    <d v="2020-12-02T00:00:00"/>
  </r>
  <r>
    <s v="Ofsted School Webpage"/>
    <n v="117459"/>
    <n v="9193373"/>
    <s v="Long Marston VA Church of England Primary School"/>
    <x v="0"/>
    <s v="Voluntary Aided School"/>
    <s v="NULL"/>
    <s v="Not applicable"/>
    <s v="Does not have a sixth form"/>
    <s v="Church of England"/>
    <s v="Does not apply"/>
    <s v="Christian"/>
    <s v="East of England"/>
    <x v="7"/>
    <x v="56"/>
    <s v="South West Hertfordshire"/>
    <s v="HP23 4QS"/>
    <n v="2"/>
    <n v="134"/>
    <d v="2020-11-12T00:00:00"/>
    <d v="2020-12-06T00:00:00"/>
  </r>
  <r>
    <s v="Ofsted School Webpage"/>
    <n v="104481"/>
    <n v="3403358"/>
    <s v="St Margaret Mary's Catholic Infant School"/>
    <x v="0"/>
    <s v="Voluntary Aided School"/>
    <s v="NULL"/>
    <s v="Not applicable"/>
    <s v="Does not have a sixth form"/>
    <s v="Roman Catholic"/>
    <s v="Does not apply"/>
    <s v="Christian"/>
    <s v="North West"/>
    <x v="4"/>
    <x v="63"/>
    <s v="Knowsley"/>
    <s v="L14 0JG"/>
    <n v="5"/>
    <n v="438"/>
    <d v="2020-11-12T00:00:00"/>
    <d v="2020-12-10T00:00:00"/>
  </r>
  <r>
    <s v="Ofsted School Webpage"/>
    <n v="108002"/>
    <n v="3833053"/>
    <s v="Middleton St Mary's Church of England Voluntary Controlled Primary School"/>
    <x v="0"/>
    <s v="Voluntary Controlled School"/>
    <s v="NULL"/>
    <s v="Not applicable"/>
    <s v="Does not have a sixth form"/>
    <s v="Church of England"/>
    <s v="Does not apply"/>
    <s v="Christian"/>
    <s v="North East, Yorkshire and the Humber"/>
    <x v="0"/>
    <x v="26"/>
    <s v="Leeds Central"/>
    <s v="LS10 3SW"/>
    <n v="5"/>
    <n v="442"/>
    <d v="2020-11-12T00:00:00"/>
    <d v="2020-12-03T00:00:00"/>
  </r>
  <r>
    <s v="Ofsted School Webpage"/>
    <n v="108011"/>
    <n v="3833357"/>
    <s v="Collingham Lady Elizabeth Hastings' Church of England Primary School"/>
    <x v="0"/>
    <s v="Voluntary Aided School"/>
    <s v="NULL"/>
    <s v="Not applicable"/>
    <s v="Does not have a sixth form"/>
    <s v="Church of England"/>
    <s v="Does not apply"/>
    <s v="Christian"/>
    <s v="North East, Yorkshire and the Humber"/>
    <x v="0"/>
    <x v="26"/>
    <s v="Elmet and Rothwell"/>
    <s v="LS22 5BS"/>
    <n v="1"/>
    <n v="203"/>
    <d v="2020-11-12T00:00:00"/>
    <d v="2020-12-09T00:00:00"/>
  </r>
  <r>
    <s v="Ofsted School Webpage"/>
    <n v="100582"/>
    <n v="2082902"/>
    <s v="Stockwell Primary School"/>
    <x v="0"/>
    <s v="Community School"/>
    <s v="NULL"/>
    <s v="Not applicable"/>
    <s v="Does not have a sixth form"/>
    <s v="Does not apply"/>
    <s v="Does not apply"/>
    <s v="Non-denominational"/>
    <s v="London"/>
    <x v="3"/>
    <x v="134"/>
    <s v="Vauxhall"/>
    <s v="SW9 9TG"/>
    <n v="5"/>
    <n v="591"/>
    <d v="2020-11-12T00:00:00"/>
    <d v="2020-12-13T00:00:00"/>
  </r>
  <r>
    <s v="Ofsted School Webpage"/>
    <n v="111964"/>
    <n v="9082719"/>
    <s v="St Neot Community Primary School"/>
    <x v="0"/>
    <s v="Community School"/>
    <s v="NULL"/>
    <s v="Not applicable"/>
    <s v="Does not have a sixth form"/>
    <s v="Does not apply"/>
    <s v="Does not apply"/>
    <s v="Non-denominational"/>
    <s v="South West"/>
    <x v="5"/>
    <x v="42"/>
    <s v="South East Cornwall"/>
    <s v="PL14 6NL"/>
    <n v="3"/>
    <n v="97"/>
    <d v="2020-11-12T00:00:00"/>
    <d v="2020-11-30T00:00:00"/>
  </r>
  <r>
    <s v="Ofsted School Webpage"/>
    <n v="115999"/>
    <n v="8502266"/>
    <s v="Poulner Junior School"/>
    <x v="0"/>
    <s v="Community School"/>
    <s v="NULL"/>
    <s v="Not applicable"/>
    <s v="Does not have a sixth form"/>
    <s v="Does not apply"/>
    <s v="Does not apply"/>
    <s v="Non-denominational"/>
    <s v="South East"/>
    <x v="2"/>
    <x v="2"/>
    <s v="New Forest West"/>
    <s v="BH24 3LA"/>
    <n v="1"/>
    <n v="324"/>
    <d v="2020-11-12T00:00:00"/>
    <d v="2020-12-10T00:00:00"/>
  </r>
  <r>
    <s v="Ofsted School Webpage"/>
    <n v="116733"/>
    <n v="8852141"/>
    <s v="Roman Way First School"/>
    <x v="0"/>
    <s v="Community School"/>
    <s v="NULL"/>
    <s v="Not applicable"/>
    <s v="Does not have a sixth form"/>
    <s v="Does not apply"/>
    <s v="Does not apply"/>
    <s v="Non-denominational"/>
    <s v="West Midlands"/>
    <x v="1"/>
    <x v="89"/>
    <s v="Redditch"/>
    <s v="B98 0LH"/>
    <n v="4"/>
    <n v="188"/>
    <d v="2020-11-17T00:00:00"/>
    <d v="2020-12-13T00:00:00"/>
  </r>
  <r>
    <s v="Ofsted School Webpage"/>
    <n v="116106"/>
    <n v="8522428"/>
    <s v="St Monica Primary School"/>
    <x v="0"/>
    <s v="Community School"/>
    <s v="NULL"/>
    <s v="Not applicable"/>
    <s v="Does not have a sixth form"/>
    <s v="Does not apply"/>
    <s v="Does not apply"/>
    <s v="Non-denominational"/>
    <s v="South East"/>
    <x v="2"/>
    <x v="76"/>
    <s v="Southampton, Itchen"/>
    <s v="SO19 8EZ"/>
    <n v="4"/>
    <n v="540"/>
    <d v="2020-11-17T00:00:00"/>
    <d v="2021-01-17T00:00:00"/>
  </r>
  <r>
    <s v="Ofsted School Webpage"/>
    <n v="106206"/>
    <n v="3572042"/>
    <s v="Russell Scott Primary School"/>
    <x v="0"/>
    <s v="Community School"/>
    <s v="NULL"/>
    <s v="Not applicable"/>
    <s v="Does not have a sixth form"/>
    <s v="Does not apply"/>
    <s v="Does not apply"/>
    <s v="Non-denominational"/>
    <s v="North West"/>
    <x v="4"/>
    <x v="139"/>
    <s v="Denton and Reddish"/>
    <s v="M34 3LQ"/>
    <n v="4"/>
    <n v="466"/>
    <d v="2020-11-17T00:00:00"/>
    <d v="2020-12-15T00:00:00"/>
  </r>
  <r>
    <s v="Ofsted School Webpage"/>
    <n v="116779"/>
    <n v="8852917"/>
    <s v="Witton Middle School"/>
    <x v="0"/>
    <s v="Community School"/>
    <s v="NULL"/>
    <s v="Not applicable"/>
    <s v="Does not have a sixth form"/>
    <s v="Does not apply"/>
    <s v="Does not apply"/>
    <s v="Non-denominational"/>
    <s v="West Midlands"/>
    <x v="1"/>
    <x v="89"/>
    <s v="Mid Worcestershire"/>
    <s v="WR9 8BD"/>
    <n v="2"/>
    <n v="407"/>
    <d v="2020-11-17T00:00:00"/>
    <d v="2021-01-05T00:00:00"/>
  </r>
  <r>
    <s v="Ofsted School Webpage"/>
    <n v="131930"/>
    <n v="3172073"/>
    <s v="South Park Primary School"/>
    <x v="0"/>
    <s v="Community School"/>
    <d v="2000-01-01T00:00:00"/>
    <s v="Not applicable"/>
    <s v="Does not have a sixth form"/>
    <s v="Does not apply"/>
    <s v="Does not apply"/>
    <s v="Non-denominational"/>
    <s v="London"/>
    <x v="3"/>
    <x v="143"/>
    <s v="Ilford South"/>
    <s v="IG3 9HF"/>
    <n v="3"/>
    <n v="684"/>
    <d v="2020-11-17T00:00:00"/>
    <d v="2020-12-06T00:00:00"/>
  </r>
  <r>
    <s v="Ofsted School Webpage"/>
    <n v="120297"/>
    <n v="8564273"/>
    <s v="The City of Leicester College"/>
    <x v="1"/>
    <s v="Community School"/>
    <s v="NULL"/>
    <s v="Non-selective"/>
    <s v="Has a sixth form"/>
    <s v="Does not apply"/>
    <s v="Does not apply"/>
    <s v="Non-denominational"/>
    <s v="East Midlands"/>
    <x v="6"/>
    <x v="79"/>
    <s v="Leicester East"/>
    <s v="LE5 6LN"/>
    <n v="4"/>
    <n v="1732"/>
    <d v="2020-11-17T00:00:00"/>
    <d v="2021-01-13T00:00:00"/>
  </r>
  <r>
    <s v="Ofsted School Webpage"/>
    <n v="110691"/>
    <n v="8742223"/>
    <s v="Southfields Primary School"/>
    <x v="0"/>
    <s v="Community School"/>
    <s v="NULL"/>
    <s v="Not applicable"/>
    <s v="Does not have a sixth form"/>
    <s v="Does not apply"/>
    <s v="Does not apply"/>
    <s v="Non-denominational"/>
    <s v="East of England"/>
    <x v="7"/>
    <x v="13"/>
    <s v="North West Cambridgeshire"/>
    <s v="PE2 8PU"/>
    <n v="4"/>
    <n v="616"/>
    <d v="2020-11-17T00:00:00"/>
    <d v="2021-01-04T00:00:00"/>
  </r>
  <r>
    <s v="Ofsted School Webpage"/>
    <n v="103100"/>
    <n v="3204066"/>
    <s v="Willowfield School"/>
    <x v="1"/>
    <s v="Community School"/>
    <s v="NULL"/>
    <s v="Non-selective"/>
    <s v="Does not have a sixth form"/>
    <s v="Does not apply"/>
    <s v="Does not apply"/>
    <s v="Non-denominational"/>
    <s v="London"/>
    <x v="3"/>
    <x v="124"/>
    <s v="Walthamstow"/>
    <s v="E17 6ND"/>
    <n v="4"/>
    <n v="873"/>
    <d v="2020-11-17T00:00:00"/>
    <d v="2021-01-13T00:00:00"/>
  </r>
  <r>
    <s v="Ofsted School Webpage"/>
    <n v="134236"/>
    <n v="3712032"/>
    <s v="The Woodlands Primary School"/>
    <x v="0"/>
    <s v="Community School"/>
    <d v="2003-09-01T00:00:00"/>
    <s v="Not applicable"/>
    <s v="Does not have a sixth form"/>
    <s v="Does not apply"/>
    <s v="Does not apply"/>
    <s v="Non-denominational"/>
    <s v="North East, Yorkshire and the Humber"/>
    <x v="0"/>
    <x v="68"/>
    <s v="Doncaster North"/>
    <s v="DN6 7RG"/>
    <n v="5"/>
    <n v="416"/>
    <d v="2020-11-17T00:00:00"/>
    <d v="2020-12-13T00:00:00"/>
  </r>
  <r>
    <s v="Ofsted School Webpage"/>
    <n v="103326"/>
    <n v="3302306"/>
    <s v="Water Mill Primary School"/>
    <x v="0"/>
    <s v="Community School"/>
    <s v="NULL"/>
    <s v="Not applicable"/>
    <s v="Not applicable"/>
    <s v="Does not apply"/>
    <s v="Does not apply"/>
    <s v="Non-denominational"/>
    <s v="West Midlands"/>
    <x v="1"/>
    <x v="8"/>
    <s v="Birmingham, Selly Oak"/>
    <s v="B29 6TS"/>
    <n v="4"/>
    <n v="199"/>
    <d v="2020-11-17T00:00:00"/>
    <d v="2020-12-09T00:00:00"/>
  </r>
  <r>
    <s v="Ofsted School Webpage"/>
    <n v="119380"/>
    <n v="8883085"/>
    <s v="Bamber Bridge St Aidan's Church of England Primary School"/>
    <x v="0"/>
    <s v="Voluntary Controlled School"/>
    <s v="NULL"/>
    <s v="Not applicable"/>
    <s v="Does not have a sixth form"/>
    <s v="Church of England"/>
    <s v="Does not apply"/>
    <s v="Christian"/>
    <s v="North West"/>
    <x v="4"/>
    <x v="27"/>
    <s v="Ribble Valley"/>
    <s v="PR5 6GX"/>
    <n v="4"/>
    <n v="131"/>
    <d v="2020-11-17T00:00:00"/>
    <d v="2021-01-17T00:00:00"/>
  </r>
  <r>
    <s v="Ofsted School Webpage"/>
    <n v="104459"/>
    <n v="3403314"/>
    <s v="Our Lady's Catholic Primary School"/>
    <x v="0"/>
    <s v="Voluntary Aided School"/>
    <s v="NULL"/>
    <s v="Not applicable"/>
    <s v="Does not have a sixth form"/>
    <s v="Roman Catholic"/>
    <s v="Does not apply"/>
    <s v="Christian"/>
    <s v="North West"/>
    <x v="4"/>
    <x v="63"/>
    <s v="Knowsley"/>
    <s v="L34 6JJ"/>
    <n v="4"/>
    <n v="238"/>
    <d v="2020-11-17T00:00:00"/>
    <d v="2020-12-17T00:00:00"/>
  </r>
  <r>
    <s v="Ofsted School Webpage"/>
    <n v="119461"/>
    <n v="8883386"/>
    <s v="Bretherton Endowed Church of England Voluntary Aided Primary School"/>
    <x v="0"/>
    <s v="Voluntary Aided School"/>
    <s v="NULL"/>
    <s v="Not applicable"/>
    <s v="Does not have a sixth form"/>
    <s v="Church of England"/>
    <s v="Does not apply"/>
    <s v="Christian"/>
    <s v="North West"/>
    <x v="4"/>
    <x v="27"/>
    <s v="South Ribble"/>
    <s v="PR26 9AH"/>
    <n v="1"/>
    <n v="107"/>
    <d v="2020-11-17T00:00:00"/>
    <d v="2020-12-13T00:00:00"/>
  </r>
  <r>
    <s v="Ofsted School Webpage"/>
    <n v="107745"/>
    <n v="3823329"/>
    <s v="Kirkburton Church of England Voluntary Aided First School"/>
    <x v="0"/>
    <s v="Voluntary Aided School"/>
    <s v="NULL"/>
    <s v="Not applicable"/>
    <s v="Does not have a sixth form"/>
    <s v="Church of England"/>
    <s v="Does not apply"/>
    <s v="Christian"/>
    <s v="North East, Yorkshire and the Humber"/>
    <x v="0"/>
    <x v="104"/>
    <s v="Dewsbury"/>
    <s v="HD8 0SG"/>
    <n v="2"/>
    <n v="147"/>
    <d v="2020-11-17T00:00:00"/>
    <d v="2020-12-09T00:00:00"/>
  </r>
  <r>
    <s v="Ofsted School Webpage"/>
    <n v="116359"/>
    <n v="8503341"/>
    <s v="Hatherden Church of England Primary School"/>
    <x v="0"/>
    <s v="Voluntary Aided School"/>
    <s v="NULL"/>
    <s v="Non-selective"/>
    <s v="Does not have a sixth form"/>
    <s v="Church of England"/>
    <s v="Does not apply"/>
    <s v="Christian"/>
    <s v="South East"/>
    <x v="2"/>
    <x v="2"/>
    <s v="North West Hampshire"/>
    <s v="SP11 0HT"/>
    <n v="2"/>
    <n v="68"/>
    <d v="2020-11-17T00:00:00"/>
    <d v="2020-12-14T00:00:00"/>
  </r>
  <r>
    <s v="Ofsted School Webpage"/>
    <n v="124762"/>
    <n v="9353308"/>
    <s v="St Edmundsbury Church of England Voluntary Aided Primary School"/>
    <x v="0"/>
    <s v="Voluntary Aided School"/>
    <s v="NULL"/>
    <s v="Not applicable"/>
    <s v="Does not have a sixth form"/>
    <s v="Church of England"/>
    <s v="Does not apply"/>
    <s v="Christian"/>
    <s v="East of England"/>
    <x v="7"/>
    <x v="14"/>
    <s v="Bury St Edmunds"/>
    <s v="IP33 3BJ"/>
    <n v="3"/>
    <n v="283"/>
    <d v="2020-11-17T00:00:00"/>
    <d v="2020-12-17T00:00:00"/>
  </r>
  <r>
    <s v="Ofsted School Webpage"/>
    <n v="134019"/>
    <n v="3313436"/>
    <s v="Charter Primary School"/>
    <x v="0"/>
    <s v="Community School"/>
    <d v="2003-09-01T00:00:00"/>
    <s v="Not applicable"/>
    <s v="Does not have a sixth form"/>
    <s v="Does not apply"/>
    <s v="Does not apply"/>
    <s v="Non-denominational"/>
    <s v="West Midlands"/>
    <x v="1"/>
    <x v="15"/>
    <s v="Coventry South"/>
    <s v="CV4 8DW"/>
    <n v="5"/>
    <n v="324"/>
    <d v="2020-11-17T00:00:00"/>
    <d v="2020-12-14T00:00:00"/>
  </r>
  <r>
    <s v="Ofsted School Webpage"/>
    <n v="110606"/>
    <n v="8732010"/>
    <s v="Fen Drayton Primary School"/>
    <x v="0"/>
    <s v="Community School"/>
    <s v="NULL"/>
    <s v="Not applicable"/>
    <s v="Does not have a sixth form"/>
    <s v="Does not apply"/>
    <s v="Does not apply"/>
    <s v="Non-denominational"/>
    <s v="East of England"/>
    <x v="7"/>
    <x v="43"/>
    <s v="South Cambridgeshire"/>
    <s v="CB24 4SL"/>
    <n v="1"/>
    <n v="89"/>
    <d v="2020-11-17T00:00:00"/>
    <d v="2021-01-04T00:00:00"/>
  </r>
  <r>
    <s v="Ofsted School Webpage"/>
    <n v="121857"/>
    <n v="9282082"/>
    <s v="Alfred Street Junior School, Rushden"/>
    <x v="0"/>
    <s v="Community School"/>
    <s v="NULL"/>
    <s v="Not applicable"/>
    <s v="Does not have a sixth form"/>
    <s v="Does not apply"/>
    <s v="Does not apply"/>
    <s v="Non-denominational"/>
    <s v="East Midlands"/>
    <x v="6"/>
    <x v="64"/>
    <s v="Wellingborough"/>
    <s v="NN10 9YS"/>
    <n v="4"/>
    <n v="121"/>
    <d v="2020-11-17T00:00:00"/>
    <d v="2021-01-13T00:00:00"/>
  </r>
  <r>
    <s v="Ofsted School Webpage"/>
    <n v="109461"/>
    <n v="8222061"/>
    <s v="Bedford Road Primary School"/>
    <x v="0"/>
    <s v="Community School"/>
    <s v="NULL"/>
    <s v="Not applicable"/>
    <s v="Does not have a sixth form"/>
    <s v="Does not apply"/>
    <s v="Does not apply"/>
    <s v="Non-denominational"/>
    <s v="East of England"/>
    <x v="7"/>
    <x v="50"/>
    <s v="Bedford"/>
    <s v="MK42 8QH"/>
    <n v="3"/>
    <n v="357"/>
    <d v="2020-11-17T00:00:00"/>
    <d v="2021-01-05T00:00:00"/>
  </r>
  <r>
    <s v="Ofsted School Webpage"/>
    <n v="120788"/>
    <n v="9262017"/>
    <s v="Blofield Primary School"/>
    <x v="0"/>
    <s v="Community School"/>
    <s v="NULL"/>
    <s v="Not applicable"/>
    <s v="Does not have a sixth form"/>
    <s v="Does not apply"/>
    <s v="Does not apply"/>
    <s v="Non-denominational"/>
    <s v="East of England"/>
    <x v="7"/>
    <x v="33"/>
    <s v="Broadland"/>
    <s v="NR13 4RH"/>
    <n v="1"/>
    <n v="217"/>
    <d v="2020-11-17T00:00:00"/>
    <d v="2021-01-17T00:00:00"/>
  </r>
  <r>
    <s v="Ofsted School Webpage"/>
    <n v="109466"/>
    <n v="8232067"/>
    <s v="Beaudesert Lower School"/>
    <x v="0"/>
    <s v="Community School"/>
    <s v="NULL"/>
    <s v="Not applicable"/>
    <s v="Does not have a sixth form"/>
    <s v="Does not apply"/>
    <s v="Does not apply"/>
    <s v="Non-denominational"/>
    <s v="East of England"/>
    <x v="7"/>
    <x v="115"/>
    <s v="South West Bedfordshire"/>
    <s v="LU7 3DX"/>
    <n v="3"/>
    <n v="264"/>
    <d v="2020-11-17T00:00:00"/>
    <d v="2020-12-14T00:00:00"/>
  </r>
  <r>
    <s v="Ofsted School Webpage"/>
    <n v="123650"/>
    <n v="9332038"/>
    <s v="Keinton Mandeville Primary School"/>
    <x v="0"/>
    <s v="Community School"/>
    <s v="NULL"/>
    <s v="Not applicable"/>
    <s v="Does not have a sixth form"/>
    <s v="Does not apply"/>
    <s v="Does not apply"/>
    <s v="Non-denominational"/>
    <s v="South West"/>
    <x v="5"/>
    <x v="34"/>
    <s v="Somerton and Frome"/>
    <s v="TA11 6ES"/>
    <n v="1"/>
    <n v="137"/>
    <d v="2020-11-17T00:00:00"/>
    <d v="2020-12-08T00:00:00"/>
  </r>
  <r>
    <s v="Ofsted School Webpage"/>
    <n v="134867"/>
    <n v="8133508"/>
    <s v="Oakfield Primary School"/>
    <x v="0"/>
    <s v="Community School"/>
    <d v="2005-01-01T00:00:00"/>
    <s v="Not applicable"/>
    <s v="Does not have a sixth form"/>
    <s v="Does not apply"/>
    <s v="Does not apply"/>
    <s v="Non-denominational"/>
    <s v="North East, Yorkshire and the Humber"/>
    <x v="0"/>
    <x v="109"/>
    <s v="Scunthorpe"/>
    <s v="DN16 3JF"/>
    <n v="4"/>
    <n v="324"/>
    <d v="2020-11-17T00:00:00"/>
    <d v="2021-01-20T00:00:00"/>
  </r>
  <r>
    <s v="Ofsted School Webpage"/>
    <n v="104827"/>
    <n v="3424051"/>
    <s v="Haydock High School"/>
    <x v="1"/>
    <s v="Community School"/>
    <s v="NULL"/>
    <s v="Non-selective"/>
    <s v="Does not have a sixth form"/>
    <s v="Does not apply"/>
    <s v="Does not apply"/>
    <s v="Non-denominational"/>
    <s v="North West"/>
    <x v="4"/>
    <x v="95"/>
    <s v="St Helens North"/>
    <s v="WA11 0JG"/>
    <n v="4"/>
    <n v="771"/>
    <d v="2020-11-17T00:00:00"/>
    <d v="2020-12-10T00:00:00"/>
  </r>
  <r>
    <s v="Ofsted School Webpage"/>
    <n v="132091"/>
    <n v="9192008"/>
    <s v="Lodge Farm Primary School"/>
    <x v="0"/>
    <s v="Community School"/>
    <d v="2000-09-01T00:00:00"/>
    <s v="Not applicable"/>
    <s v="Does not have a sixth form"/>
    <s v="Does not apply"/>
    <s v="Does not apply"/>
    <s v="Non-denominational"/>
    <s v="East of England"/>
    <x v="7"/>
    <x v="56"/>
    <s v="Stevenage"/>
    <s v="SG2 0HP"/>
    <n v="3"/>
    <n v="461"/>
    <d v="2020-11-17T00:00:00"/>
    <d v="2021-01-04T00:00:00"/>
  </r>
  <r>
    <s v="Ofsted School Webpage"/>
    <n v="125921"/>
    <n v="9382185"/>
    <s v="Parklands Community Primary School"/>
    <x v="0"/>
    <s v="Community School"/>
    <s v="NULL"/>
    <s v="Not applicable"/>
    <s v="Does not have a sixth form"/>
    <s v="Does not apply"/>
    <s v="Does not apply"/>
    <s v="Non-denominational"/>
    <s v="South East"/>
    <x v="2"/>
    <x v="55"/>
    <s v="Chichester"/>
    <s v="PO19 3AG"/>
    <n v="3"/>
    <n v="434"/>
    <d v="2020-11-17T00:00:00"/>
    <d v="2020-12-13T00:00:00"/>
  </r>
  <r>
    <s v="Ofsted School Webpage"/>
    <n v="105294"/>
    <n v="3512019"/>
    <s v="Old Hall Primary School"/>
    <x v="0"/>
    <s v="Community School"/>
    <s v="NULL"/>
    <s v="Not applicable"/>
    <s v="Does not have a sixth form"/>
    <s v="Does not apply"/>
    <s v="Does not apply"/>
    <s v="Non-denominational"/>
    <s v="North West"/>
    <x v="4"/>
    <x v="96"/>
    <s v="Bury North"/>
    <s v="BL8 4LU"/>
    <n v="4"/>
    <n v="197"/>
    <d v="2020-11-17T00:00:00"/>
    <d v="2021-01-17T00:00:00"/>
  </r>
  <r>
    <s v="Ofsted School Webpage"/>
    <n v="103265"/>
    <n v="3302189"/>
    <s v="Ladypool Primary School"/>
    <x v="0"/>
    <s v="Community School"/>
    <s v="NULL"/>
    <s v="Not applicable"/>
    <s v="Not applicable"/>
    <s v="Does not apply"/>
    <s v="Does not apply"/>
    <s v="Non-denominational"/>
    <s v="West Midlands"/>
    <x v="1"/>
    <x v="8"/>
    <s v="Birmingham, Hall Green"/>
    <s v="B11 1QT"/>
    <n v="5"/>
    <n v="400"/>
    <d v="2020-11-17T00:00:00"/>
    <d v="2020-12-14T00:00:00"/>
  </r>
  <r>
    <s v="Ofsted School Webpage"/>
    <n v="120825"/>
    <n v="9262096"/>
    <s v="Langham Village School"/>
    <x v="0"/>
    <s v="Community School"/>
    <s v="NULL"/>
    <s v="Not applicable"/>
    <s v="Does not have a sixth form"/>
    <s v="Does not apply"/>
    <s v="Does not apply"/>
    <s v="Non-denominational"/>
    <s v="East of England"/>
    <x v="7"/>
    <x v="33"/>
    <s v="North Norfolk"/>
    <s v="NR25 7DG"/>
    <n v="2"/>
    <n v="90"/>
    <d v="2020-11-17T00:00:00"/>
    <d v="2020-12-10T00:00:00"/>
  </r>
  <r>
    <s v="Ofsted School Webpage"/>
    <n v="140002"/>
    <n v="9294002"/>
    <s v="The Blyth Academy"/>
    <x v="1"/>
    <s v="Academy Sponsor Led"/>
    <d v="2013-10-01T00:00:00"/>
    <s v="Non-selective"/>
    <s v="Has a sixth form"/>
    <s v="Does not apply"/>
    <s v="None"/>
    <s v="Non-denominational"/>
    <s v="North East, Yorkshire and the Humber"/>
    <x v="8"/>
    <x v="39"/>
    <s v="Blyth Valley"/>
    <s v="NE24 4JP"/>
    <n v="5"/>
    <n v="758"/>
    <d v="2020-11-17T00:00:00"/>
    <d v="2021-01-19T00:00:00"/>
  </r>
  <r>
    <s v="Ofsted School Webpage"/>
    <n v="100994"/>
    <n v="2121101"/>
    <s v="Francis Barber Pupil Referral Unit"/>
    <x v="3"/>
    <s v="Pupil Referral Unit"/>
    <s v="NULL"/>
    <s v="Not applicable"/>
    <s v="Not applicable"/>
    <s v="Does not apply"/>
    <s v="Does not apply"/>
    <s v="Non-denominational"/>
    <s v="London"/>
    <x v="3"/>
    <x v="144"/>
    <s v="Tooting"/>
    <s v="SW17 8HE"/>
    <n v="3"/>
    <n v="68"/>
    <d v="2020-11-17T00:00:00"/>
    <d v="2021-01-04T00:00:00"/>
  </r>
  <r>
    <s v="Ofsted School Webpage"/>
    <n v="140416"/>
    <n v="9334004"/>
    <s v="Court Fields School"/>
    <x v="1"/>
    <s v="Academy Sponsor Led"/>
    <d v="2014-01-01T00:00:00"/>
    <s v="Non-selective"/>
    <s v="Does not have a sixth form"/>
    <s v="Does not apply"/>
    <s v="None"/>
    <s v="Non-denominational"/>
    <s v="South West"/>
    <x v="5"/>
    <x v="34"/>
    <s v="Taunton Deane"/>
    <s v="TA21 8SW"/>
    <n v="3"/>
    <n v="769"/>
    <d v="2020-11-17T00:00:00"/>
    <d v="2020-12-10T00:00:00"/>
  </r>
  <r>
    <s v="Ofsted School Webpage"/>
    <n v="102558"/>
    <n v="3137010"/>
    <s v="The Cedars Primary School"/>
    <x v="2"/>
    <s v="Community Special School"/>
    <s v="NULL"/>
    <s v="Not applicable"/>
    <s v="Not applicable"/>
    <s v="Does not apply"/>
    <s v="Does not apply"/>
    <s v="Non-denominational"/>
    <s v="London"/>
    <x v="3"/>
    <x v="37"/>
    <s v="Feltham and Heston"/>
    <s v="TW5 9RU"/>
    <n v="4"/>
    <n v="60"/>
    <d v="2020-11-17T00:00:00"/>
    <d v="2020-12-17T00:00:00"/>
  </r>
  <r>
    <s v="Ofsted School Webpage"/>
    <n v="112045"/>
    <n v="9084150"/>
    <s v="Budehaven Community School"/>
    <x v="1"/>
    <s v="Foundation School"/>
    <s v="NULL"/>
    <s v="Non-selective"/>
    <s v="Has a sixth form"/>
    <s v="Does not apply"/>
    <s v="Does not apply"/>
    <s v="Non-denominational"/>
    <s v="South West"/>
    <x v="5"/>
    <x v="42"/>
    <s v="North Cornwall"/>
    <s v="EX23 8DQ"/>
    <n v="3"/>
    <n v="1149"/>
    <d v="2020-11-17T00:00:00"/>
    <d v="2020-12-17T00:00:00"/>
  </r>
  <r>
    <s v="Ofsted School Webpage"/>
    <n v="120554"/>
    <n v="9253096"/>
    <s v="Weston Hills CofE Primary School"/>
    <x v="0"/>
    <s v="Voluntary Controlled School"/>
    <s v="NULL"/>
    <s v="Not applicable"/>
    <s v="Does not have a sixth form"/>
    <s v="Church of England"/>
    <s v="Does not apply"/>
    <s v="Christian"/>
    <s v="East Midlands"/>
    <x v="6"/>
    <x v="18"/>
    <s v="South Holland and The Deepings"/>
    <s v="PE12 6DL"/>
    <n v="2"/>
    <n v="137"/>
    <d v="2020-11-17T00:00:00"/>
    <d v="2020-12-15T00:00:00"/>
  </r>
  <r>
    <s v="Ofsted School Webpage"/>
    <n v="118871"/>
    <n v="8865225"/>
    <s v="Harcourt Primary School"/>
    <x v="0"/>
    <s v="Foundation School"/>
    <s v="NULL"/>
    <s v="Not applicable"/>
    <s v="Does not have a sixth form"/>
    <s v="None"/>
    <s v="Does not apply"/>
    <s v="Non-denominational"/>
    <s v="South East"/>
    <x v="2"/>
    <x v="7"/>
    <s v="Folkestone and Hythe"/>
    <s v="CT19 4NE"/>
    <n v="4"/>
    <n v="182"/>
    <d v="2020-11-17T00:00:00"/>
    <d v="2021-01-17T00:00:00"/>
  </r>
  <r>
    <s v="Ofsted School Webpage"/>
    <n v="121591"/>
    <n v="8153274"/>
    <s v="Skipton Parish Church Church of England Voluntary Controlled Primary School"/>
    <x v="0"/>
    <s v="Voluntary Controlled School"/>
    <d v="1899-12-31T00:00:00"/>
    <s v="Not applicable"/>
    <s v="Does not have a sixth form"/>
    <s v="Church of England"/>
    <s v="Does not apply"/>
    <s v="Christian"/>
    <s v="North East, Yorkshire and the Humber"/>
    <x v="0"/>
    <x v="60"/>
    <s v="Skipton and Ripon"/>
    <s v="BD23 2ES"/>
    <n v="2"/>
    <n v="223"/>
    <d v="2020-11-17T00:00:00"/>
    <d v="2020-12-13T00:00:00"/>
  </r>
  <r>
    <s v="Ofsted School Webpage"/>
    <n v="141346"/>
    <n v="8612010"/>
    <s v="Whitfield Valley Primary Academy"/>
    <x v="0"/>
    <s v="Academy Sponsor Led"/>
    <d v="2015-04-01T00:00:00"/>
    <s v="Not applicable"/>
    <s v="Does not have a sixth form"/>
    <s v="Does not apply"/>
    <s v="None"/>
    <s v="Non-denominational"/>
    <s v="West Midlands"/>
    <x v="1"/>
    <x v="45"/>
    <s v="Stoke-on-Trent North"/>
    <s v="ST6 6TD"/>
    <n v="5"/>
    <n v="444"/>
    <d v="2020-11-17T00:00:00"/>
    <d v="2020-12-07T00:00:00"/>
  </r>
  <r>
    <s v="Ofsted School Webpage"/>
    <n v="100888"/>
    <n v="2111041"/>
    <s v="Harry Roberts Nursery School"/>
    <x v="4"/>
    <s v="LA Nursery School"/>
    <s v="NULL"/>
    <s v="Not applicable"/>
    <s v="Not applicable"/>
    <s v="Does not apply"/>
    <s v="Does not apply"/>
    <s v="Non-denominational"/>
    <s v="London"/>
    <x v="3"/>
    <x v="119"/>
    <s v="Bethnal Green and Bow"/>
    <s v="E1 4PZ"/>
    <n v="5"/>
    <n v="106"/>
    <d v="2020-11-17T00:00:00"/>
    <d v="2021-01-17T00:00:00"/>
  </r>
  <r>
    <s v="Ofsted School Webpage"/>
    <n v="126302"/>
    <n v="8653013"/>
    <s v="Box Church of England Primary School"/>
    <x v="0"/>
    <s v="Voluntary Controlled School"/>
    <s v="NULL"/>
    <s v="Not applicable"/>
    <s v="Does not have a sixth form"/>
    <s v="Church of England"/>
    <s v="Does not apply"/>
    <s v="Christian"/>
    <s v="South West"/>
    <x v="5"/>
    <x v="125"/>
    <s v="North Wiltshire"/>
    <s v="SN13 8NF"/>
    <n v="1"/>
    <n v="178"/>
    <d v="2020-11-17T00:00:00"/>
    <d v="2020-12-07T00:00:00"/>
  </r>
  <r>
    <s v="Ofsted School Webpage"/>
    <n v="119589"/>
    <n v="8883615"/>
    <s v="St Veronica's Roman Catholic Primary School, Helmshore"/>
    <x v="0"/>
    <s v="Voluntary Aided School"/>
    <s v="NULL"/>
    <s v="Not applicable"/>
    <s v="Does not have a sixth form"/>
    <s v="Roman Catholic"/>
    <s v="Does not apply"/>
    <s v="Christian"/>
    <s v="North West"/>
    <x v="4"/>
    <x v="27"/>
    <s v="Rossendale and Darwen"/>
    <s v="BB4 4EZ"/>
    <n v="3"/>
    <n v="171"/>
    <d v="2020-11-17T00:00:00"/>
    <d v="2020-12-17T00:00:00"/>
  </r>
  <r>
    <s v="Ofsted School Webpage"/>
    <n v="120590"/>
    <n v="9253156"/>
    <s v="Caistor CofE and Methodist Primary School"/>
    <x v="0"/>
    <s v="Voluntary Controlled School"/>
    <s v="NULL"/>
    <s v="Non-selective"/>
    <s v="Does not have a sixth form"/>
    <s v="Church of England/Methodist"/>
    <s v="Does not apply"/>
    <s v="Christian"/>
    <s v="East Midlands"/>
    <x v="6"/>
    <x v="18"/>
    <s v="Gainsborough"/>
    <s v="LN7 6LY"/>
    <n v="3"/>
    <n v="273"/>
    <d v="2020-11-17T00:00:00"/>
    <d v="2021-01-04T00:00:00"/>
  </r>
  <r>
    <s v="Ofsted School Webpage"/>
    <n v="140910"/>
    <n v="8553072"/>
    <s v="Redmile Church of England Primary School"/>
    <x v="0"/>
    <s v="Academy Converter"/>
    <d v="2014-12-01T00:00:00"/>
    <s v="Not applicable"/>
    <s v="Does not have a sixth form"/>
    <s v="Church of England"/>
    <s v="Does not apply"/>
    <s v="Christian"/>
    <s v="East Midlands"/>
    <x v="6"/>
    <x v="112"/>
    <s v="Rutland and Melton"/>
    <s v="NG13 0GL"/>
    <n v="1"/>
    <n v="84"/>
    <d v="2020-11-17T00:00:00"/>
    <d v="2021-01-13T00:00:00"/>
  </r>
  <r>
    <s v="Ofsted School Webpage"/>
    <n v="144027"/>
    <n v="8074008"/>
    <s v="Rye Hills Academy"/>
    <x v="1"/>
    <s v="Academy Sponsor Led"/>
    <d v="2017-03-01T00:00:00"/>
    <s v="Non-selective"/>
    <s v="Does not have a sixth form"/>
    <s v="Does not apply"/>
    <s v="Unknown"/>
    <s v="Non-denominational"/>
    <s v="North East, Yorkshire and the Humber"/>
    <x v="8"/>
    <x v="59"/>
    <s v="Redcar"/>
    <s v="TS10 2HN"/>
    <n v="4"/>
    <n v="929"/>
    <d v="2020-11-17T00:00:00"/>
    <d v="2021-01-04T00:00:00"/>
  </r>
  <r>
    <s v="Ofsted School Webpage"/>
    <n v="145054"/>
    <n v="3562011"/>
    <s v="Bredbury Green Primary School"/>
    <x v="0"/>
    <s v="Academy Sponsor Led"/>
    <d v="2017-09-01T00:00:00"/>
    <s v="Not applicable"/>
    <s v="Does not have a sixth form"/>
    <s v="Does not apply"/>
    <s v="Unknown"/>
    <s v="Non-denominational"/>
    <s v="North West"/>
    <x v="4"/>
    <x v="16"/>
    <s v="Hazel Grove"/>
    <s v="SK6 3DG"/>
    <n v="4"/>
    <n v="271"/>
    <d v="2020-11-17T00:00:00"/>
    <d v="2020-12-07T00:00:00"/>
  </r>
  <r>
    <s v="Ofsted School Webpage"/>
    <n v="139338"/>
    <n v="9332003"/>
    <s v="St John and St Francis Church School"/>
    <x v="0"/>
    <s v="Academy Sponsor Led"/>
    <d v="2013-04-01T00:00:00"/>
    <s v="Not applicable"/>
    <s v="Does not have a sixth form"/>
    <s v="Church of England"/>
    <s v="None"/>
    <s v="Christian"/>
    <s v="South West"/>
    <x v="5"/>
    <x v="34"/>
    <s v="Bridgwater and West Somerset"/>
    <s v="TA6 5BP"/>
    <n v="4"/>
    <n v="410"/>
    <d v="2020-11-17T00:00:00"/>
    <d v="2020-12-13T00:00:00"/>
  </r>
  <r>
    <s v="Ofsted School Webpage"/>
    <n v="140697"/>
    <n v="8514320"/>
    <s v="Admiral Lord Nelson School"/>
    <x v="1"/>
    <s v="Academy Converter"/>
    <d v="2014-04-01T00:00:00"/>
    <s v="Non-selective"/>
    <s v="Does not have a sixth form"/>
    <s v="Does not apply"/>
    <s v="Does not apply"/>
    <s v="Non-denominational"/>
    <s v="South East"/>
    <x v="2"/>
    <x v="58"/>
    <s v="Portsmouth North"/>
    <s v="PO3 5XT"/>
    <n v="3"/>
    <n v="1057"/>
    <d v="2020-11-17T00:00:00"/>
    <d v="2020-12-14T00:00:00"/>
  </r>
  <r>
    <s v="Ofsted School Webpage"/>
    <n v="137855"/>
    <n v="9365416"/>
    <s v="Hinchley Wood School"/>
    <x v="1"/>
    <s v="Academy Converter"/>
    <d v="2012-02-01T00:00:00"/>
    <s v="Non-selective"/>
    <s v="Has a sixth form"/>
    <s v="None"/>
    <s v="Does not apply"/>
    <s v="Non-denominational"/>
    <s v="South East"/>
    <x v="2"/>
    <x v="21"/>
    <s v="Esher and Walton"/>
    <s v="KT10 0AQ"/>
    <n v="1"/>
    <n v="1387"/>
    <d v="2020-11-17T00:00:00"/>
    <d v="2021-01-13T00:00:00"/>
  </r>
  <r>
    <s v="Ofsted School Webpage"/>
    <n v="137708"/>
    <n v="3914716"/>
    <s v="Sacred Heart Catholic High School"/>
    <x v="1"/>
    <s v="Academy Converter"/>
    <d v="2011-12-01T00:00:00"/>
    <s v="Non-selective"/>
    <s v="Has a sixth form"/>
    <s v="Roman Catholic"/>
    <s v="Does not apply"/>
    <s v="Christian"/>
    <s v="North East, Yorkshire and the Humber"/>
    <x v="8"/>
    <x v="83"/>
    <s v="Newcastle upon Tyne Central"/>
    <s v="NE4 9YH"/>
    <n v="5"/>
    <n v="1434"/>
    <d v="2020-11-17T00:00:00"/>
    <d v="2020-12-09T00:00:00"/>
  </r>
  <r>
    <s v="Ofsted School Webpage"/>
    <n v="136793"/>
    <n v="9255221"/>
    <s v="Tower Road Academy"/>
    <x v="0"/>
    <s v="Academy Converter"/>
    <d v="2011-06-01T00:00:00"/>
    <s v="Not applicable"/>
    <s v="Not applicable"/>
    <s v="None"/>
    <s v="Does not apply"/>
    <s v="Non-denominational"/>
    <s v="East Midlands"/>
    <x v="6"/>
    <x v="18"/>
    <s v="Boston and Skegness"/>
    <s v="PE21 9PX"/>
    <n v="3"/>
    <n v="621"/>
    <d v="2020-11-17T00:00:00"/>
    <d v="2021-01-05T00:00:00"/>
  </r>
  <r>
    <s v="Ofsted School Webpage"/>
    <n v="137319"/>
    <n v="8914452"/>
    <s v="Tuxford Academy"/>
    <x v="1"/>
    <s v="Academy Converter"/>
    <d v="2011-08-01T00:00:00"/>
    <s v="Non-selective"/>
    <s v="Has a sixth form"/>
    <s v="Does not apply"/>
    <s v="Does not apply"/>
    <s v="Non-denominational"/>
    <s v="East Midlands"/>
    <x v="6"/>
    <x v="49"/>
    <s v="Newark"/>
    <s v="NG22 0JH"/>
    <n v="2"/>
    <n v="1517"/>
    <d v="2020-11-17T00:00:00"/>
    <d v="2020-12-14T00:00:00"/>
  </r>
  <r>
    <s v="Ofsted School Webpage"/>
    <n v="136649"/>
    <n v="8394177"/>
    <s v="Twynham School"/>
    <x v="1"/>
    <s v="Academy Converter"/>
    <d v="2011-04-01T00:00:00"/>
    <s v="Non-selective"/>
    <s v="Has a sixth form"/>
    <s v="Does not apply"/>
    <s v="Does not apply"/>
    <s v="Non-denominational"/>
    <s v="South West"/>
    <x v="5"/>
    <x v="108"/>
    <s v="Christchurch"/>
    <s v="BH23 1JF"/>
    <n v="1"/>
    <n v="1729"/>
    <d v="2020-11-17T00:00:00"/>
    <d v="2020-12-07T00:00:00"/>
  </r>
  <r>
    <s v="Ofsted School Webpage"/>
    <n v="137177"/>
    <n v="3104033"/>
    <s v="Harrow High School"/>
    <x v="1"/>
    <s v="Academy Converter"/>
    <d v="2011-08-01T00:00:00"/>
    <s v="Non-selective"/>
    <s v="Has a sixth form"/>
    <s v="Does not apply"/>
    <s v="Does not apply"/>
    <s v="Non-denominational"/>
    <s v="London"/>
    <x v="3"/>
    <x v="127"/>
    <s v="Harrow West"/>
    <s v="HA1 2JG"/>
    <n v="2"/>
    <n v="908"/>
    <d v="2020-11-17T00:00:00"/>
    <d v="2021-01-13T00:00:00"/>
  </r>
  <r>
    <s v="Ofsted School Webpage"/>
    <n v="136141"/>
    <n v="3426905"/>
    <s v="The Sutton Academy"/>
    <x v="1"/>
    <s v="Academy Sponsor Led"/>
    <d v="2010-09-01T00:00:00"/>
    <s v="Non-selective"/>
    <s v="Has a sixth form"/>
    <s v="Does not apply"/>
    <s v="None"/>
    <s v="Non-denominational"/>
    <s v="North West"/>
    <x v="4"/>
    <x v="95"/>
    <s v="St Helens South and Whiston"/>
    <s v="WA9 5AU"/>
    <n v="5"/>
    <n v="1244"/>
    <d v="2020-11-17T00:00:00"/>
    <d v="2020-12-10T00:00:00"/>
  </r>
  <r>
    <s v="Ofsted School Webpage"/>
    <n v="142083"/>
    <n v="9362035"/>
    <s v="The Weald CofE Primary School"/>
    <x v="0"/>
    <s v="Academy Sponsor Led"/>
    <d v="2015-09-01T00:00:00"/>
    <s v="Not applicable"/>
    <s v="Does not have a sixth form"/>
    <s v="Church of England"/>
    <s v="None"/>
    <s v="Christian"/>
    <s v="South East"/>
    <x v="2"/>
    <x v="21"/>
    <s v="Mole Valley"/>
    <s v="RH5 4QW"/>
    <n v="1"/>
    <n v="188"/>
    <d v="2020-11-17T00:00:00"/>
    <d v="2021-01-13T00:00:00"/>
  </r>
  <r>
    <s v="Ofsted School Webpage"/>
    <n v="142072"/>
    <n v="8702025"/>
    <s v="Ranikhet Academy"/>
    <x v="0"/>
    <s v="Academy Sponsor Led"/>
    <d v="2015-11-01T00:00:00"/>
    <s v="Not applicable"/>
    <s v="Does not have a sixth form"/>
    <s v="Does not apply"/>
    <s v="None"/>
    <s v="Non-denominational"/>
    <s v="South East"/>
    <x v="2"/>
    <x v="86"/>
    <s v="Reading West"/>
    <s v="RG30 4ED"/>
    <n v="4"/>
    <n v="229"/>
    <d v="2020-11-17T00:00:00"/>
    <d v="2020-12-09T00:00:00"/>
  </r>
  <r>
    <s v="Ofsted School Webpage"/>
    <n v="139576"/>
    <n v="8832005"/>
    <s v="Quarry Hill Academy"/>
    <x v="0"/>
    <s v="Academy Sponsor Led"/>
    <d v="2013-07-01T00:00:00"/>
    <s v="Not applicable"/>
    <s v="Does not have a sixth form"/>
    <s v="Does not apply"/>
    <s v="None"/>
    <s v="Non-denominational"/>
    <s v="East of England"/>
    <x v="7"/>
    <x v="44"/>
    <s v="Thurrock"/>
    <s v="RM17 5UT"/>
    <n v="4"/>
    <n v="541"/>
    <d v="2020-11-17T00:00:00"/>
    <d v="2021-01-17T00:00:00"/>
  </r>
  <r>
    <s v="Ofsted School Webpage"/>
    <n v="138497"/>
    <n v="8612005"/>
    <s v="Harpfield Primary Academy"/>
    <x v="0"/>
    <s v="Academy Sponsor Led"/>
    <d v="2013-05-01T00:00:00"/>
    <s v="Not applicable"/>
    <s v="Not applicable"/>
    <s v="None"/>
    <s v="None"/>
    <s v="Non-denominational"/>
    <s v="West Midlands"/>
    <x v="1"/>
    <x v="45"/>
    <s v="Stoke-on-Trent Central"/>
    <s v="ST4 6AP"/>
    <n v="3"/>
    <n v="233"/>
    <d v="2020-11-17T00:00:00"/>
    <d v="2020-12-13T00:00:00"/>
  </r>
  <r>
    <s v="Ofsted School Webpage"/>
    <n v="141252"/>
    <n v="3307013"/>
    <s v="Calthorpe Teaching Academy"/>
    <x v="2"/>
    <s v="Academy Special Converter"/>
    <d v="2014-09-01T00:00:00"/>
    <s v="Not applicable"/>
    <s v="Has a sixth form"/>
    <s v="Does not apply"/>
    <s v="None"/>
    <s v="Non-denominational"/>
    <s v="West Midlands"/>
    <x v="1"/>
    <x v="8"/>
    <s v="Birmingham, Ladywood"/>
    <s v="B12 0TP"/>
    <n v="5"/>
    <n v="395"/>
    <d v="2020-11-17T00:00:00"/>
    <d v="2020-12-13T00:00:00"/>
  </r>
  <r>
    <s v="Ofsted School Webpage"/>
    <n v="143494"/>
    <n v="8663165"/>
    <s v="South Marston Church of England Primary School"/>
    <x v="0"/>
    <s v="Academy Converter"/>
    <d v="2016-11-01T00:00:00"/>
    <s v="Not applicable"/>
    <s v="Does not have a sixth form"/>
    <s v="Church of England"/>
    <s v="Does not apply"/>
    <s v="Christian"/>
    <s v="South West"/>
    <x v="5"/>
    <x v="111"/>
    <s v="North Swindon"/>
    <s v="SN3 4SH"/>
    <n v="2"/>
    <n v="112"/>
    <d v="2020-11-17T00:00:00"/>
    <d v="2020-12-14T00:00:00"/>
  </r>
  <r>
    <s v="Ofsted School Webpage"/>
    <n v="145613"/>
    <n v="3402021"/>
    <s v="Whiston Willis Primary Academy"/>
    <x v="0"/>
    <s v="Academy Converter"/>
    <d v="2018-05-01T00:00:00"/>
    <s v="Not applicable"/>
    <s v="Does not have a sixth form"/>
    <s v="Does not apply"/>
    <s v="Does not apply"/>
    <s v="Non-denominational"/>
    <s v="North West"/>
    <x v="4"/>
    <x v="63"/>
    <s v="St Helens South and Whiston"/>
    <s v="L35 2XY"/>
    <n v="5"/>
    <n v="319"/>
    <d v="2020-11-17T00:00:00"/>
    <d v="2021-01-13T00:00:00"/>
  </r>
  <r>
    <s v="Ofsted School Webpage"/>
    <n v="145954"/>
    <n v="9254043"/>
    <s v="The Gainsborough Academy"/>
    <x v="1"/>
    <s v="Academy Sponsor Led"/>
    <d v="2018-06-01T00:00:00"/>
    <s v="Unknown"/>
    <s v="Does not have a sixth form"/>
    <s v="None"/>
    <s v="None"/>
    <s v="Non-denominational"/>
    <s v="East Midlands"/>
    <x v="6"/>
    <x v="18"/>
    <s v="Gainsborough"/>
    <s v="DN21 1PB"/>
    <n v="5"/>
    <n v="591"/>
    <d v="2020-11-17T00:00:00"/>
    <d v="2020-12-16T00:00:00"/>
  </r>
  <r>
    <s v="Ofsted School Webpage"/>
    <n v="144257"/>
    <n v="8853205"/>
    <s v="St Nicholas' CofE Middle School"/>
    <x v="0"/>
    <s v="Academy Converter"/>
    <d v="2017-04-01T00:00:00"/>
    <s v="Not applicable"/>
    <s v="Does not have a sixth form"/>
    <s v="Church of England"/>
    <s v="Does not apply"/>
    <s v="Christian"/>
    <s v="West Midlands"/>
    <x v="1"/>
    <x v="89"/>
    <s v="Mid Worcestershire"/>
    <s v="WR10 2ER"/>
    <n v="2"/>
    <n v="296"/>
    <d v="2020-11-17T00:00:00"/>
    <d v="2020-12-10T00:00:00"/>
  </r>
  <r>
    <s v="Ofsted School Webpage"/>
    <n v="148347"/>
    <n v="8855950"/>
    <s v="Vale of Evesham School"/>
    <x v="2"/>
    <s v="Academy Special Converter"/>
    <d v="2020-11-01T00:00:00"/>
    <s v="Not applicable"/>
    <s v="Has a sixth form"/>
    <s v="None"/>
    <s v="None"/>
    <s v="Non-denominational"/>
    <s v="West Midlands"/>
    <x v="1"/>
    <x v="89"/>
    <s v="Mid Worcestershire"/>
    <s v="WR11 1BN"/>
    <s v="NULL"/>
    <s v="NULL"/>
    <d v="2020-11-17T00:00:00"/>
    <d v="2020-12-13T00:00:00"/>
  </r>
  <r>
    <s v="Ofsted School Webpage"/>
    <n v="142798"/>
    <n v="3404613"/>
    <s v="The Prescot School"/>
    <x v="1"/>
    <s v="Academy Converter"/>
    <d v="2016-08-01T00:00:00"/>
    <s v="Non-selective"/>
    <s v="Does not have a sixth form"/>
    <s v="Does not apply"/>
    <s v="Does not apply"/>
    <s v="Non-denominational"/>
    <s v="North West"/>
    <x v="4"/>
    <x v="63"/>
    <s v="Knowsley"/>
    <s v="L34 3NB"/>
    <n v="5"/>
    <n v="798"/>
    <d v="2020-11-17T00:00:00"/>
    <d v="2020-12-09T00:00:00"/>
  </r>
  <r>
    <s v="Ofsted School Webpage"/>
    <n v="144551"/>
    <n v="8082006"/>
    <s v="St Mark's Church of England Primary School"/>
    <x v="0"/>
    <s v="Academy Converter"/>
    <d v="2017-07-01T00:00:00"/>
    <s v="Not applicable"/>
    <s v="Does not have a sixth form"/>
    <s v="Church of England"/>
    <s v="Does not apply"/>
    <s v="Christian"/>
    <s v="North East, Yorkshire and the Humber"/>
    <x v="8"/>
    <x v="40"/>
    <s v="Stockton South"/>
    <s v="TS19 7HA"/>
    <n v="4"/>
    <n v="426"/>
    <d v="2020-11-17T00:00:00"/>
    <d v="2021-01-06T00:00:00"/>
  </r>
  <r>
    <s v="Ofsted School Webpage"/>
    <n v="145123"/>
    <n v="9162038"/>
    <s v="St John's C of E Academy"/>
    <x v="0"/>
    <s v="Academy Converter"/>
    <d v="2017-09-01T00:00:00"/>
    <s v="Unknown"/>
    <s v="Does not have a sixth form"/>
    <s v="None"/>
    <s v="Does not apply"/>
    <s v="Non-denominational"/>
    <s v="South West"/>
    <x v="5"/>
    <x v="28"/>
    <s v="Forest of Dean"/>
    <s v="GL16 8DU"/>
    <n v="4"/>
    <n v="150"/>
    <d v="2020-11-17T00:00:00"/>
    <d v="2020-12-07T00:00:00"/>
  </r>
  <r>
    <s v="Ofsted School Webpage"/>
    <n v="145382"/>
    <n v="9353340"/>
    <s v="St Mary's Catholic Primary School, Ipswich"/>
    <x v="0"/>
    <s v="Academy Converter"/>
    <d v="2018-01-01T00:00:00"/>
    <s v="Not applicable"/>
    <s v="Does not have a sixth form"/>
    <s v="Roman Catholic"/>
    <s v="Does not apply"/>
    <s v="Christian"/>
    <s v="East of England"/>
    <x v="7"/>
    <x v="14"/>
    <s v="Ipswich"/>
    <s v="IP4 4EU"/>
    <n v="2"/>
    <n v="210"/>
    <d v="2020-11-17T00:00:00"/>
    <d v="2021-01-17T00:00:00"/>
  </r>
  <r>
    <s v="Ofsted School Webpage"/>
    <n v="140710"/>
    <n v="3032046"/>
    <s v="Days Lane Primary School"/>
    <x v="0"/>
    <s v="Academy Converter"/>
    <d v="2014-04-01T00:00:00"/>
    <s v="Not applicable"/>
    <s v="Does not have a sixth form"/>
    <s v="Does not apply"/>
    <s v="Does not apply"/>
    <s v="Non-denominational"/>
    <s v="London"/>
    <x v="3"/>
    <x v="77"/>
    <s v="Old Bexley and Sidcup"/>
    <s v="DA15 8JU"/>
    <n v="1"/>
    <n v="672"/>
    <d v="2020-11-18T00:00:00"/>
    <d v="2021-01-04T00:00:00"/>
  </r>
  <r>
    <s v="Ofsted School Webpage"/>
    <n v="145096"/>
    <n v="3433341"/>
    <s v="St Thomas Church of England Primary School, Lydiate"/>
    <x v="0"/>
    <s v="Academy Converter"/>
    <d v="2017-11-01T00:00:00"/>
    <s v="Not applicable"/>
    <s v="Does not have a sixth form"/>
    <s v="Church of England"/>
    <s v="Does not apply"/>
    <s v="Christian"/>
    <s v="North West"/>
    <x v="4"/>
    <x v="93"/>
    <s v="Sefton Central"/>
    <s v="L31 0BP"/>
    <n v="2"/>
    <n v="209"/>
    <d v="2020-11-18T00:00:00"/>
    <d v="2020-12-10T00:00:00"/>
  </r>
  <r>
    <s v="Ofsted School Webpage"/>
    <n v="102697"/>
    <n v="3157003"/>
    <s v="Melrose School"/>
    <x v="2"/>
    <s v="Community Special School"/>
    <s v="NULL"/>
    <s v="Not applicable"/>
    <s v="Not applicable"/>
    <s v="Does not apply"/>
    <s v="Does not apply"/>
    <s v="Non-denominational"/>
    <s v="London"/>
    <x v="3"/>
    <x v="136"/>
    <s v="Mitcham and Morden"/>
    <s v="CR4 3BE"/>
    <n v="4"/>
    <n v="32"/>
    <d v="2020-11-18T00:00:00"/>
    <d v="2020-12-15T00:00:00"/>
  </r>
  <r>
    <s v="Ofsted School Webpage"/>
    <n v="102143"/>
    <n v="3093501"/>
    <s v="St Francis de Sales RC Junior School"/>
    <x v="0"/>
    <s v="Voluntary Aided School"/>
    <s v="NULL"/>
    <s v="Not applicable"/>
    <s v="Does not have a sixth form"/>
    <s v="Roman Catholic"/>
    <s v="Does not apply"/>
    <s v="Christian"/>
    <s v="London"/>
    <x v="3"/>
    <x v="24"/>
    <s v="Tottenham"/>
    <s v="N17 8AZ"/>
    <n v="5"/>
    <n v="329"/>
    <d v="2020-11-18T00:00:00"/>
    <d v="2021-01-13T00:00:00"/>
  </r>
  <r>
    <s v="Ofsted School Webpage"/>
    <n v="114280"/>
    <n v="8403506"/>
    <s v="St Joseph's Roman Catholic Voluntary Aided Primary School, Blackhall"/>
    <x v="0"/>
    <s v="Voluntary Aided School"/>
    <s v="NULL"/>
    <s v="Not applicable"/>
    <s v="Does not have a sixth form"/>
    <s v="Roman Catholic"/>
    <s v="Does not apply"/>
    <s v="Christian"/>
    <s v="North East, Yorkshire and the Humber"/>
    <x v="8"/>
    <x v="85"/>
    <s v="Easington"/>
    <s v="TS27 4HE"/>
    <n v="5"/>
    <n v="68"/>
    <d v="2020-11-19T00:00:00"/>
    <d v="2020-12-14T00:00:00"/>
  </r>
  <r>
    <s v="Ofsted School Webpage"/>
    <n v="105351"/>
    <n v="3513348"/>
    <s v="St Hilda's Church of England Primary School"/>
    <x v="0"/>
    <s v="Voluntary Aided School"/>
    <s v="NULL"/>
    <s v="Not applicable"/>
    <s v="Does not have a sixth form"/>
    <s v="Church of England"/>
    <s v="Does not apply"/>
    <s v="Christian"/>
    <s v="North West"/>
    <x v="4"/>
    <x v="96"/>
    <s v="Bury South"/>
    <s v="M25 1HA"/>
    <n v="4"/>
    <n v="186"/>
    <d v="2020-11-19T00:00:00"/>
    <d v="2020-12-10T00:00:00"/>
  </r>
  <r>
    <s v="Ofsted School Webpage"/>
    <n v="104242"/>
    <n v="3353325"/>
    <s v="St Bernadette's Catholic Primary School"/>
    <x v="0"/>
    <s v="Voluntary Aided School"/>
    <d v="1899-12-31T00:00:00"/>
    <s v="Not applicable"/>
    <s v="Does not have a sixth form"/>
    <s v="Roman Catholic"/>
    <s v="Does not apply"/>
    <s v="Christian"/>
    <s v="West Midlands"/>
    <x v="1"/>
    <x v="73"/>
    <s v="Aldridge-Brownhills"/>
    <s v="WS8 6HX"/>
    <n v="5"/>
    <n v="175"/>
    <d v="2020-11-19T00:00:00"/>
    <d v="2020-12-13T00:00:00"/>
  </r>
  <r>
    <s v="Ofsted School Webpage"/>
    <n v="135481"/>
    <n v="3404616"/>
    <s v="Saint Edmund Arrowsmith Catholic High School"/>
    <x v="1"/>
    <s v="Voluntary Aided School"/>
    <d v="2010-01-01T00:00:00"/>
    <s v="Non-selective"/>
    <s v="Does not have a sixth form"/>
    <s v="Roman Catholic"/>
    <s v="Does not apply"/>
    <s v="Christian"/>
    <s v="North West"/>
    <x v="4"/>
    <x v="63"/>
    <s v="St Helens South and Whiston"/>
    <s v="L35 2XG"/>
    <n v="5"/>
    <n v="794"/>
    <d v="2020-11-19T00:00:00"/>
    <d v="2020-12-17T00:00:00"/>
  </r>
  <r>
    <s v="Ofsted School Webpage"/>
    <n v="110825"/>
    <n v="8743079"/>
    <s v="Eye CofE Primary School"/>
    <x v="0"/>
    <s v="Voluntary Controlled School"/>
    <d v="1899-12-31T00:00:00"/>
    <s v="Not applicable"/>
    <s v="Does not have a sixth form"/>
    <s v="Church of England"/>
    <s v="Does not apply"/>
    <s v="Christian"/>
    <s v="East of England"/>
    <x v="7"/>
    <x v="13"/>
    <s v="Peterborough"/>
    <s v="PE6 7TD"/>
    <n v="4"/>
    <n v="422"/>
    <d v="2020-11-19T00:00:00"/>
    <d v="2020-12-10T00:00:00"/>
  </r>
  <r>
    <s v="Ofsted School Webpage"/>
    <n v="105218"/>
    <n v="3503314"/>
    <s v="St Thomas C of E Primary School, Halliwell"/>
    <x v="0"/>
    <s v="Voluntary Aided School"/>
    <s v="NULL"/>
    <s v="Not applicable"/>
    <s v="Does not have a sixth form"/>
    <s v="Church of England"/>
    <s v="Does not apply"/>
    <s v="Christian"/>
    <s v="North West"/>
    <x v="4"/>
    <x v="116"/>
    <s v="Bolton North East"/>
    <s v="BL1 3JB"/>
    <n v="5"/>
    <n v="352"/>
    <d v="2020-11-19T00:00:00"/>
    <d v="2020-12-17T00:00:00"/>
  </r>
  <r>
    <s v="Ofsted School Webpage"/>
    <n v="121609"/>
    <n v="8153307"/>
    <s v="Michael Syddall Church of England Aided Primary School"/>
    <x v="0"/>
    <s v="Voluntary Aided School"/>
    <s v="NULL"/>
    <s v="Not applicable"/>
    <s v="Does not have a sixth form"/>
    <s v="Church of England"/>
    <s v="Does not apply"/>
    <s v="Christian"/>
    <s v="North East, Yorkshire and the Humber"/>
    <x v="0"/>
    <x v="60"/>
    <s v="Richmond (Yorks)"/>
    <s v="DL10 7LB"/>
    <n v="1"/>
    <n v="206"/>
    <d v="2020-11-19T00:00:00"/>
    <d v="2021-01-13T00:00:00"/>
  </r>
  <r>
    <s v="Ofsted School Webpage"/>
    <n v="106222"/>
    <n v="3572073"/>
    <s v="Stalyhill Infant School"/>
    <x v="0"/>
    <s v="Community School"/>
    <s v="NULL"/>
    <s v="Not applicable"/>
    <s v="Does not have a sixth form"/>
    <s v="Does not apply"/>
    <s v="Does not apply"/>
    <s v="Non-denominational"/>
    <s v="North West"/>
    <x v="4"/>
    <x v="139"/>
    <s v="Stalybridge and Hyde"/>
    <s v="SK15 2TR"/>
    <n v="2"/>
    <n v="179"/>
    <d v="2020-11-19T00:00:00"/>
    <d v="2020-12-17T00:00:00"/>
  </r>
  <r>
    <s v="Ofsted School Webpage"/>
    <n v="130866"/>
    <n v="3842191"/>
    <s v="South Elmsall Carlton Junior and Infant School"/>
    <x v="0"/>
    <s v="Community School"/>
    <d v="1996-09-01T00:00:00"/>
    <s v="Not applicable"/>
    <s v="Does not have a sixth form"/>
    <s v="Does not apply"/>
    <s v="Does not apply"/>
    <s v="Non-denominational"/>
    <s v="North East, Yorkshire and the Humber"/>
    <x v="0"/>
    <x v="47"/>
    <s v="Hemsworth"/>
    <s v="WF9 2QQ"/>
    <n v="4"/>
    <n v="436"/>
    <d v="2020-11-19T00:00:00"/>
    <d v="2020-12-20T00:00:00"/>
  </r>
  <r>
    <s v="Ofsted School Webpage"/>
    <n v="115963"/>
    <n v="8502211"/>
    <s v="Winnall Primary School"/>
    <x v="0"/>
    <s v="Community School"/>
    <s v="NULL"/>
    <s v="Not applicable"/>
    <s v="Does not have a sixth form"/>
    <s v="Does not apply"/>
    <s v="Does not apply"/>
    <s v="Non-denominational"/>
    <s v="South East"/>
    <x v="2"/>
    <x v="2"/>
    <s v="Winchester"/>
    <s v="SO23 0NY"/>
    <n v="3"/>
    <n v="185"/>
    <d v="2020-11-19T00:00:00"/>
    <d v="2021-01-04T00:00:00"/>
  </r>
  <r>
    <s v="Ofsted School Webpage"/>
    <n v="103783"/>
    <n v="3322048"/>
    <s v="Wallbrook Primary School"/>
    <x v="0"/>
    <s v="Community School"/>
    <s v="NULL"/>
    <s v="Not applicable"/>
    <s v="Does not have a sixth form"/>
    <s v="Does not apply"/>
    <s v="Does not apply"/>
    <s v="Non-denominational"/>
    <s v="West Midlands"/>
    <x v="1"/>
    <x v="110"/>
    <s v="Wolverhampton South East"/>
    <s v="WV14 8YP"/>
    <n v="5"/>
    <n v="296"/>
    <d v="2020-11-19T00:00:00"/>
    <d v="2020-12-17T00:00:00"/>
  </r>
  <r>
    <s v="Ofsted School Webpage"/>
    <n v="100810"/>
    <n v="2102526"/>
    <s v="Rotherhithe Primary School"/>
    <x v="0"/>
    <s v="Community School"/>
    <s v="NULL"/>
    <s v="Not applicable"/>
    <s v="Does not have a sixth form"/>
    <s v="Does not apply"/>
    <s v="Does not apply"/>
    <s v="Non-denominational"/>
    <s v="London"/>
    <x v="3"/>
    <x v="132"/>
    <s v="Bermondsey and Old Southwark"/>
    <s v="SE16 2PL"/>
    <n v="5"/>
    <n v="417"/>
    <d v="2020-11-19T00:00:00"/>
    <d v="2020-12-09T00:00:00"/>
  </r>
  <r>
    <s v="Ofsted School Webpage"/>
    <n v="102728"/>
    <n v="3162037"/>
    <s v="Lathom Junior School"/>
    <x v="0"/>
    <s v="Community School"/>
    <s v="NULL"/>
    <s v="Not applicable"/>
    <s v="Does not have a sixth form"/>
    <s v="Does not apply"/>
    <s v="Does not apply"/>
    <s v="Non-denominational"/>
    <s v="London"/>
    <x v="3"/>
    <x v="107"/>
    <s v="East Ham"/>
    <s v="E6 2DU"/>
    <n v="3"/>
    <n v="576"/>
    <d v="2020-11-19T00:00:00"/>
    <d v="2021-01-04T00:00:00"/>
  </r>
  <r>
    <s v="Ofsted School Webpage"/>
    <n v="122363"/>
    <n v="9294439"/>
    <s v="James Calvert Spence College"/>
    <x v="1"/>
    <s v="Community School"/>
    <s v="NULL"/>
    <s v="Not applicable"/>
    <s v="Has a sixth form"/>
    <s v="Does not apply"/>
    <s v="Does not apply"/>
    <s v="Non-denominational"/>
    <s v="North East, Yorkshire and the Humber"/>
    <x v="8"/>
    <x v="39"/>
    <s v="Berwick-upon-Tweed"/>
    <s v="NE65 0NG"/>
    <n v="4"/>
    <n v="740"/>
    <d v="2020-11-19T00:00:00"/>
    <d v="2021-01-13T00:00:00"/>
  </r>
  <r>
    <s v="Ofsted School Webpage"/>
    <n v="103082"/>
    <n v="3202079"/>
    <s v="The Jenny Hammond Primary School"/>
    <x v="0"/>
    <s v="Community School"/>
    <s v="NULL"/>
    <s v="Not applicable"/>
    <s v="Does not have a sixth form"/>
    <s v="Does not apply"/>
    <s v="Does not apply"/>
    <s v="Non-denominational"/>
    <s v="London"/>
    <x v="3"/>
    <x v="124"/>
    <s v="Leyton and Wanstead"/>
    <s v="E11 3JH"/>
    <n v="4"/>
    <n v="339"/>
    <d v="2020-11-19T00:00:00"/>
    <d v="2020-12-17T00:00:00"/>
  </r>
  <r>
    <s v="Ofsted School Webpage"/>
    <n v="124537"/>
    <n v="9352011"/>
    <s v="New Cangle Community Primary School"/>
    <x v="0"/>
    <s v="Community School"/>
    <s v="NULL"/>
    <s v="Not applicable"/>
    <s v="Does not have a sixth form"/>
    <s v="Does not apply"/>
    <s v="Does not apply"/>
    <s v="Non-denominational"/>
    <s v="East of England"/>
    <x v="7"/>
    <x v="14"/>
    <s v="West Suffolk"/>
    <s v="CB9 0DU"/>
    <n v="2"/>
    <n v="203"/>
    <d v="2020-11-19T00:00:00"/>
    <d v="2021-01-04T00:00:00"/>
  </r>
  <r>
    <s v="Ofsted School Webpage"/>
    <n v="119187"/>
    <n v="8882107"/>
    <s v="Oswaldtwistle Moor End Primary School"/>
    <x v="0"/>
    <s v="Community School"/>
    <s v="NULL"/>
    <s v="Not applicable"/>
    <s v="Does not have a sixth form"/>
    <s v="Does not apply"/>
    <s v="Does not apply"/>
    <s v="Non-denominational"/>
    <s v="North West"/>
    <x v="4"/>
    <x v="27"/>
    <s v="Hyndburn"/>
    <s v="BB5 3JG"/>
    <n v="4"/>
    <n v="193"/>
    <d v="2020-11-19T00:00:00"/>
    <d v="2021-01-13T00:00:00"/>
  </r>
  <r>
    <s v="Ofsted School Webpage"/>
    <n v="114789"/>
    <n v="8822126"/>
    <s v="Heycroft Primary School"/>
    <x v="0"/>
    <s v="Community School"/>
    <s v="NULL"/>
    <s v="Not applicable"/>
    <s v="Does not have a sixth form"/>
    <s v="Does not apply"/>
    <s v="Does not apply"/>
    <s v="Non-denominational"/>
    <s v="East of England"/>
    <x v="7"/>
    <x v="130"/>
    <s v="Southend West"/>
    <s v="SS9 5SJ"/>
    <n v="2"/>
    <n v="401"/>
    <d v="2020-11-19T00:00:00"/>
    <d v="2021-01-13T00:00:00"/>
  </r>
  <r>
    <s v="Ofsted School Webpage"/>
    <n v="105017"/>
    <n v="3442214"/>
    <s v="Mendell Primary School"/>
    <x v="0"/>
    <s v="Community School"/>
    <s v="NULL"/>
    <s v="Not applicable"/>
    <s v="Does not have a sixth form"/>
    <s v="Does not apply"/>
    <s v="Does not apply"/>
    <s v="Non-denominational"/>
    <s v="North West"/>
    <x v="4"/>
    <x v="92"/>
    <s v="Wirral South"/>
    <s v="CH62 7HN"/>
    <n v="4"/>
    <n v="188"/>
    <d v="2020-11-19T00:00:00"/>
    <d v="2021-01-04T00:00:00"/>
  </r>
  <r>
    <s v="Ofsted School Webpage"/>
    <n v="101508"/>
    <n v="3042034"/>
    <s v="Northview Junior and Infant School"/>
    <x v="0"/>
    <s v="Community School"/>
    <s v="NULL"/>
    <s v="Not applicable"/>
    <s v="Does not have a sixth form"/>
    <s v="Does not apply"/>
    <s v="Does not apply"/>
    <s v="Non-denominational"/>
    <s v="London"/>
    <x v="3"/>
    <x v="72"/>
    <s v="Brent Central"/>
    <s v="NW10 1RD"/>
    <n v="4"/>
    <n v="229"/>
    <d v="2020-11-19T00:00:00"/>
    <d v="2021-01-17T00:00:00"/>
  </r>
  <r>
    <s v="Ofsted School Webpage"/>
    <n v="101014"/>
    <n v="2122334"/>
    <s v="John Burns Primary School"/>
    <x v="0"/>
    <s v="Community School"/>
    <s v="NULL"/>
    <s v="Not applicable"/>
    <s v="Does not have a sixth form"/>
    <s v="Does not apply"/>
    <s v="Does not apply"/>
    <s v="Non-denominational"/>
    <s v="London"/>
    <x v="3"/>
    <x v="144"/>
    <s v="Battersea"/>
    <s v="SW11 5QR"/>
    <n v="4"/>
    <n v="223"/>
    <d v="2020-11-19T00:00:00"/>
    <d v="2020-12-15T00:00:00"/>
  </r>
  <r>
    <s v="Ofsted School Webpage"/>
    <n v="116069"/>
    <n v="8502372"/>
    <s v="Fordingbridge Infant School"/>
    <x v="0"/>
    <s v="Community School"/>
    <s v="NULL"/>
    <s v="Not applicable"/>
    <s v="Does not have a sixth form"/>
    <s v="Does not apply"/>
    <s v="Does not apply"/>
    <s v="Non-denominational"/>
    <s v="South East"/>
    <x v="2"/>
    <x v="2"/>
    <s v="New Forest West"/>
    <s v="SP6 1HJ"/>
    <n v="2"/>
    <n v="158"/>
    <d v="2020-11-19T00:00:00"/>
    <d v="2020-12-15T00:00:00"/>
  </r>
  <r>
    <s v="Ofsted School Webpage"/>
    <n v="100740"/>
    <n v="2094047"/>
    <s v="Deptford Green School"/>
    <x v="1"/>
    <s v="Community School"/>
    <s v="NULL"/>
    <s v="Non-selective"/>
    <s v="Not applicable"/>
    <s v="Does not apply"/>
    <s v="Does not apply"/>
    <s v="Non-denominational"/>
    <s v="London"/>
    <x v="3"/>
    <x v="88"/>
    <s v="Lewisham, Deptford"/>
    <s v="SE14 6AN"/>
    <n v="5"/>
    <n v="921"/>
    <d v="2020-11-19T00:00:00"/>
    <d v="2021-01-17T00:00:00"/>
  </r>
  <r>
    <s v="Ofsted School Webpage"/>
    <n v="117157"/>
    <n v="9192117"/>
    <s v="Bushey and Oxhey Infant School"/>
    <x v="0"/>
    <s v="Community School"/>
    <s v="NULL"/>
    <s v="Not applicable"/>
    <s v="Does not have a sixth form"/>
    <s v="Does not apply"/>
    <s v="Does not apply"/>
    <s v="Non-denominational"/>
    <s v="East of England"/>
    <x v="7"/>
    <x v="56"/>
    <s v="Watford"/>
    <s v="WD23 2QH"/>
    <n v="1"/>
    <n v="179"/>
    <d v="2020-11-19T00:00:00"/>
    <d v="2021-01-13T00:00:00"/>
  </r>
  <r>
    <s v="Ofsted School Webpage"/>
    <n v="141410"/>
    <n v="3352019"/>
    <s v="All Saints National Academy"/>
    <x v="0"/>
    <s v="Academy Sponsor Led"/>
    <d v="2015-09-01T00:00:00"/>
    <s v="Non-selective"/>
    <s v="Does not have a sixth form"/>
    <s v="Church of England"/>
    <s v="None"/>
    <s v="Christian"/>
    <s v="West Midlands"/>
    <x v="1"/>
    <x v="73"/>
    <s v="Walsall North"/>
    <s v="WS3 3LP"/>
    <n v="5"/>
    <n v="297"/>
    <d v="2020-11-19T00:00:00"/>
    <d v="2020-12-10T00:00:00"/>
  </r>
  <r>
    <s v="Ofsted School Webpage"/>
    <n v="141690"/>
    <n v="8732036"/>
    <s v="Godmanchester Bridge Academy"/>
    <x v="0"/>
    <s v="Academy Sponsor Led"/>
    <d v="2016-09-01T00:00:00"/>
    <s v="Not applicable"/>
    <s v="Does not have a sixth form"/>
    <s v="Does not apply"/>
    <s v="None"/>
    <s v="Non-denominational"/>
    <s v="East of England"/>
    <x v="7"/>
    <x v="43"/>
    <s v="Huntingdon"/>
    <s v="PE29 2NL"/>
    <n v="1"/>
    <n v="148"/>
    <d v="2020-11-19T00:00:00"/>
    <d v="2021-01-04T00:00:00"/>
  </r>
  <r>
    <s v="Ofsted School Webpage"/>
    <n v="137036"/>
    <n v="3815404"/>
    <s v="Lightcliffe Academy"/>
    <x v="1"/>
    <s v="Academy Sponsor Led"/>
    <d v="2011-08-01T00:00:00"/>
    <s v="Non-selective"/>
    <s v="Has a sixth form"/>
    <s v="None"/>
    <s v="None"/>
    <s v="Non-denominational"/>
    <s v="North East, Yorkshire and the Humber"/>
    <x v="0"/>
    <x v="140"/>
    <s v="Calder Valley"/>
    <s v="HX3 8TL"/>
    <n v="3"/>
    <n v="1295"/>
    <d v="2020-11-19T00:00:00"/>
    <d v="2020-12-15T00:00:00"/>
  </r>
  <r>
    <s v="Ofsted School Webpage"/>
    <n v="134937"/>
    <n v="8737025"/>
    <s v="Granta School"/>
    <x v="2"/>
    <s v="Community Special School"/>
    <d v="2006-09-01T00:00:00"/>
    <s v="Not applicable"/>
    <s v="Has a sixth form"/>
    <s v="Does not apply"/>
    <s v="Does not apply"/>
    <s v="Non-denominational"/>
    <s v="East of England"/>
    <x v="7"/>
    <x v="43"/>
    <s v="South East Cambridgeshire"/>
    <s v="CB21 4NN"/>
    <n v="2"/>
    <n v="142"/>
    <d v="2020-11-19T00:00:00"/>
    <d v="2020-12-17T00:00:00"/>
  </r>
  <r>
    <s v="Ofsted School Webpage"/>
    <n v="107891"/>
    <n v="3832415"/>
    <s v="Rosebank Primary School"/>
    <x v="0"/>
    <s v="Foundation School"/>
    <s v="NULL"/>
    <s v="Not applicable"/>
    <s v="Does not have a sixth form"/>
    <s v="Does not apply"/>
    <s v="Does not apply"/>
    <s v="Non-denominational"/>
    <s v="North East, Yorkshire and the Humber"/>
    <x v="0"/>
    <x v="26"/>
    <s v="Leeds Central"/>
    <s v="LS3 1JP"/>
    <n v="5"/>
    <n v="333"/>
    <d v="2020-11-19T00:00:00"/>
    <d v="2021-01-21T00:00:00"/>
  </r>
  <r>
    <s v="Ofsted School Webpage"/>
    <n v="140932"/>
    <n v="8853041"/>
    <s v="Bengeworth CE Academy"/>
    <x v="0"/>
    <s v="Academy Converter"/>
    <d v="2014-06-01T00:00:00"/>
    <s v="Non-selective"/>
    <s v="Does not have a sixth form"/>
    <s v="Church of England"/>
    <s v="Does not apply"/>
    <s v="Christian"/>
    <s v="West Midlands"/>
    <x v="1"/>
    <x v="89"/>
    <s v="Mid Worcestershire"/>
    <s v="WR11 3EU"/>
    <n v="3"/>
    <n v="529"/>
    <d v="2020-11-19T00:00:00"/>
    <d v="2020-12-14T00:00:00"/>
  </r>
  <r>
    <s v="Ofsted School Webpage"/>
    <n v="136892"/>
    <n v="8803751"/>
    <s v="Eden Park Primary &amp; Nursery School"/>
    <x v="0"/>
    <s v="Academy Converter"/>
    <d v="2011-07-01T00:00:00"/>
    <s v="Not applicable"/>
    <s v="Not applicable"/>
    <s v="Does not apply"/>
    <s v="Does not apply"/>
    <s v="Non-denominational"/>
    <s v="South West"/>
    <x v="5"/>
    <x v="48"/>
    <s v="Totnes"/>
    <s v="TQ5 9NH"/>
    <n v="4"/>
    <n v="486"/>
    <d v="2020-11-19T00:00:00"/>
    <d v="2020-12-13T00:00:00"/>
  </r>
  <r>
    <s v="Ofsted School Webpage"/>
    <n v="136876"/>
    <n v="8705410"/>
    <s v="Prospect School"/>
    <x v="1"/>
    <s v="Academy Converter"/>
    <d v="2011-07-01T00:00:00"/>
    <s v="Non-selective"/>
    <s v="Has a sixth form"/>
    <s v="None"/>
    <s v="Does not apply"/>
    <s v="Non-denominational"/>
    <s v="South East"/>
    <x v="2"/>
    <x v="86"/>
    <s v="Reading West"/>
    <s v="RG30 4EX"/>
    <n v="4"/>
    <n v="1047"/>
    <d v="2020-11-19T00:00:00"/>
    <d v="2021-01-17T00:00:00"/>
  </r>
  <r>
    <s v="Ofsted School Webpage"/>
    <n v="140509"/>
    <n v="9362496"/>
    <s v="Sythwood Primary School"/>
    <x v="0"/>
    <s v="Academy Converter"/>
    <d v="2014-01-01T00:00:00"/>
    <s v="Not applicable"/>
    <s v="Does not have a sixth form"/>
    <s v="Does not apply"/>
    <s v="Does not apply"/>
    <s v="Non-denominational"/>
    <s v="South East"/>
    <x v="2"/>
    <x v="21"/>
    <s v="Woking"/>
    <s v="GU21 3AX"/>
    <n v="3"/>
    <n v="664"/>
    <d v="2020-11-19T00:00:00"/>
    <d v="2020-12-17T00:00:00"/>
  </r>
  <r>
    <s v="Ofsted School Webpage"/>
    <n v="137321"/>
    <n v="9354003"/>
    <s v="Felixstowe School"/>
    <x v="1"/>
    <s v="Academy Sponsor Led"/>
    <d v="2011-09-01T00:00:00"/>
    <s v="Non-selective"/>
    <s v="Has a sixth form"/>
    <s v="Does not apply"/>
    <s v="None"/>
    <s v="Non-denominational"/>
    <s v="East of England"/>
    <x v="7"/>
    <x v="14"/>
    <s v="Suffolk Coastal"/>
    <s v="IP11 9QR"/>
    <n v="3"/>
    <n v="1123"/>
    <d v="2020-11-19T00:00:00"/>
    <d v="2021-01-04T00:00:00"/>
  </r>
  <r>
    <s v="Ofsted School Webpage"/>
    <n v="126306"/>
    <n v="8653019"/>
    <s v="Broad Town Church of England Primary School"/>
    <x v="0"/>
    <s v="Voluntary Controlled School"/>
    <s v="NULL"/>
    <s v="Not applicable"/>
    <s v="Does not have a sixth form"/>
    <s v="Church of England"/>
    <s v="Does not apply"/>
    <s v="Christian"/>
    <s v="South West"/>
    <x v="5"/>
    <x v="125"/>
    <s v="North Wiltshire"/>
    <s v="SN4 7RE"/>
    <n v="1"/>
    <n v="72"/>
    <d v="2020-11-19T00:00:00"/>
    <d v="2020-12-06T00:00:00"/>
  </r>
  <r>
    <s v="Ofsted School Webpage"/>
    <n v="112299"/>
    <n v="9093212"/>
    <s v="Low Furness CofE Primary School"/>
    <x v="0"/>
    <s v="Voluntary Controlled School"/>
    <s v="NULL"/>
    <s v="Not applicable"/>
    <s v="Does not have a sixth form"/>
    <s v="Church of England"/>
    <s v="Does not apply"/>
    <s v="Christian"/>
    <s v="North West"/>
    <x v="4"/>
    <x v="25"/>
    <s v="Barrow and Furness"/>
    <s v="LA12 0TA"/>
    <n v="1"/>
    <n v="145"/>
    <d v="2020-11-19T00:00:00"/>
    <d v="2020-12-17T00:00:00"/>
  </r>
  <r>
    <s v="Ofsted School Webpage"/>
    <n v="107702"/>
    <n v="3823004"/>
    <s v="Savile Town Church of England Voluntary Controlled Infant and Nursery School"/>
    <x v="0"/>
    <s v="Voluntary Controlled School"/>
    <s v="NULL"/>
    <s v="Not applicable"/>
    <s v="Does not have a sixth form"/>
    <s v="Church of England"/>
    <s v="Does not apply"/>
    <s v="Christian"/>
    <s v="North East, Yorkshire and the Humber"/>
    <x v="0"/>
    <x v="104"/>
    <s v="Dewsbury"/>
    <s v="WF12 9LY"/>
    <n v="3"/>
    <n v="114"/>
    <d v="2020-11-19T00:00:00"/>
    <d v="2020-12-08T00:00:00"/>
  </r>
  <r>
    <s v="Ofsted School Webpage"/>
    <n v="108747"/>
    <n v="3941005"/>
    <s v="Hetton-le-Hole Nursery School"/>
    <x v="4"/>
    <s v="LA Nursery School"/>
    <s v="NULL"/>
    <s v="Not applicable"/>
    <s v="Not applicable"/>
    <s v="Does not apply"/>
    <s v="Does not apply"/>
    <s v="Non-denominational"/>
    <s v="North East, Yorkshire and the Humber"/>
    <x v="8"/>
    <x v="102"/>
    <s v="Houghton and Sunderland South"/>
    <s v="DH5 9DG"/>
    <n v="3"/>
    <n v="55"/>
    <d v="2020-11-19T00:00:00"/>
    <d v="2021-01-17T00:00:00"/>
  </r>
  <r>
    <s v="Ofsted School Webpage"/>
    <n v="138396"/>
    <n v="3302048"/>
    <s v="Nechells Primary E-ACT Academy"/>
    <x v="0"/>
    <s v="Academy Sponsor Led"/>
    <d v="2012-09-01T00:00:00"/>
    <s v="Not applicable"/>
    <s v="Not applicable"/>
    <s v="Does not apply"/>
    <s v="None"/>
    <s v="Non-denominational"/>
    <s v="West Midlands"/>
    <x v="1"/>
    <x v="8"/>
    <s v="Birmingham, Ladywood"/>
    <s v="B7 5LB"/>
    <n v="5"/>
    <n v="172"/>
    <d v="2020-11-19T00:00:00"/>
    <d v="2020-12-10T00:00:00"/>
  </r>
  <r>
    <s v="Ofsted School Webpage"/>
    <n v="111726"/>
    <n v="8074007"/>
    <s v="Huntcliff School"/>
    <x v="1"/>
    <s v="Foundation School"/>
    <d v="1899-12-31T00:00:00"/>
    <s v="Non-selective"/>
    <s v="Does not have a sixth form"/>
    <s v="Does not apply"/>
    <s v="Does not apply"/>
    <s v="Non-denominational"/>
    <s v="North East, Yorkshire and the Humber"/>
    <x v="8"/>
    <x v="59"/>
    <s v="Middlesbrough South and East Cleveland"/>
    <s v="TS12 1HJ"/>
    <n v="3"/>
    <n v="532"/>
    <d v="2020-11-19T00:00:00"/>
    <d v="2021-01-17T00:00:00"/>
  </r>
  <r>
    <s v="Ofsted School Webpage"/>
    <n v="109742"/>
    <n v="8227012"/>
    <s v="Ridgeway School"/>
    <x v="2"/>
    <s v="Community Special School"/>
    <s v="NULL"/>
    <s v="Not applicable"/>
    <s v="Has a sixth form"/>
    <s v="Does not apply"/>
    <s v="Does not apply"/>
    <s v="Non-denominational"/>
    <s v="East of England"/>
    <x v="7"/>
    <x v="50"/>
    <s v="Bedford"/>
    <s v="MK42 7EB"/>
    <n v="3"/>
    <n v="76"/>
    <d v="2020-11-19T00:00:00"/>
    <d v="2021-01-04T00:00:00"/>
  </r>
  <r>
    <s v="Ofsted School Webpage"/>
    <n v="144918"/>
    <n v="8023455"/>
    <s v="Bournville Primary School"/>
    <x v="0"/>
    <s v="Academy Converter"/>
    <d v="2017-10-01T00:00:00"/>
    <s v="Not applicable"/>
    <s v="Does not have a sixth form"/>
    <s v="Does not apply"/>
    <s v="Does not apply"/>
    <s v="Non-denominational"/>
    <s v="South West"/>
    <x v="5"/>
    <x v="98"/>
    <s v="Weston-Super-Mare"/>
    <s v="BS23 3ST"/>
    <n v="5"/>
    <n v="501"/>
    <d v="2020-11-19T00:00:00"/>
    <d v="2020-12-13T00:00:00"/>
  </r>
  <r>
    <s v="Ofsted School Webpage"/>
    <n v="143818"/>
    <n v="3324001"/>
    <s v="Thorns Collegiate Academy"/>
    <x v="1"/>
    <s v="Academy Sponsor Led"/>
    <d v="2017-09-01T00:00:00"/>
    <s v="Non-selective"/>
    <s v="Does not have a sixth form"/>
    <s v="Does not apply"/>
    <s v="Unknown"/>
    <s v="Non-denominational"/>
    <s v="West Midlands"/>
    <x v="1"/>
    <x v="110"/>
    <s v="Stourbridge"/>
    <s v="DY5 2NU"/>
    <n v="4"/>
    <n v="878"/>
    <d v="2020-11-19T00:00:00"/>
    <d v="2021-01-05T00:00:00"/>
  </r>
  <r>
    <s v="Ofsted School Webpage"/>
    <n v="142335"/>
    <n v="8652027"/>
    <s v="Marlborough St Mary's CE Primary School"/>
    <x v="0"/>
    <s v="Voluntary Controlled School"/>
    <d v="2016-09-01T00:00:00"/>
    <s v="Not applicable"/>
    <s v="Does not have a sixth form"/>
    <s v="Church of England"/>
    <s v="Does not apply"/>
    <s v="Christian"/>
    <s v="South West"/>
    <x v="5"/>
    <x v="125"/>
    <s v="Devizes"/>
    <s v="SN8 4BX"/>
    <n v="2"/>
    <n v="384"/>
    <d v="2020-11-19T00:00:00"/>
    <d v="2020-12-07T00:00:00"/>
  </r>
  <r>
    <s v="Ofsted School Webpage"/>
    <n v="141298"/>
    <n v="3313301"/>
    <s v="St John's Church of England Academy"/>
    <x v="0"/>
    <s v="Academy Converter"/>
    <d v="2014-09-01T00:00:00"/>
    <s v="Not applicable"/>
    <s v="Does not have a sixth form"/>
    <s v="Church of England"/>
    <s v="Does not apply"/>
    <s v="Christian"/>
    <s v="West Midlands"/>
    <x v="1"/>
    <x v="15"/>
    <s v="Coventry North West"/>
    <s v="CV5 9HZ"/>
    <n v="2"/>
    <n v="212"/>
    <d v="2020-11-19T00:00:00"/>
    <d v="2021-01-13T00:00:00"/>
  </r>
  <r>
    <s v="Ofsted School Webpage"/>
    <n v="138534"/>
    <n v="3942163"/>
    <s v="Holley Park Academy"/>
    <x v="0"/>
    <s v="Academy Converter"/>
    <d v="2012-08-01T00:00:00"/>
    <s v="Not applicable"/>
    <s v="Does not have a sixth form"/>
    <s v="Does not apply"/>
    <s v="Does not apply"/>
    <s v="Non-denominational"/>
    <s v="North East, Yorkshire and the Humber"/>
    <x v="8"/>
    <x v="102"/>
    <s v="Washington and Sunderland West"/>
    <s v="NE38 0LR"/>
    <n v="3"/>
    <n v="275"/>
    <d v="2020-11-19T00:00:00"/>
    <d v="2021-01-13T00:00:00"/>
  </r>
  <r>
    <s v="Ofsted School Webpage"/>
    <n v="140636"/>
    <n v="9333086"/>
    <s v="Old Cleeve CofE School, Washford"/>
    <x v="0"/>
    <s v="Academy Converter"/>
    <d v="2014-03-01T00:00:00"/>
    <s v="Not applicable"/>
    <s v="Does not have a sixth form"/>
    <s v="Church of England"/>
    <s v="Does not apply"/>
    <s v="Christian"/>
    <s v="South West"/>
    <x v="5"/>
    <x v="34"/>
    <s v="Bridgwater and West Somerset"/>
    <s v="TA23 0PB"/>
    <n v="3"/>
    <n v="148"/>
    <d v="2020-11-19T00:00:00"/>
    <d v="2021-01-13T00:00:00"/>
  </r>
  <r>
    <s v="Ofsted School Webpage"/>
    <n v="140404"/>
    <n v="8857000"/>
    <s v="Kingfisher School"/>
    <x v="2"/>
    <s v="Academy Special Sponsor Led"/>
    <d v="2014-01-01T00:00:00"/>
    <s v="Not applicable"/>
    <s v="Does not have a sixth form"/>
    <s v="Does not apply"/>
    <s v="None"/>
    <s v="Non-denominational"/>
    <s v="West Midlands"/>
    <x v="1"/>
    <x v="89"/>
    <s v="Redditch"/>
    <s v="B98 0HF"/>
    <n v="4"/>
    <n v="91"/>
    <d v="2020-11-19T00:00:00"/>
    <d v="2021-01-05T00:00:00"/>
  </r>
  <r>
    <s v="Ofsted School Webpage"/>
    <n v="138236"/>
    <n v="8864003"/>
    <s v="High Weald Academy"/>
    <x v="1"/>
    <s v="Academy Sponsor Led"/>
    <d v="2012-09-01T00:00:00"/>
    <s v="Non-selective"/>
    <s v="Has a sixth form"/>
    <s v="None"/>
    <s v="None"/>
    <s v="Non-denominational"/>
    <s v="South East"/>
    <x v="2"/>
    <x v="7"/>
    <s v="Maidstone and The Weald"/>
    <s v="TN17 2PJ"/>
    <n v="2"/>
    <n v="251"/>
    <d v="2020-11-19T00:00:00"/>
    <d v="2021-01-17T00:00:00"/>
  </r>
  <r>
    <s v="Ofsted School Webpage"/>
    <n v="141693"/>
    <n v="3434002"/>
    <s v="Hillside High School"/>
    <x v="1"/>
    <s v="Academy Sponsor Led"/>
    <d v="2015-03-01T00:00:00"/>
    <s v="Non-selective"/>
    <s v="Does not have a sixth form"/>
    <s v="None"/>
    <s v="None"/>
    <s v="Non-denominational"/>
    <s v="North West"/>
    <x v="4"/>
    <x v="93"/>
    <s v="Bootle"/>
    <s v="L20 9NU"/>
    <n v="5"/>
    <n v="613"/>
    <d v="2020-11-19T00:00:00"/>
    <d v="2021-01-17T00:00:00"/>
  </r>
  <r>
    <s v="Ofsted School Webpage"/>
    <n v="136533"/>
    <n v="9084165"/>
    <s v="Newquay Tretherras"/>
    <x v="1"/>
    <s v="Academy Converter"/>
    <d v="2011-04-01T00:00:00"/>
    <s v="Non-selective"/>
    <s v="Has a sixth form"/>
    <s v="None"/>
    <s v="Does not apply"/>
    <s v="Non-denominational"/>
    <s v="South West"/>
    <x v="5"/>
    <x v="42"/>
    <s v="St Austell and Newquay"/>
    <s v="TR7 3BH"/>
    <n v="2"/>
    <n v="1666"/>
    <d v="2020-11-19T00:00:00"/>
    <d v="2020-12-07T00:00:00"/>
  </r>
  <r>
    <s v="Ofsted School Webpage"/>
    <n v="138957"/>
    <n v="3503025"/>
    <s v="Ss Simon &amp; Jude CofE Primary School, Bolton"/>
    <x v="0"/>
    <s v="Academy Converter"/>
    <d v="2012-11-01T00:00:00"/>
    <s v="Not applicable"/>
    <s v="Does not have a sixth form"/>
    <s v="Church of England"/>
    <s v="Does not apply"/>
    <s v="Christian"/>
    <s v="North West"/>
    <x v="4"/>
    <x v="116"/>
    <s v="Bolton South East"/>
    <s v="BL3 2DT"/>
    <n v="5"/>
    <n v="474"/>
    <d v="2020-11-19T00:00:00"/>
    <d v="2021-01-04T00:00:00"/>
  </r>
  <r>
    <s v="Ofsted School Webpage"/>
    <n v="138260"/>
    <n v="3434000"/>
    <s v="King's Leadership Academy Hawthornes"/>
    <x v="1"/>
    <s v="Free School"/>
    <d v="2012-08-28T00:00:00"/>
    <s v="Non-selective"/>
    <s v="Does not have a sixth form"/>
    <s v="None"/>
    <s v="Christian"/>
    <s v="Non-denominational"/>
    <s v="North West"/>
    <x v="4"/>
    <x v="93"/>
    <s v="Bootle"/>
    <s v="L20 6AQ"/>
    <n v="5"/>
    <n v="330"/>
    <d v="2020-11-19T00:00:00"/>
    <d v="2020-12-10T00:00:00"/>
  </r>
  <r>
    <s v="Ofsted School Webpage"/>
    <n v="144705"/>
    <n v="8652022"/>
    <s v="Ivy Lane Primary School"/>
    <x v="0"/>
    <s v="Academy Converter"/>
    <d v="2017-08-01T00:00:00"/>
    <s v="Not applicable"/>
    <s v="Does not have a sixth form"/>
    <s v="Does not apply"/>
    <s v="Does not apply"/>
    <s v="Non-denominational"/>
    <s v="South West"/>
    <x v="5"/>
    <x v="125"/>
    <s v="Chippenham"/>
    <s v="SN15 1HE"/>
    <n v="2"/>
    <n v="392"/>
    <d v="2020-11-19T00:00:00"/>
    <d v="2020-12-15T00:00:00"/>
  </r>
  <r>
    <s v="Ofsted School Webpage"/>
    <n v="148151"/>
    <n v="9262230"/>
    <s v="Parker's Church of England Primary Academy"/>
    <x v="0"/>
    <s v="Academy Sponsor Led"/>
    <d v="2020-11-01T00:00:00"/>
    <s v="Not applicable"/>
    <s v="Does not have a sixth form"/>
    <s v="Church of England"/>
    <s v="Church of England"/>
    <s v="Christian"/>
    <s v="East of England"/>
    <x v="7"/>
    <x v="33"/>
    <s v="Mid Norfolk"/>
    <s v="IP25 7HP"/>
    <s v="NULL"/>
    <s v="NULL"/>
    <d v="2020-11-19T00:00:00"/>
    <d v="2021-01-04T00:00:00"/>
  </r>
  <r>
    <s v="Ofsted School Webpage"/>
    <n v="143553"/>
    <n v="9382027"/>
    <s v="Central CofE Academy"/>
    <x v="0"/>
    <s v="Academy Sponsor Led"/>
    <d v="2016-11-01T00:00:00"/>
    <s v="Not applicable"/>
    <s v="Does not have a sixth form"/>
    <s v="Church of England"/>
    <s v="Church of England"/>
    <s v="Christian"/>
    <s v="South East"/>
    <x v="2"/>
    <x v="55"/>
    <s v="Chichester"/>
    <s v="PO19 1DQ"/>
    <n v="3"/>
    <n v="157"/>
    <d v="2020-11-19T00:00:00"/>
    <d v="2021-01-17T00:00:00"/>
  </r>
  <r>
    <s v="Ofsted School Webpage"/>
    <n v="146013"/>
    <n v="8037031"/>
    <s v="New Siblands School"/>
    <x v="2"/>
    <s v="Academy Special Converter"/>
    <d v="2018-07-01T00:00:00"/>
    <s v="Not applicable"/>
    <s v="Has a sixth form"/>
    <s v="Does not apply"/>
    <s v="Does not apply"/>
    <s v="Non-denominational"/>
    <s v="South West"/>
    <x v="5"/>
    <x v="5"/>
    <s v="Thornbury and Yate"/>
    <s v="BS35 2JU"/>
    <n v="2"/>
    <n v="125"/>
    <d v="2020-11-24T00:00:00"/>
    <d v="2020-12-14T00:00:00"/>
  </r>
  <r>
    <s v="Ofsted School Webpage"/>
    <n v="146035"/>
    <n v="9282235"/>
    <s v="Blackthorn Primary School"/>
    <x v="0"/>
    <s v="Academy Sponsor Led"/>
    <d v="2018-06-01T00:00:00"/>
    <s v="Unknown"/>
    <s v="Not applicable"/>
    <s v="None"/>
    <s v="None"/>
    <s v="Non-denominational"/>
    <s v="East Midlands"/>
    <x v="6"/>
    <x v="64"/>
    <s v="Northampton North"/>
    <s v="NN3 8EP"/>
    <n v="5"/>
    <n v="266"/>
    <d v="2020-11-24T00:00:00"/>
    <d v="2021-01-04T00:00:00"/>
  </r>
  <r>
    <s v="Ofsted School Webpage"/>
    <n v="146075"/>
    <n v="3302186"/>
    <s v="Birchfield Primary School"/>
    <x v="0"/>
    <s v="Academy Sponsor Led"/>
    <d v="2018-07-01T00:00:00"/>
    <s v="Not applicable"/>
    <s v="Does not have a sixth form"/>
    <s v="Does not apply"/>
    <s v="Does not apply"/>
    <s v="Non-denominational"/>
    <s v="West Midlands"/>
    <x v="1"/>
    <x v="8"/>
    <s v="Birmingham, Ladywood"/>
    <s v="B6 6AJ"/>
    <n v="5"/>
    <n v="704"/>
    <d v="2020-11-24T00:00:00"/>
    <d v="2020-12-15T00:00:00"/>
  </r>
  <r>
    <s v="Ofsted School Webpage"/>
    <n v="144225"/>
    <n v="3942112"/>
    <s v="Hetton Lyons Primary School"/>
    <x v="0"/>
    <s v="Academy Converter"/>
    <d v="2017-07-01T00:00:00"/>
    <s v="Not applicable"/>
    <s v="Does not have a sixth form"/>
    <s v="Does not apply"/>
    <s v="Does not apply"/>
    <s v="Non-denominational"/>
    <s v="North East, Yorkshire and the Humber"/>
    <x v="8"/>
    <x v="102"/>
    <s v="Houghton and Sunderland South"/>
    <s v="DH5 0AH"/>
    <n v="5"/>
    <n v="438"/>
    <d v="2020-11-24T00:00:00"/>
    <d v="2020-12-21T00:00:00"/>
  </r>
  <r>
    <s v="Ofsted School Webpage"/>
    <n v="145487"/>
    <n v="9192086"/>
    <s v="Beech Hyde Primary School and Nursery"/>
    <x v="0"/>
    <s v="Academy Sponsor Led"/>
    <d v="2018-05-01T00:00:00"/>
    <s v="Not applicable"/>
    <s v="Does not have a sixth form"/>
    <s v="Does not apply"/>
    <s v="Does not apply"/>
    <s v="Non-denominational"/>
    <s v="East of England"/>
    <x v="7"/>
    <x v="56"/>
    <s v="Hitchin and Harpenden"/>
    <s v="AL4 8TP"/>
    <n v="3"/>
    <n v="189"/>
    <d v="2020-11-24T00:00:00"/>
    <d v="2021-01-17T00:00:00"/>
  </r>
  <r>
    <s v="Ofsted School Webpage"/>
    <n v="145978"/>
    <n v="8882006"/>
    <s v="Casterton Primary Academy"/>
    <x v="0"/>
    <s v="Academy Sponsor Led"/>
    <d v="2018-06-01T00:00:00"/>
    <s v="Not applicable"/>
    <s v="Does not have a sixth form"/>
    <s v="Does not apply"/>
    <s v="Does not apply"/>
    <s v="Non-denominational"/>
    <s v="North West"/>
    <x v="4"/>
    <x v="27"/>
    <s v="Burnley"/>
    <s v="BB10 2PZ"/>
    <n v="4"/>
    <n v="286"/>
    <d v="2020-11-24T00:00:00"/>
    <d v="2021-01-13T00:00:00"/>
  </r>
  <r>
    <s v="Ofsted School Webpage"/>
    <n v="144443"/>
    <n v="9352067"/>
    <s v="Bungay Primary School"/>
    <x v="0"/>
    <s v="Academy Converter"/>
    <d v="2017-05-01T00:00:00"/>
    <s v="Not applicable"/>
    <s v="Does not have a sixth form"/>
    <s v="Does not apply"/>
    <s v="Does not apply"/>
    <s v="Non-denominational"/>
    <s v="East of England"/>
    <x v="7"/>
    <x v="14"/>
    <s v="Waveney"/>
    <s v="NR35 1HA"/>
    <n v="4"/>
    <n v="216"/>
    <d v="2020-11-24T00:00:00"/>
    <d v="2021-01-17T00:00:00"/>
  </r>
  <r>
    <s v="Ofsted School Webpage"/>
    <n v="142709"/>
    <n v="8782421"/>
    <s v="Hennock Community Primary School"/>
    <x v="0"/>
    <s v="Academy Converter"/>
    <d v="2016-04-01T00:00:00"/>
    <s v="Not applicable"/>
    <s v="Does not have a sixth form"/>
    <s v="Does not apply"/>
    <s v="Does not apply"/>
    <s v="Non-denominational"/>
    <s v="South West"/>
    <x v="5"/>
    <x v="62"/>
    <s v="Central Devon"/>
    <s v="TQ13 9QB"/>
    <n v="2"/>
    <n v="69"/>
    <d v="2020-11-24T00:00:00"/>
    <d v="2020-12-13T00:00:00"/>
  </r>
  <r>
    <s v="Ofsted School Webpage"/>
    <n v="139897"/>
    <n v="8254006"/>
    <s v="Khalsa Secondary Academy"/>
    <x v="1"/>
    <s v="Free School"/>
    <d v="2013-09-05T00:00:00"/>
    <s v="Non-selective"/>
    <s v="Has a sixth form"/>
    <s v="Sikh"/>
    <s v="Sikh"/>
    <s v="Sikh"/>
    <s v="South East"/>
    <x v="2"/>
    <x v="120"/>
    <s v="Beaconsfield"/>
    <s v="SL2 4QB"/>
    <n v="2"/>
    <n v="522"/>
    <d v="2020-11-24T00:00:00"/>
    <d v="2020-12-15T00:00:00"/>
  </r>
  <r>
    <s v="Ofsted School Webpage"/>
    <n v="145124"/>
    <n v="8034008"/>
    <s v="Patchway Community School"/>
    <x v="1"/>
    <s v="Academy Converter"/>
    <d v="2017-09-01T00:00:00"/>
    <s v="Non-selective"/>
    <s v="Has a sixth form"/>
    <s v="None"/>
    <s v="Does not apply"/>
    <s v="Non-denominational"/>
    <s v="South West"/>
    <x v="5"/>
    <x v="5"/>
    <s v="Filton and Bradley Stoke"/>
    <s v="BS32 4AJ"/>
    <n v="3"/>
    <n v="601"/>
    <d v="2020-11-24T00:00:00"/>
    <d v="2021-01-04T00:00:00"/>
  </r>
  <r>
    <s v="Ofsted School Webpage"/>
    <n v="145122"/>
    <n v="3182029"/>
    <s v="Nelson Primary School"/>
    <x v="0"/>
    <s v="Academy Sponsor Led"/>
    <d v="2017-09-01T00:00:00"/>
    <s v="Unknown"/>
    <s v="Does not have a sixth form"/>
    <s v="None"/>
    <s v="None"/>
    <s v="Non-denominational"/>
    <s v="London"/>
    <x v="3"/>
    <x v="81"/>
    <s v="Twickenham"/>
    <s v="TW2 7BU"/>
    <n v="3"/>
    <n v="407"/>
    <d v="2020-11-24T00:00:00"/>
    <d v="2021-01-17T00:00:00"/>
  </r>
  <r>
    <s v="Ofsted School Webpage"/>
    <n v="145133"/>
    <n v="3564001"/>
    <s v="Reddish Vale High School"/>
    <x v="1"/>
    <s v="Academy Sponsor Led"/>
    <d v="2017-09-01T00:00:00"/>
    <s v="Non-selective"/>
    <s v="Does not have a sixth form"/>
    <s v="None"/>
    <s v="None"/>
    <s v="Non-denominational"/>
    <s v="North West"/>
    <x v="4"/>
    <x v="16"/>
    <s v="Denton and Reddish"/>
    <s v="SK5 7HD"/>
    <n v="5"/>
    <n v="874"/>
    <d v="2020-11-24T00:00:00"/>
    <d v="2020-12-21T00:00:00"/>
  </r>
  <r>
    <s v="Ofsted School Webpage"/>
    <n v="137226"/>
    <n v="8812598"/>
    <s v="Great Berry Primary School"/>
    <x v="0"/>
    <s v="Academy Converter"/>
    <d v="2011-08-01T00:00:00"/>
    <s v="Not applicable"/>
    <s v="Not applicable"/>
    <s v="Does not apply"/>
    <s v="Does not apply"/>
    <s v="Non-denominational"/>
    <s v="East of England"/>
    <x v="7"/>
    <x v="75"/>
    <s v="South Basildon and East Thurrock"/>
    <s v="SS16 6SG"/>
    <n v="1"/>
    <n v="433"/>
    <d v="2020-11-24T00:00:00"/>
    <d v="2021-01-04T00:00:00"/>
  </r>
  <r>
    <s v="Ofsted School Webpage"/>
    <n v="140025"/>
    <n v="3732017"/>
    <s v="St John Fisher Primary, A Catholic Voluntary Academy"/>
    <x v="0"/>
    <s v="Academy Sponsor Led"/>
    <d v="2013-12-01T00:00:00"/>
    <s v="Not applicable"/>
    <s v="Does not have a sixth form"/>
    <s v="Roman Catholic"/>
    <s v="None"/>
    <s v="Christian"/>
    <s v="North East, Yorkshire and the Humber"/>
    <x v="0"/>
    <x v="99"/>
    <s v="Sheffield South East"/>
    <s v="S12 4HJ"/>
    <n v="4"/>
    <n v="215"/>
    <d v="2020-11-24T00:00:00"/>
    <d v="2021-01-20T00:00:00"/>
  </r>
  <r>
    <s v="Ofsted School Webpage"/>
    <n v="139573"/>
    <n v="3842007"/>
    <s v="St Helen's CE Primary School"/>
    <x v="0"/>
    <s v="Academy Sponsor Led"/>
    <d v="2013-07-01T00:00:00"/>
    <s v="Not applicable"/>
    <s v="Does not have a sixth form"/>
    <s v="Church of England"/>
    <s v="None"/>
    <s v="Christian"/>
    <s v="North East, Yorkshire and the Humber"/>
    <x v="0"/>
    <x v="47"/>
    <s v="Hemsworth"/>
    <s v="WF9 4EG"/>
    <n v="5"/>
    <n v="239"/>
    <d v="2020-11-24T00:00:00"/>
    <d v="2021-01-06T00:00:00"/>
  </r>
  <r>
    <s v="Ofsted School Webpage"/>
    <n v="141757"/>
    <n v="8384029"/>
    <s v="Allenbourn Middle School"/>
    <x v="1"/>
    <s v="Academy Converter"/>
    <d v="2015-03-01T00:00:00"/>
    <s v="Not applicable"/>
    <s v="Does not have a sixth form"/>
    <s v="Does not apply"/>
    <s v="Does not apply"/>
    <s v="Non-denominational"/>
    <s v="South West"/>
    <x v="5"/>
    <x v="87"/>
    <s v="Mid Dorset and North Poole"/>
    <s v="BH21 1PL"/>
    <n v="1"/>
    <n v="579"/>
    <d v="2020-11-24T00:00:00"/>
    <d v="2021-01-17T00:00:00"/>
  </r>
  <r>
    <s v="Ofsted School Webpage"/>
    <n v="141633"/>
    <n v="9283509"/>
    <s v="Our Lady of Walsingham Catholic Primary School"/>
    <x v="0"/>
    <s v="Academy Converter"/>
    <d v="2015-03-01T00:00:00"/>
    <s v="Not applicable"/>
    <s v="Does not have a sixth form"/>
    <s v="Roman Catholic"/>
    <s v="Does not apply"/>
    <s v="Christian"/>
    <s v="East Midlands"/>
    <x v="6"/>
    <x v="64"/>
    <s v="Corby"/>
    <s v="NN17 1EE"/>
    <n v="4"/>
    <n v="388"/>
    <d v="2020-11-24T00:00:00"/>
    <d v="2021-01-04T00:00:00"/>
  </r>
  <r>
    <s v="Ofsted School Webpage"/>
    <n v="143134"/>
    <n v="8264003"/>
    <s v="Stantonbury International"/>
    <x v="1"/>
    <s v="Academy Sponsor Led"/>
    <d v="2016-09-01T00:00:00"/>
    <s v="Non-selective"/>
    <s v="Has a sixth form"/>
    <s v="None"/>
    <s v="Unknown"/>
    <s v="Non-denominational"/>
    <s v="South East"/>
    <x v="2"/>
    <x v="135"/>
    <s v="Milton Keynes North"/>
    <s v="MK14 6BN"/>
    <n v="4"/>
    <n v="1641"/>
    <d v="2020-11-24T00:00:00"/>
    <d v="2021-01-20T00:00:00"/>
  </r>
  <r>
    <s v="Ofsted School Webpage"/>
    <n v="141572"/>
    <n v="8812687"/>
    <s v="Katherine Semar Junior School"/>
    <x v="0"/>
    <s v="Academy Converter"/>
    <d v="2014-12-01T00:00:00"/>
    <s v="Not applicable"/>
    <s v="Does not have a sixth form"/>
    <s v="Does not apply"/>
    <s v="Does not apply"/>
    <s v="Non-denominational"/>
    <s v="East of England"/>
    <x v="7"/>
    <x v="75"/>
    <s v="Saffron Walden"/>
    <s v="CB11 4DU"/>
    <n v="1"/>
    <n v="253"/>
    <d v="2020-11-24T00:00:00"/>
    <d v="2020-12-17T00:00:00"/>
  </r>
  <r>
    <s v="Ofsted School Webpage"/>
    <n v="142317"/>
    <n v="3364113"/>
    <s v="Highfields School"/>
    <x v="1"/>
    <s v="Academy Converter"/>
    <d v="2015-12-01T00:00:00"/>
    <s v="Non-selective"/>
    <s v="Has a sixth form"/>
    <s v="Does not apply"/>
    <s v="Does not apply"/>
    <s v="Non-denominational"/>
    <s v="West Midlands"/>
    <x v="1"/>
    <x v="1"/>
    <s v="Wolverhampton South West"/>
    <s v="WV4 4NT"/>
    <n v="3"/>
    <n v="1588"/>
    <d v="2020-11-24T00:00:00"/>
    <d v="2021-01-05T00:00:00"/>
  </r>
  <r>
    <s v="Ofsted School Webpage"/>
    <n v="144013"/>
    <n v="9164009"/>
    <s v="Five Acres High School"/>
    <x v="1"/>
    <s v="Academy Sponsor Led"/>
    <d v="2017-09-01T00:00:00"/>
    <s v="Non-selective"/>
    <s v="Does not have a sixth form"/>
    <s v="None"/>
    <s v="Unknown"/>
    <s v="Non-denominational"/>
    <s v="South West"/>
    <x v="5"/>
    <x v="28"/>
    <s v="Forest of Dean"/>
    <s v="GL16 7QW"/>
    <n v="3"/>
    <n v="611"/>
    <d v="2020-11-24T00:00:00"/>
    <d v="2021-01-04T00:00:00"/>
  </r>
  <r>
    <s v="Ofsted School Webpage"/>
    <n v="136476"/>
    <n v="9255422"/>
    <s v="Bluecoat Meres Academy"/>
    <x v="1"/>
    <s v="Academy Converter"/>
    <d v="2011-02-01T00:00:00"/>
    <s v="Non-selective"/>
    <s v="Does not have a sixth form"/>
    <s v="Church of England"/>
    <s v="Does not apply"/>
    <s v="Christian"/>
    <s v="East Midlands"/>
    <x v="6"/>
    <x v="18"/>
    <s v="Grantham and Stamford"/>
    <s v="NG31 7PX"/>
    <n v="5"/>
    <n v="351"/>
    <d v="2020-11-24T00:00:00"/>
    <d v="2021-01-04T00:00:00"/>
  </r>
  <r>
    <s v="Ofsted School Webpage"/>
    <n v="144942"/>
    <n v="8942034"/>
    <s v="Hadley Learning Community - Primary Phase"/>
    <x v="0"/>
    <s v="Academy Converter"/>
    <d v="2018-03-01T00:00:00"/>
    <s v="Not applicable"/>
    <s v="Does not have a sixth form"/>
    <s v="Does not apply"/>
    <s v="Does not apply"/>
    <s v="Non-denominational"/>
    <s v="West Midlands"/>
    <x v="1"/>
    <x v="100"/>
    <s v="The Wrekin"/>
    <s v="TF1 5NU"/>
    <n v="4"/>
    <n v="603"/>
    <d v="2020-11-24T00:00:00"/>
    <d v="2020-12-14T00:00:00"/>
  </r>
  <r>
    <s v="Ofsted School Webpage"/>
    <n v="142552"/>
    <n v="3402003"/>
    <s v="Park View Academy"/>
    <x v="0"/>
    <s v="Academy Converter"/>
    <d v="2016-01-01T00:00:00"/>
    <s v="Not applicable"/>
    <s v="Does not have a sixth form"/>
    <s v="Does not apply"/>
    <s v="Does not apply"/>
    <s v="Non-denominational"/>
    <s v="North West"/>
    <x v="4"/>
    <x v="63"/>
    <s v="Knowsley"/>
    <s v="L36 2LL"/>
    <n v="5"/>
    <n v="336"/>
    <d v="2020-11-24T00:00:00"/>
    <d v="2021-01-19T00:00:00"/>
  </r>
  <r>
    <s v="Ofsted School Webpage"/>
    <n v="143430"/>
    <n v="8514006"/>
    <s v="UTC Portsmouth"/>
    <x v="1"/>
    <s v="University Technical College"/>
    <d v="2017-09-01T00:00:00"/>
    <s v="Unknown"/>
    <s v="Has a sixth form"/>
    <s v="Does not apply"/>
    <s v="Does not apply"/>
    <s v="Non-denominational"/>
    <s v="South East"/>
    <x v="2"/>
    <x v="58"/>
    <s v="Portsmouth North"/>
    <s v="PO2 9DU"/>
    <n v="2"/>
    <n v="379"/>
    <d v="2020-11-24T00:00:00"/>
    <d v="2021-01-19T00:00:00"/>
  </r>
  <r>
    <s v="Ofsted School Webpage"/>
    <n v="144852"/>
    <n v="3197007"/>
    <s v="Link Secondary School"/>
    <x v="2"/>
    <s v="Academy Special Converter"/>
    <d v="2017-07-01T00:00:00"/>
    <s v="Not applicable"/>
    <s v="Has a sixth form"/>
    <s v="Does not apply"/>
    <s v="Does not apply"/>
    <s v="Non-denominational"/>
    <s v="London"/>
    <x v="3"/>
    <x v="145"/>
    <s v="Carshalton and Wallington"/>
    <s v="CR0 4PD"/>
    <n v="3"/>
    <n v="49"/>
    <d v="2020-11-24T00:00:00"/>
    <d v="2021-01-05T00:00:00"/>
  </r>
  <r>
    <s v="Ofsted School Webpage"/>
    <n v="135331"/>
    <n v="9161107"/>
    <s v="Stroud and Cotswold Alternative Provision School"/>
    <x v="3"/>
    <s v="Pupil Referral Unit"/>
    <d v="2007-09-01T00:00:00"/>
    <s v="Not applicable"/>
    <s v="Not applicable"/>
    <s v="Does not apply"/>
    <s v="Does not apply"/>
    <s v="Non-denominational"/>
    <s v="South West"/>
    <x v="5"/>
    <x v="28"/>
    <s v="Stroud"/>
    <s v="GL5 1JP"/>
    <n v="1"/>
    <n v="27"/>
    <d v="2020-11-24T00:00:00"/>
    <d v="2021-01-13T00:00:00"/>
  </r>
  <r>
    <s v="Ofsted School Webpage"/>
    <n v="137783"/>
    <n v="3594002"/>
    <s v="Lowton Church of England High School"/>
    <x v="1"/>
    <s v="Foundation School"/>
    <d v="2012-01-01T00:00:00"/>
    <s v="Non-selective"/>
    <s v="Does not have a sixth form"/>
    <s v="Church of England"/>
    <s v="Does not apply"/>
    <s v="Christian"/>
    <s v="North West"/>
    <x v="4"/>
    <x v="123"/>
    <s v="Leigh"/>
    <s v="WA3 1DU"/>
    <n v="3"/>
    <n v="700"/>
    <d v="2020-11-24T00:00:00"/>
    <d v="2021-01-17T00:00:00"/>
  </r>
  <r>
    <s v="Ofsted School Webpage"/>
    <n v="139051"/>
    <n v="8314001"/>
    <s v="Merrill Academy"/>
    <x v="1"/>
    <s v="Academy Sponsor Led"/>
    <d v="2013-01-01T00:00:00"/>
    <s v="Non-selective"/>
    <s v="Has a sixth form"/>
    <s v="None"/>
    <s v="None"/>
    <s v="Non-denominational"/>
    <s v="East Midlands"/>
    <x v="6"/>
    <x v="69"/>
    <s v="Derby South"/>
    <s v="DE24 0AN"/>
    <n v="5"/>
    <n v="828"/>
    <d v="2020-11-24T00:00:00"/>
    <d v="2021-01-04T00:00:00"/>
  </r>
  <r>
    <s v="Ofsted School Webpage"/>
    <n v="135496"/>
    <n v="8943368"/>
    <s v="Dothill Primary School"/>
    <x v="0"/>
    <s v="Foundation School"/>
    <d v="2008-09-01T00:00:00"/>
    <s v="Not applicable"/>
    <s v="Does not have a sixth form"/>
    <s v="Does not apply"/>
    <s v="Does not apply"/>
    <s v="Non-denominational"/>
    <s v="West Midlands"/>
    <x v="1"/>
    <x v="100"/>
    <s v="The Wrekin"/>
    <s v="TF1 3JB"/>
    <n v="3"/>
    <n v="359"/>
    <d v="2020-11-24T00:00:00"/>
    <d v="2020-12-16T00:00:00"/>
  </r>
  <r>
    <s v="Ofsted School Webpage"/>
    <n v="113648"/>
    <n v="8797066"/>
    <s v="Brook Green Centre for Learning"/>
    <x v="2"/>
    <s v="Community Special School"/>
    <s v="NULL"/>
    <s v="Not applicable"/>
    <s v="Does not have a sixth form"/>
    <s v="Does not apply"/>
    <s v="Does not apply"/>
    <s v="Non-denominational"/>
    <s v="South West"/>
    <x v="5"/>
    <x v="23"/>
    <s v="Plymouth, Moor View"/>
    <s v="PL5 4DZ"/>
    <n v="4"/>
    <n v="98"/>
    <d v="2020-11-24T00:00:00"/>
    <d v="2020-12-10T00:00:00"/>
  </r>
  <r>
    <s v="Ofsted School Webpage"/>
    <n v="111382"/>
    <n v="8773639"/>
    <s v="Stretton St Matthew's CofE Primary School"/>
    <x v="0"/>
    <s v="Voluntary Aided School"/>
    <s v="NULL"/>
    <s v="Not applicable"/>
    <s v="Does not have a sixth form"/>
    <s v="Church of England"/>
    <s v="Does not apply"/>
    <s v="Christian"/>
    <s v="North West"/>
    <x v="4"/>
    <x v="97"/>
    <s v="Warrington South"/>
    <s v="WA4 4NT"/>
    <n v="1"/>
    <n v="214"/>
    <d v="2020-11-24T00:00:00"/>
    <d v="2020-12-15T00:00:00"/>
  </r>
  <r>
    <s v="Ofsted School Webpage"/>
    <n v="101791"/>
    <n v="3063007"/>
    <s v="The Minster Nursery and Infant School"/>
    <x v="0"/>
    <s v="Voluntary Aided School"/>
    <s v="NULL"/>
    <s v="Not applicable"/>
    <s v="Does not have a sixth form"/>
    <s v="Church of England"/>
    <s v="Does not apply"/>
    <s v="Christian"/>
    <s v="London"/>
    <x v="3"/>
    <x v="128"/>
    <s v="Croydon South"/>
    <s v="CR0 4BH"/>
    <n v="4"/>
    <n v="375"/>
    <d v="2020-11-24T00:00:00"/>
    <d v="2021-01-06T00:00:00"/>
  </r>
  <r>
    <s v="Ofsted School Webpage"/>
    <n v="123493"/>
    <n v="8933087"/>
    <s v="Pontesbury CofE Primary School"/>
    <x v="0"/>
    <s v="Voluntary Controlled School"/>
    <s v="NULL"/>
    <s v="Not applicable"/>
    <s v="Does not have a sixth form"/>
    <s v="Church of England"/>
    <s v="Does not apply"/>
    <s v="Christian"/>
    <s v="West Midlands"/>
    <x v="1"/>
    <x v="78"/>
    <s v="Shrewsbury and Atcham"/>
    <s v="SY5 0TF"/>
    <n v="2"/>
    <n v="207"/>
    <d v="2020-11-24T00:00:00"/>
    <d v="2021-01-17T00:00:00"/>
  </r>
  <r>
    <s v="Ofsted School Webpage"/>
    <n v="136360"/>
    <n v="8315402"/>
    <s v="Chellaston Academy"/>
    <x v="1"/>
    <s v="Academy Converter"/>
    <d v="2010-12-01T00:00:00"/>
    <s v="Non-selective"/>
    <s v="Has a sixth form"/>
    <s v="None"/>
    <s v="Does not apply"/>
    <s v="Non-denominational"/>
    <s v="East Midlands"/>
    <x v="6"/>
    <x v="69"/>
    <s v="Derby South"/>
    <s v="DE73 5UB"/>
    <n v="1"/>
    <n v="1741"/>
    <d v="2020-11-24T00:00:00"/>
    <d v="2021-01-13T00:00:00"/>
  </r>
  <r>
    <s v="Ofsted School Webpage"/>
    <n v="139105"/>
    <n v="8832542"/>
    <s v="Belmont Castle Academy"/>
    <x v="0"/>
    <s v="Academy Converter"/>
    <d v="2012-12-01T00:00:00"/>
    <s v="Not applicable"/>
    <s v="Does not have a sixth form"/>
    <s v="Does not apply"/>
    <s v="Does not apply"/>
    <s v="Non-denominational"/>
    <s v="East of England"/>
    <x v="7"/>
    <x v="44"/>
    <s v="Thurrock"/>
    <s v="RM17 5YN"/>
    <n v="3"/>
    <n v="705"/>
    <d v="2020-11-24T00:00:00"/>
    <d v="2021-01-13T00:00:00"/>
  </r>
  <r>
    <s v="Ofsted School Webpage"/>
    <n v="141177"/>
    <n v="9264016"/>
    <s v="King Edward VII Academy"/>
    <x v="1"/>
    <s v="Academy Sponsor Led"/>
    <d v="2014-09-01T00:00:00"/>
    <s v="Non-selective"/>
    <s v="Has a sixth form"/>
    <s v="None"/>
    <s v="None"/>
    <s v="Non-denominational"/>
    <s v="East of England"/>
    <x v="7"/>
    <x v="33"/>
    <s v="North West Norfolk"/>
    <s v="PE30 2QB"/>
    <n v="4"/>
    <n v="1085"/>
    <d v="2020-11-24T00:00:00"/>
    <d v="2021-01-05T00:00:00"/>
  </r>
  <r>
    <s v="Ofsted School Webpage"/>
    <n v="131574"/>
    <n v="3317021"/>
    <s v="Woodfield"/>
    <x v="2"/>
    <s v="Community Special School"/>
    <d v="2006-04-01T00:00:00"/>
    <s v="Not applicable"/>
    <s v="Not applicable"/>
    <s v="Does not apply"/>
    <s v="Does not apply"/>
    <s v="Non-denominational"/>
    <s v="West Midlands"/>
    <x v="1"/>
    <x v="15"/>
    <s v="Coventry South"/>
    <s v="CV4 7AB"/>
    <n v="5"/>
    <n v="150"/>
    <d v="2020-11-24T00:00:00"/>
    <d v="2020-12-13T00:00:00"/>
  </r>
  <r>
    <s v="Ofsted School Webpage"/>
    <n v="134241"/>
    <n v="8011012"/>
    <s v="Knowle West Early Years Centre"/>
    <x v="4"/>
    <s v="LA Nursery School"/>
    <d v="2003-01-01T00:00:00"/>
    <s v="Not applicable"/>
    <s v="Not applicable"/>
    <s v="Does not apply"/>
    <s v="Does not apply"/>
    <s v="Non-denominational"/>
    <s v="South West"/>
    <x v="5"/>
    <x v="38"/>
    <s v="Bristol South"/>
    <s v="BS4 1NN"/>
    <n v="5"/>
    <n v="180"/>
    <d v="2020-11-24T00:00:00"/>
    <d v="2020-12-15T00:00:00"/>
  </r>
  <r>
    <s v="Ofsted School Webpage"/>
    <n v="136010"/>
    <n v="9214030"/>
    <s v="Medina College"/>
    <x v="1"/>
    <s v="Foundation School"/>
    <d v="2011-09-01T00:00:00"/>
    <s v="Non-selective"/>
    <s v="Has a sixth form"/>
    <s v="None"/>
    <s v="Does not apply"/>
    <s v="Non-denominational"/>
    <s v="South East"/>
    <x v="2"/>
    <x v="82"/>
    <s v="Isle of Wight"/>
    <s v="PO30 2DX"/>
    <n v="4"/>
    <n v="1361"/>
    <d v="2020-11-24T00:00:00"/>
    <d v="2021-01-04T00:00:00"/>
  </r>
  <r>
    <s v="Ofsted School Webpage"/>
    <n v="139228"/>
    <n v="8612006"/>
    <s v="Maple Court Academy"/>
    <x v="0"/>
    <s v="Academy Sponsor Led"/>
    <d v="2013-06-01T00:00:00"/>
    <s v="Not applicable"/>
    <s v="Does not have a sixth form"/>
    <s v="Does not apply"/>
    <s v="None"/>
    <s v="Non-denominational"/>
    <s v="West Midlands"/>
    <x v="1"/>
    <x v="45"/>
    <s v="Stoke-on-Trent Central"/>
    <s v="ST2 0QD"/>
    <n v="5"/>
    <n v="465"/>
    <d v="2020-11-24T00:00:00"/>
    <d v="2020-12-15T00:00:00"/>
  </r>
  <r>
    <s v="Ofsted School Webpage"/>
    <n v="105173"/>
    <n v="3502040"/>
    <s v="Beaumont Primary School"/>
    <x v="0"/>
    <s v="Community School"/>
    <s v="NULL"/>
    <s v="Not applicable"/>
    <s v="Does not have a sixth form"/>
    <s v="Does not apply"/>
    <s v="Does not apply"/>
    <s v="Non-denominational"/>
    <s v="North West"/>
    <x v="4"/>
    <x v="116"/>
    <s v="Bolton West"/>
    <s v="BL3 4RX"/>
    <n v="2"/>
    <n v="218"/>
    <d v="2020-11-24T00:00:00"/>
    <d v="2020-12-13T00:00:00"/>
  </r>
  <r>
    <s v="Ofsted School Webpage"/>
    <n v="121383"/>
    <n v="8152310"/>
    <s v="Bradleys Both Community Primary School"/>
    <x v="0"/>
    <s v="Community School"/>
    <s v="NULL"/>
    <s v="Not applicable"/>
    <s v="Does not have a sixth form"/>
    <s v="Does not apply"/>
    <s v="Does not apply"/>
    <s v="Non-denominational"/>
    <s v="North East, Yorkshire and the Humber"/>
    <x v="0"/>
    <x v="60"/>
    <s v="Skipton and Ripon"/>
    <s v="BD20 9EF"/>
    <n v="1"/>
    <n v="135"/>
    <d v="2020-11-24T00:00:00"/>
    <d v="2021-01-20T00:00:00"/>
  </r>
  <r>
    <s v="Ofsted School Webpage"/>
    <n v="107761"/>
    <n v="3824022"/>
    <s v="Newsome High School"/>
    <x v="1"/>
    <s v="Community School"/>
    <s v="NULL"/>
    <s v="Non-selective"/>
    <s v="Does not have a sixth form"/>
    <s v="Does not apply"/>
    <s v="Does not apply"/>
    <s v="Non-denominational"/>
    <s v="North East, Yorkshire and the Humber"/>
    <x v="0"/>
    <x v="104"/>
    <s v="Huddersfield"/>
    <s v="HD4 6JN"/>
    <n v="5"/>
    <n v="580"/>
    <d v="2020-11-24T00:00:00"/>
    <d v="2021-01-17T00:00:00"/>
  </r>
  <r>
    <s v="Ofsted School Webpage"/>
    <n v="117811"/>
    <n v="8132567"/>
    <s v="Holme Valley Primary School"/>
    <x v="0"/>
    <s v="Community School"/>
    <s v="NULL"/>
    <s v="Not applicable"/>
    <s v="Does not have a sixth form"/>
    <s v="Does not apply"/>
    <s v="Does not apply"/>
    <s v="Non-denominational"/>
    <s v="North East, Yorkshire and the Humber"/>
    <x v="0"/>
    <x v="109"/>
    <s v="Scunthorpe"/>
    <s v="DN16 3SL"/>
    <n v="3"/>
    <n v="417"/>
    <d v="2020-11-24T00:00:00"/>
    <d v="2020-12-20T00:00:00"/>
  </r>
  <r>
    <s v="Ofsted School Webpage"/>
    <n v="117330"/>
    <n v="9192416"/>
    <s v="Lordship Farm Primary School"/>
    <x v="0"/>
    <s v="Community School"/>
    <s v="NULL"/>
    <s v="Not applicable"/>
    <s v="Does not have a sixth form"/>
    <s v="Does not apply"/>
    <s v="Does not apply"/>
    <s v="Non-denominational"/>
    <s v="East of England"/>
    <x v="7"/>
    <x v="56"/>
    <s v="North East Hertfordshire"/>
    <s v="SG6 3UF"/>
    <n v="2"/>
    <n v="452"/>
    <d v="2020-11-24T00:00:00"/>
    <d v="2021-01-04T00:00:00"/>
  </r>
  <r>
    <s v="Ofsted School Webpage"/>
    <n v="110290"/>
    <n v="8262185"/>
    <s v="Holne Chase Primary School"/>
    <x v="0"/>
    <s v="Community School"/>
    <s v="NULL"/>
    <s v="Not applicable"/>
    <s v="Does not have a sixth form"/>
    <s v="Does not apply"/>
    <s v="Does not apply"/>
    <s v="Non-denominational"/>
    <s v="South East"/>
    <x v="2"/>
    <x v="135"/>
    <s v="Milton Keynes South"/>
    <s v="MK3 5HP"/>
    <n v="3"/>
    <n v="266"/>
    <d v="2020-11-24T00:00:00"/>
    <d v="2021-01-05T00:00:00"/>
  </r>
  <r>
    <s v="Ofsted School Webpage"/>
    <n v="117342"/>
    <n v="9192437"/>
    <s v="High Beeches Primary School"/>
    <x v="0"/>
    <s v="Community School"/>
    <s v="NULL"/>
    <s v="Not applicable"/>
    <s v="Does not have a sixth form"/>
    <s v="Does not apply"/>
    <s v="Does not apply"/>
    <s v="Non-denominational"/>
    <s v="East of England"/>
    <x v="7"/>
    <x v="56"/>
    <s v="Hitchin and Harpenden"/>
    <s v="AL5 5SD"/>
    <n v="1"/>
    <n v="414"/>
    <d v="2020-11-24T00:00:00"/>
    <d v="2021-01-17T00:00:00"/>
  </r>
  <r>
    <s v="Ofsted School Webpage"/>
    <n v="130968"/>
    <n v="3842199"/>
    <s v="Hemsworth Grove Lea Primary School"/>
    <x v="0"/>
    <s v="Community School"/>
    <d v="1996-09-01T00:00:00"/>
    <s v="Not applicable"/>
    <s v="Does not have a sixth form"/>
    <s v="Does not apply"/>
    <s v="Does not apply"/>
    <s v="Non-denominational"/>
    <s v="North East, Yorkshire and the Humber"/>
    <x v="0"/>
    <x v="47"/>
    <s v="Hemsworth"/>
    <s v="WF9 4BQ"/>
    <n v="4"/>
    <n v="254"/>
    <d v="2020-11-24T00:00:00"/>
    <d v="2020-12-14T00:00:00"/>
  </r>
  <r>
    <s v="Ofsted School Webpage"/>
    <n v="113162"/>
    <n v="8782239"/>
    <s v="Monkleigh Primary School"/>
    <x v="0"/>
    <s v="Community School"/>
    <s v="NULL"/>
    <s v="Not applicable"/>
    <s v="Does not have a sixth form"/>
    <s v="Does not apply"/>
    <s v="Does not apply"/>
    <s v="Non-denominational"/>
    <s v="South West"/>
    <x v="5"/>
    <x v="62"/>
    <s v="Torridge and West Devon"/>
    <s v="EX39 5JY"/>
    <n v="2"/>
    <n v="107"/>
    <d v="2020-11-24T00:00:00"/>
    <d v="2020-12-14T00:00:00"/>
  </r>
  <r>
    <s v="Ofsted School Webpage"/>
    <n v="106094"/>
    <n v="3562108"/>
    <s v="Outwood Primary School"/>
    <x v="0"/>
    <s v="Community School"/>
    <s v="NULL"/>
    <s v="Not applicable"/>
    <s v="Does not have a sixth form"/>
    <s v="Does not apply"/>
    <s v="Does not apply"/>
    <s v="Non-denominational"/>
    <s v="North West"/>
    <x v="4"/>
    <x v="16"/>
    <s v="Cheadle"/>
    <s v="SK8 3ND"/>
    <n v="3"/>
    <n v="210"/>
    <d v="2020-11-24T00:00:00"/>
    <d v="2021-01-19T00:00:00"/>
  </r>
  <r>
    <s v="Ofsted School Webpage"/>
    <n v="115929"/>
    <n v="8502140"/>
    <s v="New Milton Junior School"/>
    <x v="0"/>
    <s v="Community School"/>
    <s v="NULL"/>
    <s v="Not applicable"/>
    <s v="Does not have a sixth form"/>
    <s v="Does not apply"/>
    <s v="Does not apply"/>
    <s v="Non-denominational"/>
    <s v="South East"/>
    <x v="2"/>
    <x v="2"/>
    <s v="New Forest West"/>
    <s v="BH25 6DS"/>
    <n v="3"/>
    <n v="368"/>
    <d v="2020-11-24T00:00:00"/>
    <d v="2021-01-04T00:00:00"/>
  </r>
  <r>
    <s v="Ofsted School Webpage"/>
    <n v="122456"/>
    <n v="8922117"/>
    <s v="Walter Halls Primary and Early Years School"/>
    <x v="0"/>
    <s v="Community School"/>
    <s v="NULL"/>
    <s v="Not applicable"/>
    <s v="Does not have a sixth form"/>
    <s v="Does not apply"/>
    <s v="Does not apply"/>
    <s v="Non-denominational"/>
    <s v="East Midlands"/>
    <x v="6"/>
    <x v="126"/>
    <s v="Nottingham East"/>
    <s v="NG3 5HS"/>
    <n v="5"/>
    <n v="442"/>
    <d v="2020-11-24T00:00:00"/>
    <d v="2020-12-15T00:00:00"/>
  </r>
  <r>
    <s v="Ofsted School Webpage"/>
    <n v="132201"/>
    <n v="3302482"/>
    <s v="Wattville Primary School"/>
    <x v="0"/>
    <s v="Community School"/>
    <d v="2001-04-01T00:00:00"/>
    <s v="Not applicable"/>
    <s v="Not applicable"/>
    <s v="Does not apply"/>
    <s v="Does not apply"/>
    <s v="Non-denominational"/>
    <s v="West Midlands"/>
    <x v="1"/>
    <x v="8"/>
    <s v="Birmingham, Ladywood"/>
    <s v="B21 0DP"/>
    <n v="5"/>
    <n v="481"/>
    <d v="2020-11-24T00:00:00"/>
    <d v="2021-01-04T00:00:00"/>
  </r>
  <r>
    <s v="Ofsted School Webpage"/>
    <n v="131251"/>
    <n v="8083396"/>
    <s v="Holy Trinity Rosehill CofE Voluntary Aided Primary School"/>
    <x v="0"/>
    <s v="Voluntary Aided School"/>
    <d v="2006-04-01T00:00:00"/>
    <s v="Not applicable"/>
    <s v="Does not have a sixth form"/>
    <s v="Church of England"/>
    <s v="Does not apply"/>
    <s v="Christian"/>
    <s v="North East, Yorkshire and the Humber"/>
    <x v="8"/>
    <x v="40"/>
    <s v="Stockton South"/>
    <s v="TS19 7QU"/>
    <n v="2"/>
    <n v="415"/>
    <d v="2020-11-24T00:00:00"/>
    <d v="2021-01-19T00:00:00"/>
  </r>
  <r>
    <s v="Ofsted School Webpage"/>
    <n v="121611"/>
    <n v="8153315"/>
    <s v="Kirkby and Great Broughton Church of England Voluntary Aided Primary School"/>
    <x v="0"/>
    <s v="Voluntary Aided School"/>
    <s v="NULL"/>
    <s v="Not applicable"/>
    <s v="Does not have a sixth form"/>
    <s v="Church of England"/>
    <s v="Does not apply"/>
    <s v="Christian"/>
    <s v="North East, Yorkshire and the Humber"/>
    <x v="0"/>
    <x v="60"/>
    <s v="Richmond (Yorks)"/>
    <s v="TS9 7AL"/>
    <n v="2"/>
    <n v="121"/>
    <d v="2020-11-24T00:00:00"/>
    <d v="2021-01-05T00:00:00"/>
  </r>
  <r>
    <s v="Ofsted School Webpage"/>
    <n v="112364"/>
    <n v="9093603"/>
    <s v="St Columba's School"/>
    <x v="0"/>
    <s v="Voluntary Aided School"/>
    <s v="NULL"/>
    <s v="Not applicable"/>
    <s v="Does not have a sixth form"/>
    <s v="Roman Catholic"/>
    <s v="Does not apply"/>
    <s v="Christian"/>
    <s v="North West"/>
    <x v="4"/>
    <x v="25"/>
    <s v="Barrow and Furness"/>
    <s v="LA14 3AD"/>
    <n v="3"/>
    <n v="230"/>
    <d v="2020-11-24T00:00:00"/>
    <d v="2021-01-05T00:00:00"/>
  </r>
  <r>
    <s v="Ofsted School Webpage"/>
    <n v="116394"/>
    <n v="8503650"/>
    <s v="St Mary's Catholic Primary School"/>
    <x v="0"/>
    <s v="Voluntary Aided School"/>
    <s v="NULL"/>
    <s v="Not applicable"/>
    <s v="Does not have a sixth form"/>
    <s v="Roman Catholic"/>
    <s v="Does not apply"/>
    <s v="Christian"/>
    <s v="South East"/>
    <x v="2"/>
    <x v="2"/>
    <s v="Gosport"/>
    <s v="PO12 3NB"/>
    <n v="3"/>
    <n v="221"/>
    <d v="2020-11-24T00:00:00"/>
    <d v="2020-12-13T00:00:00"/>
  </r>
  <r>
    <s v="Ofsted School Webpage"/>
    <n v="119620"/>
    <n v="8883705"/>
    <s v="St Joseph's Catholic Primary School, Lancaster"/>
    <x v="0"/>
    <s v="Voluntary Aided School"/>
    <s v="NULL"/>
    <s v="Not applicable"/>
    <s v="Does not have a sixth form"/>
    <s v="Roman Catholic"/>
    <s v="Does not apply"/>
    <s v="Christian"/>
    <s v="North West"/>
    <x v="4"/>
    <x v="27"/>
    <s v="Morecambe and Lunesdale"/>
    <s v="LA1 2DU"/>
    <n v="5"/>
    <n v="185"/>
    <d v="2020-11-24T00:00:00"/>
    <d v="2021-01-17T00:00:00"/>
  </r>
  <r>
    <s v="Ofsted School Webpage"/>
    <n v="105965"/>
    <n v="3553615"/>
    <s v="St Joseph's RC Primary School"/>
    <x v="0"/>
    <s v="Voluntary Aided School"/>
    <s v="NULL"/>
    <s v="Not applicable"/>
    <s v="Does not have a sixth form"/>
    <s v="Roman Catholic"/>
    <s v="Does not apply"/>
    <s v="Christian"/>
    <s v="North West"/>
    <x v="4"/>
    <x v="142"/>
    <s v="Salford and Eccles"/>
    <s v="M5 3JP"/>
    <n v="5"/>
    <n v="188"/>
    <d v="2020-11-24T00:00:00"/>
    <d v="2020-12-15T00:00:00"/>
  </r>
  <r>
    <s v="Ofsted School Webpage"/>
    <n v="136062"/>
    <n v="3412176"/>
    <s v="Holy Family Catholic Primary School"/>
    <x v="0"/>
    <s v="Voluntary Aided School"/>
    <d v="2010-08-31T00:00:00"/>
    <s v="Not applicable"/>
    <s v="Does not have a sixth form"/>
    <s v="Roman Catholic"/>
    <s v="Does not apply"/>
    <s v="Christian"/>
    <s v="North West"/>
    <x v="4"/>
    <x v="29"/>
    <s v="Liverpool, Riverside"/>
    <s v="L8 6QB"/>
    <n v="5"/>
    <n v="247"/>
    <d v="2020-11-24T00:00:00"/>
    <d v="2021-01-04T00:00:00"/>
  </r>
  <r>
    <s v="Ofsted School Webpage"/>
    <n v="104964"/>
    <n v="3434800"/>
    <s v="Christ The King Catholic High School and Sixth Form Centre"/>
    <x v="1"/>
    <s v="Voluntary Aided School"/>
    <s v="NULL"/>
    <s v="Non-selective"/>
    <s v="Has a sixth form"/>
    <s v="Roman Catholic"/>
    <s v="Does not apply"/>
    <s v="Christian"/>
    <s v="North West"/>
    <x v="4"/>
    <x v="93"/>
    <s v="Southport"/>
    <s v="PR8 4EX"/>
    <n v="3"/>
    <n v="954"/>
    <d v="2020-11-24T00:00:00"/>
    <d v="2021-01-17T00:00:00"/>
  </r>
  <r>
    <s v="Ofsted School Webpage"/>
    <n v="100029"/>
    <n v="2023327"/>
    <s v="Christ Church School"/>
    <x v="0"/>
    <s v="Voluntary Aided School"/>
    <s v="NULL"/>
    <s v="Not applicable"/>
    <s v="Does not have a sixth form"/>
    <s v="Church of England"/>
    <s v="Does not apply"/>
    <s v="Christian"/>
    <s v="London"/>
    <x v="3"/>
    <x v="22"/>
    <s v="Holborn and St Pancras"/>
    <s v="NW1 4BD"/>
    <n v="5"/>
    <n v="210"/>
    <d v="2020-11-24T00:00:00"/>
    <d v="2020-12-15T00:00:00"/>
  </r>
  <r>
    <s v="Ofsted School Webpage"/>
    <n v="102037"/>
    <n v="3083501"/>
    <s v="St Edmund's Catholic Primary School"/>
    <x v="0"/>
    <s v="Voluntary Aided School"/>
    <s v="NULL"/>
    <s v="Not applicable"/>
    <s v="Does not have a sixth form"/>
    <s v="Roman Catholic"/>
    <s v="Does not apply"/>
    <s v="Christian"/>
    <s v="London"/>
    <x v="3"/>
    <x v="66"/>
    <s v="Edmonton"/>
    <s v="N9 7HJ"/>
    <n v="5"/>
    <n v="424"/>
    <d v="2020-11-25T00:00:00"/>
    <d v="2021-01-17T00:00:00"/>
  </r>
  <r>
    <s v="Ofsted School Webpage"/>
    <n v="134369"/>
    <n v="3076905"/>
    <s v="Alec Reed Academy"/>
    <x v="1"/>
    <s v="Academy Sponsor Led"/>
    <d v="2003-09-01T00:00:00"/>
    <s v="Non-selective"/>
    <s v="Has a sixth form"/>
    <s v="Does not apply"/>
    <s v="None"/>
    <s v="Non-denominational"/>
    <s v="London"/>
    <x v="3"/>
    <x v="57"/>
    <s v="Ealing North"/>
    <s v="UB5 5LQ"/>
    <n v="4"/>
    <n v="1686"/>
    <d v="2020-11-25T00:00:00"/>
    <d v="2021-01-17T00:00:00"/>
  </r>
  <r>
    <s v="Ofsted School Webpage"/>
    <n v="134523"/>
    <n v="3351104"/>
    <s v="New Leaf Centre"/>
    <x v="3"/>
    <s v="Pupil Referral Unit"/>
    <d v="2004-01-01T00:00:00"/>
    <s v="Not applicable"/>
    <s v="Not applicable"/>
    <s v="Does not apply"/>
    <s v="Does not apply"/>
    <s v="Non-denominational"/>
    <s v="West Midlands"/>
    <x v="1"/>
    <x v="73"/>
    <s v="Aldridge-Brownhills"/>
    <s v="WS4 1NG"/>
    <n v="5"/>
    <n v="92"/>
    <d v="2020-11-25T00:00:00"/>
    <d v="2021-01-04T00:00:00"/>
  </r>
  <r>
    <s v="Ofsted School Webpage"/>
    <n v="135004"/>
    <n v="3126906"/>
    <s v="The Harefield Academy"/>
    <x v="1"/>
    <s v="Academy Sponsor Led"/>
    <d v="2005-09-01T00:00:00"/>
    <s v="Non-selective"/>
    <s v="Has a sixth form"/>
    <s v="Does not apply"/>
    <s v="None"/>
    <s v="Non-denominational"/>
    <s v="London"/>
    <x v="3"/>
    <x v="133"/>
    <s v="Ruislip, Northwood and Pinner"/>
    <s v="UB9 6ET"/>
    <n v="3"/>
    <n v="391"/>
    <d v="2020-11-25T00:00:00"/>
    <d v="2021-01-20T00:00:00"/>
  </r>
  <r>
    <s v="Ofsted School Webpage"/>
    <n v="136907"/>
    <n v="9375403"/>
    <s v="Myton School"/>
    <x v="1"/>
    <s v="Academy Converter"/>
    <d v="2011-07-01T00:00:00"/>
    <s v="Non-selective"/>
    <s v="Has a sixth form"/>
    <s v="None"/>
    <s v="Does not apply"/>
    <s v="Non-denominational"/>
    <s v="West Midlands"/>
    <x v="1"/>
    <x v="65"/>
    <s v="Warwick and Leamington"/>
    <s v="CV34 6PJ"/>
    <n v="1"/>
    <n v="1659"/>
    <d v="2020-11-25T00:00:00"/>
    <d v="2021-01-17T00:00:00"/>
  </r>
  <r>
    <s v="Ofsted School Webpage"/>
    <n v="143482"/>
    <n v="3722122"/>
    <s v="Aughton Junior Academy"/>
    <x v="0"/>
    <s v="Academy Converter"/>
    <d v="2016-10-01T00:00:00"/>
    <s v="Not applicable"/>
    <s v="Does not have a sixth form"/>
    <s v="Does not apply"/>
    <s v="Does not apply"/>
    <s v="Non-denominational"/>
    <s v="North East, Yorkshire and the Humber"/>
    <x v="0"/>
    <x v="0"/>
    <s v="Rother Valley"/>
    <s v="S26 3XQ"/>
    <n v="4"/>
    <n v="181"/>
    <d v="2020-11-25T00:00:00"/>
    <d v="2021-01-05T00:00:00"/>
  </r>
  <r>
    <s v="Ofsted School Webpage"/>
    <n v="145453"/>
    <n v="3433020"/>
    <s v="St Andrews Church of England Primary School, Maghull"/>
    <x v="0"/>
    <s v="Academy Converter"/>
    <d v="2018-05-01T00:00:00"/>
    <s v="Not applicable"/>
    <s v="Does not have a sixth form"/>
    <s v="Church of England"/>
    <s v="Does not apply"/>
    <s v="Christian"/>
    <s v="North West"/>
    <x v="4"/>
    <x v="93"/>
    <s v="Sefton Central"/>
    <s v="L31 6DE"/>
    <n v="3"/>
    <n v="296"/>
    <d v="2020-11-26T00:00:00"/>
    <d v="2021-01-05T00:00:00"/>
  </r>
  <r>
    <s v="Ofsted School Webpage"/>
    <n v="148350"/>
    <n v="3192118"/>
    <s v="Beddington Park Academy "/>
    <x v="0"/>
    <s v="Academy Sponsor Led"/>
    <d v="2020-11-01T00:00:00"/>
    <s v="Unknown"/>
    <s v="Does not have a sixth form"/>
    <s v="None"/>
    <s v="None"/>
    <s v="Non-denominational"/>
    <s v="London"/>
    <x v="3"/>
    <x v="145"/>
    <s v="Carshalton and Wallington"/>
    <s v="CR0 4UL"/>
    <s v="NULL"/>
    <s v="NULL"/>
    <d v="2020-11-26T00:00:00"/>
    <d v="2021-01-17T00:00:00"/>
  </r>
  <r>
    <s v="Ofsted School Webpage"/>
    <n v="142712"/>
    <n v="9082510"/>
    <s v="Luxulyan School"/>
    <x v="0"/>
    <s v="Academy Converter"/>
    <d v="2016-04-01T00:00:00"/>
    <s v="Not applicable"/>
    <s v="Does not have a sixth form"/>
    <s v="Does not apply"/>
    <s v="Does not apply"/>
    <s v="Non-denominational"/>
    <s v="South West"/>
    <x v="5"/>
    <x v="42"/>
    <s v="South East Cornwall"/>
    <s v="PL30 5EE"/>
    <n v="3"/>
    <n v="103"/>
    <d v="2020-11-26T00:00:00"/>
    <d v="2021-01-13T00:00:00"/>
  </r>
  <r>
    <s v="Ofsted School Webpage"/>
    <n v="144479"/>
    <n v="8564004"/>
    <s v="Tudor Grange Samworth Academy, A church of England School"/>
    <x v="1"/>
    <s v="Academy Sponsor Led"/>
    <d v="2016-01-01T00:00:00"/>
    <s v="Unknown"/>
    <s v="Not applicable"/>
    <s v="Church of England"/>
    <s v="None"/>
    <s v="Christian"/>
    <s v="East Midlands"/>
    <x v="6"/>
    <x v="79"/>
    <s v="Leicester South"/>
    <s v="LE2 6UA"/>
    <n v="5"/>
    <n v="847"/>
    <d v="2020-11-26T00:00:00"/>
    <d v="2021-01-13T00:00:00"/>
  </r>
  <r>
    <s v="Ofsted School Webpage"/>
    <n v="144549"/>
    <n v="3053504"/>
    <s v="St Anthony's Roman Catholic Primary School"/>
    <x v="0"/>
    <s v="Academy Converter"/>
    <d v="2017-07-01T00:00:00"/>
    <s v="Not applicable"/>
    <s v="Does not have a sixth form"/>
    <s v="Catholic"/>
    <s v="Does not apply"/>
    <s v="NULL"/>
    <s v="London"/>
    <x v="3"/>
    <x v="105"/>
    <s v="Lewisham West and Penge"/>
    <s v="SE20 8ES"/>
    <n v="4"/>
    <n v="166"/>
    <d v="2020-11-26T00:00:00"/>
    <d v="2021-01-17T00:00:00"/>
  </r>
  <r>
    <s v="Ofsted School Webpage"/>
    <n v="140296"/>
    <n v="8613412"/>
    <s v="St Augustine's Catholic Academy"/>
    <x v="0"/>
    <s v="Academy Converter"/>
    <d v="2013-11-01T00:00:00"/>
    <s v="Not applicable"/>
    <s v="Does not have a sixth form"/>
    <s v="Roman Catholic"/>
    <s v="Does not apply"/>
    <s v="Christian"/>
    <s v="West Midlands"/>
    <x v="1"/>
    <x v="45"/>
    <s v="Stoke-on-Trent South"/>
    <s v="ST3 7DF"/>
    <n v="5"/>
    <n v="220"/>
    <d v="2020-11-26T00:00:00"/>
    <d v="2021-01-04T00:00:00"/>
  </r>
  <r>
    <s v="Ofsted School Webpage"/>
    <n v="138089"/>
    <n v="8414285"/>
    <s v="Haughton Academy"/>
    <x v="1"/>
    <s v="Academy Converter"/>
    <d v="2012-04-01T00:00:00"/>
    <s v="Non-selective"/>
    <s v="Does not have a sixth form"/>
    <s v="Does not apply"/>
    <s v="Does not apply"/>
    <s v="Non-denominational"/>
    <s v="North East, Yorkshire and the Humber"/>
    <x v="8"/>
    <x v="54"/>
    <s v="Darlington"/>
    <s v="DL1 2AN"/>
    <n v="5"/>
    <n v="782"/>
    <d v="2020-11-26T00:00:00"/>
    <d v="2021-01-05T00:00:00"/>
  </r>
  <r>
    <s v="Ofsted School Webpage"/>
    <n v="140208"/>
    <n v="3062040"/>
    <s v="Harris Primary Academy Haling Park"/>
    <x v="0"/>
    <s v="Academy Sponsor Led"/>
    <d v="2014-09-01T00:00:00"/>
    <s v="Not applicable"/>
    <s v="Does not have a sixth form"/>
    <s v="None"/>
    <s v="None"/>
    <s v="Non-denominational"/>
    <s v="London"/>
    <x v="3"/>
    <x v="128"/>
    <s v="Croydon South"/>
    <s v="CR2 6HS"/>
    <n v="3"/>
    <n v="323"/>
    <d v="2020-11-26T00:00:00"/>
    <d v="2021-01-17T00:00:00"/>
  </r>
  <r>
    <s v="Ofsted School Webpage"/>
    <n v="135744"/>
    <n v="9386911"/>
    <s v="The Sir Robert Woodard Academy"/>
    <x v="1"/>
    <s v="Academy Sponsor Led"/>
    <d v="2009-09-01T00:00:00"/>
    <s v="Non-selective"/>
    <s v="Has a sixth form"/>
    <s v="Christian"/>
    <s v="None"/>
    <s v="Christian"/>
    <s v="South East"/>
    <x v="2"/>
    <x v="55"/>
    <s v="East Worthing and Shoreham"/>
    <s v="BN15 9QZ"/>
    <n v="3"/>
    <n v="1084"/>
    <d v="2020-11-26T00:00:00"/>
    <d v="2021-01-20T00:00:00"/>
  </r>
  <r>
    <s v="Ofsted School Webpage"/>
    <n v="138786"/>
    <n v="9162006"/>
    <s v="Offa's Mead Academy"/>
    <x v="0"/>
    <s v="Academy Sponsor Led"/>
    <d v="2012-09-01T00:00:00"/>
    <s v="Not applicable"/>
    <s v="Not applicable"/>
    <s v="Does not apply"/>
    <s v="None"/>
    <s v="Non-denominational"/>
    <s v="South West"/>
    <x v="5"/>
    <x v="28"/>
    <s v="Forest of Dean"/>
    <s v="NP16 7DT"/>
    <n v="3"/>
    <n v="147"/>
    <d v="2020-11-26T00:00:00"/>
    <d v="2021-01-13T00:00:00"/>
  </r>
  <r>
    <s v="Ofsted School Webpage"/>
    <n v="138543"/>
    <n v="3553802"/>
    <s v="Broughton Jewish Cassel Fox Primary School"/>
    <x v="0"/>
    <s v="Academy Converter"/>
    <d v="2012-08-01T00:00:00"/>
    <s v="Not applicable"/>
    <s v="Does not have a sixth form"/>
    <s v="Jewish"/>
    <s v="Does not apply"/>
    <s v="Jewish"/>
    <s v="North West"/>
    <x v="4"/>
    <x v="142"/>
    <s v="Blackley and Broughton"/>
    <s v="M7 4RT"/>
    <n v="2"/>
    <n v="494"/>
    <d v="2020-11-26T00:00:00"/>
    <d v="2021-01-13T00:00:00"/>
  </r>
  <r>
    <s v="Ofsted School Webpage"/>
    <n v="144961"/>
    <n v="2062002"/>
    <s v="Clerkenwell Parochial CofE Primary School"/>
    <x v="0"/>
    <s v="Academy Sponsor Led"/>
    <d v="2017-11-01T00:00:00"/>
    <s v="Not applicable"/>
    <s v="Does not have a sixth form"/>
    <s v="Church of England"/>
    <s v="Unknown"/>
    <s v="Christian"/>
    <s v="London"/>
    <x v="3"/>
    <x v="70"/>
    <s v="Islington South and Finsbury"/>
    <s v="EC1R 1UN"/>
    <n v="5"/>
    <n v="117"/>
    <d v="2020-11-26T00:00:00"/>
    <d v="2021-01-19T00:00:00"/>
  </r>
  <r>
    <s v="Ofsted School Webpage"/>
    <n v="145026"/>
    <n v="8152383"/>
    <s v="Coppice Valley Primary School"/>
    <x v="0"/>
    <s v="Academy Converter"/>
    <d v="2017-08-01T00:00:00"/>
    <s v="Not applicable"/>
    <s v="Does not have a sixth form"/>
    <s v="Does not apply"/>
    <s v="Does not apply"/>
    <s v="Non-denominational"/>
    <s v="North East, Yorkshire and the Humber"/>
    <x v="0"/>
    <x v="60"/>
    <s v="Harrogate and Knaresborough"/>
    <s v="HG1 2DN"/>
    <n v="2"/>
    <n v="193"/>
    <d v="2020-11-26T00:00:00"/>
    <d v="2021-01-05T00:00:00"/>
  </r>
  <r>
    <s v="Ofsted School Webpage"/>
    <n v="139857"/>
    <n v="9282065"/>
    <s v="Kings Sutton Primary Academy"/>
    <x v="0"/>
    <s v="Academy Converter"/>
    <d v="2013-09-01T00:00:00"/>
    <s v="Not applicable"/>
    <s v="Does not have a sixth form"/>
    <s v="Does not apply"/>
    <s v="Does not apply"/>
    <s v="Non-denominational"/>
    <s v="East Midlands"/>
    <x v="6"/>
    <x v="64"/>
    <s v="South Northamptonshire"/>
    <s v="OX17 3RT"/>
    <n v="1"/>
    <n v="156"/>
    <d v="2020-11-26T00:00:00"/>
    <d v="2021-01-04T00:00:00"/>
  </r>
  <r>
    <s v="Ofsted School Webpage"/>
    <n v="136840"/>
    <n v="3314044"/>
    <s v="Whitley Academy"/>
    <x v="1"/>
    <s v="Academy Converter"/>
    <d v="2011-07-01T00:00:00"/>
    <s v="Non-selective"/>
    <s v="Has a sixth form"/>
    <s v="None"/>
    <s v="Does not apply"/>
    <s v="Non-denominational"/>
    <s v="West Midlands"/>
    <x v="1"/>
    <x v="15"/>
    <s v="Coventry South"/>
    <s v="CV3 4BD"/>
    <n v="5"/>
    <n v="897"/>
    <d v="2020-11-26T00:00:00"/>
    <d v="2020-12-14T00:00:00"/>
  </r>
  <r>
    <s v="Ofsted School Webpage"/>
    <n v="139893"/>
    <n v="3363311"/>
    <s v="St Teresa's Catholic Primary Academy"/>
    <x v="0"/>
    <s v="Academy Converter"/>
    <d v="2013-07-01T00:00:00"/>
    <s v="Not applicable"/>
    <s v="Does not have a sixth form"/>
    <s v="Roman Catholic"/>
    <s v="Does not apply"/>
    <s v="Christian"/>
    <s v="West Midlands"/>
    <x v="1"/>
    <x v="1"/>
    <s v="Wolverhampton South East"/>
    <s v="WV4 6AW"/>
    <n v="5"/>
    <n v="191"/>
    <d v="2020-11-26T00:00:00"/>
    <d v="2021-01-13T00:00:00"/>
  </r>
  <r>
    <s v="Ofsted School Webpage"/>
    <n v="138696"/>
    <n v="3414306"/>
    <s v="West Derby School"/>
    <x v="1"/>
    <s v="Academy Converter"/>
    <d v="2012-09-01T00:00:00"/>
    <s v="Non-selective"/>
    <s v="Has a sixth form"/>
    <s v="Does not apply"/>
    <s v="Does not apply"/>
    <s v="Non-denominational"/>
    <s v="North West"/>
    <x v="4"/>
    <x v="29"/>
    <s v="Liverpool, West Derby"/>
    <s v="L13 7HQ"/>
    <n v="5"/>
    <n v="1009"/>
    <d v="2020-11-26T00:00:00"/>
    <d v="2021-01-19T00:00:00"/>
  </r>
  <r>
    <s v="Ofsted School Webpage"/>
    <n v="140720"/>
    <n v="8832942"/>
    <s v="Giffards Primary School"/>
    <x v="0"/>
    <s v="Academy Converter"/>
    <d v="2014-04-01T00:00:00"/>
    <s v="Not applicable"/>
    <s v="Does not have a sixth form"/>
    <s v="Does not apply"/>
    <s v="Does not apply"/>
    <s v="Non-denominational"/>
    <s v="East of England"/>
    <x v="7"/>
    <x v="44"/>
    <s v="South Basildon and East Thurrock"/>
    <s v="SS17 7TG"/>
    <n v="3"/>
    <n v="440"/>
    <d v="2020-11-26T00:00:00"/>
    <d v="2021-01-17T00:00:00"/>
  </r>
  <r>
    <s v="Ofsted School Webpage"/>
    <n v="137390"/>
    <n v="3325405"/>
    <s v="Pegasus Academy"/>
    <x v="1"/>
    <s v="Academy Converter"/>
    <d v="2011-09-01T00:00:00"/>
    <s v="Non-selective"/>
    <s v="Does not have a sixth form"/>
    <s v="None"/>
    <s v="Does not apply"/>
    <s v="Non-denominational"/>
    <s v="West Midlands"/>
    <x v="1"/>
    <x v="110"/>
    <s v="Dudley North"/>
    <s v="DY1 2DU"/>
    <n v="5"/>
    <n v="587"/>
    <d v="2020-11-26T00:00:00"/>
    <d v="2020-12-16T00:00:00"/>
  </r>
  <r>
    <s v="Ofsted School Webpage"/>
    <n v="136850"/>
    <n v="8395409"/>
    <s v="Poole Grammar School"/>
    <x v="1"/>
    <s v="Academy Converter"/>
    <d v="2011-07-01T00:00:00"/>
    <s v="Selective"/>
    <s v="Has a sixth form"/>
    <s v="None"/>
    <s v="Does not apply"/>
    <s v="Non-denominational"/>
    <s v="South West"/>
    <x v="5"/>
    <x v="108"/>
    <s v="Mid Dorset and North Poole"/>
    <s v="BH17 9JU"/>
    <n v="1"/>
    <n v="1201"/>
    <d v="2020-11-26T00:00:00"/>
    <d v="2021-01-04T00:00:00"/>
  </r>
  <r>
    <s v="Ofsted School Webpage"/>
    <n v="141915"/>
    <n v="3502060"/>
    <s v="Prestolee Primary School"/>
    <x v="0"/>
    <s v="Academy Converter"/>
    <d v="2015-04-01T00:00:00"/>
    <s v="Not applicable"/>
    <s v="Does not have a sixth form"/>
    <s v="Does not apply"/>
    <s v="Does not apply"/>
    <s v="Non-denominational"/>
    <s v="North West"/>
    <x v="4"/>
    <x v="116"/>
    <s v="Bolton South East"/>
    <s v="M26 1HJ"/>
    <n v="2"/>
    <n v="277"/>
    <d v="2020-11-26T00:00:00"/>
    <d v="2021-01-04T00:00:00"/>
  </r>
  <r>
    <s v="Ofsted School Webpage"/>
    <n v="134674"/>
    <n v="8781008"/>
    <s v="West Exe Nursery School"/>
    <x v="4"/>
    <s v="LA Nursery School"/>
    <d v="2005-09-01T00:00:00"/>
    <s v="Not applicable"/>
    <s v="Not applicable"/>
    <s v="Does not apply"/>
    <s v="Does not apply"/>
    <s v="Non-denominational"/>
    <s v="South West"/>
    <x v="5"/>
    <x v="62"/>
    <s v="Exeter"/>
    <s v="EX4 1HL"/>
    <n v="1"/>
    <n v="153"/>
    <d v="2020-11-26T00:00:00"/>
    <d v="2021-01-17T00:00:00"/>
  </r>
  <r>
    <s v="Ofsted School Webpage"/>
    <n v="137467"/>
    <n v="8862233"/>
    <s v="Lynsted and Norton Primary School"/>
    <x v="0"/>
    <s v="Academy Converter"/>
    <d v="2011-09-01T00:00:00"/>
    <s v="Not applicable"/>
    <s v="Not applicable"/>
    <s v="Does not apply"/>
    <s v="Does not apply"/>
    <s v="Non-denominational"/>
    <s v="South East"/>
    <x v="2"/>
    <x v="7"/>
    <s v="Sittingbourne and Sheppey"/>
    <s v="ME9 0RL"/>
    <n v="3"/>
    <n v="41"/>
    <d v="2020-11-26T00:00:00"/>
    <d v="2021-01-13T00:00:00"/>
  </r>
  <r>
    <s v="Ofsted School Webpage"/>
    <n v="134193"/>
    <n v="8737001"/>
    <s v="The Harbour School"/>
    <x v="2"/>
    <s v="Community Special School"/>
    <d v="2003-09-01T00:00:00"/>
    <s v="Not applicable"/>
    <s v="Not applicable"/>
    <s v="Does not apply"/>
    <s v="Does not apply"/>
    <s v="Non-denominational"/>
    <s v="East of England"/>
    <x v="7"/>
    <x v="43"/>
    <s v="South East Cambridgeshire"/>
    <s v="CB6 3RR"/>
    <n v="3"/>
    <n v="75"/>
    <d v="2020-11-26T00:00:00"/>
    <d v="2021-01-17T00:00:00"/>
  </r>
  <r>
    <s v="Ofsted School Webpage"/>
    <n v="103766"/>
    <n v="3321000"/>
    <s v="Netherton Park Nursery School"/>
    <x v="4"/>
    <s v="LA Nursery School"/>
    <s v="NULL"/>
    <s v="Not applicable"/>
    <s v="Not applicable"/>
    <s v="Does not apply"/>
    <s v="Does not apply"/>
    <s v="Non-denominational"/>
    <s v="West Midlands"/>
    <x v="1"/>
    <x v="110"/>
    <s v="Dudley South"/>
    <s v="DY2 9QF"/>
    <n v="4"/>
    <n v="113"/>
    <d v="2020-11-26T00:00:00"/>
    <d v="2021-01-13T00:00:00"/>
  </r>
  <r>
    <s v="Ofsted School Webpage"/>
    <n v="122947"/>
    <n v="8917009"/>
    <s v="Fountaindale School"/>
    <x v="2"/>
    <s v="Community Special School"/>
    <s v="NULL"/>
    <s v="Not applicable"/>
    <s v="Has a sixth form"/>
    <s v="Does not apply"/>
    <s v="Does not apply"/>
    <s v="Non-denominational"/>
    <s v="East Midlands"/>
    <x v="6"/>
    <x v="49"/>
    <s v="Ashfield"/>
    <s v="NG18 5BA"/>
    <n v="4"/>
    <n v="78"/>
    <d v="2020-11-26T00:00:00"/>
    <d v="2021-01-13T00:00:00"/>
  </r>
  <r>
    <s v="Ofsted School Webpage"/>
    <n v="126480"/>
    <n v="8655206"/>
    <s v="Studley Green Primary School"/>
    <x v="0"/>
    <s v="Foundation School"/>
    <s v="NULL"/>
    <s v="Not applicable"/>
    <s v="Does not have a sixth form"/>
    <s v="None"/>
    <s v="Does not apply"/>
    <s v="Non-denominational"/>
    <s v="South West"/>
    <x v="5"/>
    <x v="125"/>
    <s v="South West Wiltshire"/>
    <s v="BA14 9JQ"/>
    <n v="5"/>
    <n v="209"/>
    <d v="2020-11-26T00:00:00"/>
    <d v="2021-01-04T00:00:00"/>
  </r>
  <r>
    <s v="Ofsted School Webpage"/>
    <n v="119774"/>
    <n v="8884411"/>
    <s v="Lathom High School : A Technology College"/>
    <x v="1"/>
    <s v="Foundation School"/>
    <s v="NULL"/>
    <s v="Non-selective"/>
    <s v="Does not have a sixth form"/>
    <s v="Does not apply"/>
    <s v="Does not apply"/>
    <s v="Non-denominational"/>
    <s v="North West"/>
    <x v="4"/>
    <x v="27"/>
    <s v="West Lancashire"/>
    <s v="WN8 6JN"/>
    <n v="5"/>
    <n v="537"/>
    <d v="2020-11-26T00:00:00"/>
    <d v="2021-01-13T00:00:00"/>
  </r>
  <r>
    <s v="Ofsted School Webpage"/>
    <n v="119386"/>
    <n v="8883105"/>
    <s v="St Peter's CofE Primary School"/>
    <x v="0"/>
    <s v="Voluntary Controlled School"/>
    <s v="NULL"/>
    <s v="Not applicable"/>
    <s v="Does not have a sixth form"/>
    <s v="Church of England"/>
    <s v="Does not apply"/>
    <s v="Christian"/>
    <s v="North West"/>
    <x v="4"/>
    <x v="27"/>
    <s v="Hyndburn"/>
    <s v="BB5 0NW"/>
    <n v="5"/>
    <n v="163"/>
    <d v="2020-11-26T00:00:00"/>
    <d v="2021-01-17T00:00:00"/>
  </r>
  <r>
    <s v="Ofsted School Webpage"/>
    <n v="120629"/>
    <n v="9253171"/>
    <s v="Stickney Church of England Primary School"/>
    <x v="0"/>
    <s v="Voluntary Controlled School"/>
    <s v="NULL"/>
    <s v="Not applicable"/>
    <s v="Does not have a sixth form"/>
    <s v="Church of England"/>
    <s v="Does not apply"/>
    <s v="Christian"/>
    <s v="East Midlands"/>
    <x v="6"/>
    <x v="18"/>
    <s v="Boston and Skegness"/>
    <s v="PE22 8AX"/>
    <n v="3"/>
    <n v="144"/>
    <d v="2020-11-26T00:00:00"/>
    <d v="2021-01-13T00:00:00"/>
  </r>
  <r>
    <s v="Ofsted School Webpage"/>
    <n v="114347"/>
    <n v="8407030"/>
    <s v="Windlestone School"/>
    <x v="2"/>
    <s v="Community Special School"/>
    <s v="NULL"/>
    <s v="Not applicable"/>
    <s v="Not applicable"/>
    <s v="Does not apply"/>
    <s v="Does not apply"/>
    <s v="Non-denominational"/>
    <s v="North East, Yorkshire and the Humber"/>
    <x v="8"/>
    <x v="85"/>
    <s v="Sedgefield"/>
    <s v="DL17 0HP"/>
    <n v="5"/>
    <n v="79"/>
    <d v="2020-11-26T00:00:00"/>
    <d v="2021-01-13T00:00:00"/>
  </r>
  <r>
    <s v="Ofsted School Webpage"/>
    <n v="135177"/>
    <n v="8653471"/>
    <s v="Lyneham Primary School"/>
    <x v="0"/>
    <s v="Foundation School"/>
    <d v="2007-09-01T00:00:00"/>
    <s v="Not applicable"/>
    <s v="Does not have a sixth form"/>
    <s v="Does not apply"/>
    <s v="Does not apply"/>
    <s v="Non-denominational"/>
    <s v="South West"/>
    <x v="5"/>
    <x v="125"/>
    <s v="North Wiltshire"/>
    <s v="SN15 4QJ"/>
    <n v="1"/>
    <n v="357"/>
    <d v="2020-11-26T00:00:00"/>
    <d v="2021-01-17T00:00:00"/>
  </r>
  <r>
    <s v="Ofsted School Webpage"/>
    <n v="125985"/>
    <n v="9383020"/>
    <s v="Jolesfield CofE Primary School"/>
    <x v="0"/>
    <s v="Voluntary Controlled School"/>
    <s v="NULL"/>
    <s v="Not applicable"/>
    <s v="Does not have a sixth form"/>
    <s v="Church of England"/>
    <s v="Does not apply"/>
    <s v="Christian"/>
    <s v="South East"/>
    <x v="2"/>
    <x v="55"/>
    <s v="Arundel and South Downs"/>
    <s v="RH13 8JJ"/>
    <n v="1"/>
    <n v="149"/>
    <d v="2020-11-26T00:00:00"/>
    <d v="2021-01-04T00:00:00"/>
  </r>
  <r>
    <s v="Ofsted School Webpage"/>
    <n v="107440"/>
    <n v="3805401"/>
    <s v="Hanson School"/>
    <x v="1"/>
    <s v="Foundation School"/>
    <d v="1899-12-31T00:00:00"/>
    <s v="Non-selective"/>
    <s v="Has a sixth form"/>
    <s v="None"/>
    <s v="Does not apply"/>
    <s v="Non-denominational"/>
    <s v="North East, Yorkshire and the Humber"/>
    <x v="0"/>
    <x v="103"/>
    <s v="Bradford East"/>
    <s v="BD2 1JP"/>
    <n v="4"/>
    <n v="1635"/>
    <d v="2020-11-26T00:00:00"/>
    <d v="2021-01-13T00:00:00"/>
  </r>
  <r>
    <s v="Ofsted School Webpage"/>
    <n v="109703"/>
    <n v="8235202"/>
    <s v="Ashton St Peter's VA C of E School"/>
    <x v="0"/>
    <s v="Voluntary Aided School"/>
    <s v="NULL"/>
    <s v="Not applicable"/>
    <s v="Does not have a sixth form"/>
    <s v="Church of England"/>
    <s v="Does not apply"/>
    <s v="Christian"/>
    <s v="East of England"/>
    <x v="7"/>
    <x v="115"/>
    <s v="South West Bedfordshire"/>
    <s v="LU6 1EW"/>
    <n v="3"/>
    <n v="199"/>
    <d v="2020-11-26T00:00:00"/>
    <d v="2021-01-05T00:00:00"/>
  </r>
  <r>
    <s v="Ofsted School Webpage"/>
    <n v="104454"/>
    <n v="3403307"/>
    <s v="Holy Family Catholic Primary School"/>
    <x v="0"/>
    <s v="Voluntary Aided School"/>
    <s v="NULL"/>
    <s v="Not applicable"/>
    <s v="Does not have a sixth form"/>
    <s v="Roman Catholic"/>
    <s v="Does not apply"/>
    <s v="Christian"/>
    <s v="North West"/>
    <x v="4"/>
    <x v="63"/>
    <s v="St Helens South and Whiston"/>
    <s v="WA8 5DW"/>
    <n v="1"/>
    <n v="211"/>
    <d v="2020-11-26T00:00:00"/>
    <d v="2021-01-13T00:00:00"/>
  </r>
  <r>
    <s v="Ofsted School Webpage"/>
    <n v="105989"/>
    <n v="3555400"/>
    <s v="St Ambrose Barlow RC High School"/>
    <x v="1"/>
    <s v="Voluntary Aided School"/>
    <s v="NULL"/>
    <s v="Non-selective"/>
    <s v="Does not have a sixth form"/>
    <s v="Roman Catholic"/>
    <s v="Does not apply"/>
    <s v="Christian"/>
    <s v="North West"/>
    <x v="4"/>
    <x v="142"/>
    <s v="Salford and Eccles"/>
    <s v="M27 9QP"/>
    <n v="4"/>
    <n v="1041"/>
    <d v="2020-11-26T00:00:00"/>
    <d v="2021-01-21T00:00:00"/>
  </r>
  <r>
    <s v="Ofsted School Webpage"/>
    <n v="110472"/>
    <n v="8263348"/>
    <s v="St Mary and St Giles Church of England School"/>
    <x v="0"/>
    <s v="Voluntary Aided School"/>
    <d v="1899-12-31T00:00:00"/>
    <s v="Not applicable"/>
    <s v="Not applicable"/>
    <s v="Church of England"/>
    <s v="Does not apply"/>
    <s v="Christian"/>
    <s v="South East"/>
    <x v="2"/>
    <x v="135"/>
    <s v="Milton Keynes South"/>
    <s v="MK11 1EF"/>
    <n v="4"/>
    <n v="401"/>
    <d v="2020-11-26T00:00:00"/>
    <d v="2020-12-15T00:00:00"/>
  </r>
  <r>
    <s v="Ofsted School Webpage"/>
    <n v="112337"/>
    <n v="9093410"/>
    <s v="Our Lady and St Patrick's Catholic Primary School"/>
    <x v="0"/>
    <s v="Voluntary Aided School"/>
    <s v="NULL"/>
    <s v="Not applicable"/>
    <s v="Does not have a sixth form"/>
    <s v="Roman Catholic"/>
    <s v="Does not apply"/>
    <s v="Christian"/>
    <s v="North West"/>
    <x v="4"/>
    <x v="25"/>
    <s v="Workington"/>
    <s v="CA15 8HN"/>
    <n v="5"/>
    <n v="214"/>
    <d v="2020-11-26T00:00:00"/>
    <d v="2021-01-20T00:00:00"/>
  </r>
  <r>
    <s v="Ofsted School Webpage"/>
    <n v="114283"/>
    <n v="8403511"/>
    <s v="Blessed John Duckett Roman Catholic Voluntary Aided Primary"/>
    <x v="0"/>
    <s v="Voluntary Aided School"/>
    <s v="NULL"/>
    <s v="Not applicable"/>
    <s v="Does not have a sixth form"/>
    <s v="Roman Catholic"/>
    <s v="Does not apply"/>
    <s v="Christian"/>
    <s v="North East, Yorkshire and the Humber"/>
    <x v="8"/>
    <x v="85"/>
    <s v="North West Durham"/>
    <s v="DL13 4AU"/>
    <n v="5"/>
    <n v="67"/>
    <d v="2020-11-26T00:00:00"/>
    <d v="2021-01-17T00:00:00"/>
  </r>
  <r>
    <s v="Ofsted School Webpage"/>
    <n v="110839"/>
    <n v="8733356"/>
    <s v="St Pauls CofE VA Primary School"/>
    <x v="0"/>
    <s v="Voluntary Aided School"/>
    <s v="NULL"/>
    <s v="Not applicable"/>
    <s v="Does not have a sixth form"/>
    <s v="Church of England"/>
    <s v="Does not apply"/>
    <s v="Christian"/>
    <s v="East of England"/>
    <x v="7"/>
    <x v="43"/>
    <s v="Cambridge"/>
    <s v="CB2 1HJ"/>
    <n v="2"/>
    <n v="185"/>
    <d v="2020-11-26T00:00:00"/>
    <d v="2021-01-04T00:00:00"/>
  </r>
  <r>
    <s v="Ofsted School Webpage"/>
    <n v="116465"/>
    <n v="8524306"/>
    <s v="Woodlands Community College"/>
    <x v="1"/>
    <s v="Foundation School"/>
    <d v="1997-01-17T00:00:00"/>
    <s v="Non-selective"/>
    <s v="Does not have a sixth form"/>
    <s v="Does not apply"/>
    <s v="Does not apply"/>
    <s v="Non-denominational"/>
    <s v="South East"/>
    <x v="2"/>
    <x v="76"/>
    <s v="Southampton, Itchen"/>
    <s v="SO18 5FW"/>
    <n v="5"/>
    <n v="648"/>
    <d v="2020-11-26T00:00:00"/>
    <d v="2021-01-19T00:00:00"/>
  </r>
  <r>
    <s v="Ofsted School Webpage"/>
    <n v="104959"/>
    <n v="3434611"/>
    <s v="Savio Salesian College"/>
    <x v="1"/>
    <s v="Voluntary Aided School"/>
    <d v="1899-12-31T00:00:00"/>
    <s v="Non-selective"/>
    <s v="Does not have a sixth form"/>
    <s v="Roman Catholic"/>
    <s v="Does not apply"/>
    <s v="Christian"/>
    <s v="North West"/>
    <x v="4"/>
    <x v="93"/>
    <s v="Bootle"/>
    <s v="L30 2NA"/>
    <n v="5"/>
    <n v="434"/>
    <d v="2020-11-26T00:00:00"/>
    <d v="2020-12-16T00:00:00"/>
  </r>
  <r>
    <s v="Ofsted School Webpage"/>
    <n v="118076"/>
    <n v="8114055"/>
    <s v="The Market Weighton School"/>
    <x v="1"/>
    <s v="Community School"/>
    <s v="NULL"/>
    <s v="Non-selective"/>
    <s v="Does not have a sixth form"/>
    <s v="Does not apply"/>
    <s v="Does not apply"/>
    <s v="Non-denominational"/>
    <s v="North East, Yorkshire and the Humber"/>
    <x v="0"/>
    <x v="31"/>
    <s v="East Yorkshire"/>
    <s v="YO43 3JF"/>
    <n v="1"/>
    <n v="512"/>
    <d v="2020-11-26T00:00:00"/>
    <d v="2021-01-17T00:00:00"/>
  </r>
  <r>
    <s v="Ofsted School Webpage"/>
    <n v="108704"/>
    <n v="3932083"/>
    <s v="Toner Avenue Primary School"/>
    <x v="0"/>
    <s v="Community School"/>
    <s v="NULL"/>
    <s v="Not applicable"/>
    <s v="Does not have a sixth form"/>
    <s v="Does not apply"/>
    <s v="Does not apply"/>
    <s v="Non-denominational"/>
    <s v="North East, Yorkshire and the Humber"/>
    <x v="8"/>
    <x v="17"/>
    <s v="Jarrow"/>
    <s v="NE31 2LJ"/>
    <n v="5"/>
    <n v="369"/>
    <d v="2020-11-26T00:00:00"/>
    <d v="2021-01-17T00:00:00"/>
  </r>
  <r>
    <s v="Ofsted School Webpage"/>
    <n v="107938"/>
    <n v="3832462"/>
    <s v="Shakespeare Primary School"/>
    <x v="0"/>
    <s v="Community School"/>
    <s v="NULL"/>
    <s v="Not applicable"/>
    <s v="Does not have a sixth form"/>
    <s v="Does not apply"/>
    <s v="Does not apply"/>
    <s v="Non-denominational"/>
    <s v="North East, Yorkshire and the Humber"/>
    <x v="0"/>
    <x v="26"/>
    <s v="Leeds East"/>
    <s v="LS9 7NP"/>
    <n v="5"/>
    <n v="715"/>
    <d v="2020-11-26T00:00:00"/>
    <d v="2021-01-19T00:00:00"/>
  </r>
  <r>
    <s v="Ofsted School Webpage"/>
    <n v="124536"/>
    <n v="9352009"/>
    <s v="Pot Kiln Primary School"/>
    <x v="0"/>
    <s v="Community School"/>
    <s v="NULL"/>
    <s v="Not applicable"/>
    <s v="Does not have a sixth form"/>
    <s v="Does not apply"/>
    <s v="Does not apply"/>
    <s v="Non-denominational"/>
    <s v="East of England"/>
    <x v="7"/>
    <x v="14"/>
    <s v="South Suffolk"/>
    <s v="CO10 0DS"/>
    <n v="3"/>
    <n v="315"/>
    <d v="2020-11-26T00:00:00"/>
    <d v="2021-01-17T00:00:00"/>
  </r>
  <r>
    <s v="Ofsted School Webpage"/>
    <n v="109581"/>
    <n v="8212274"/>
    <s v="Hillborough Infant School"/>
    <x v="0"/>
    <s v="Community School"/>
    <s v="NULL"/>
    <s v="Not applicable"/>
    <s v="Does not have a sixth form"/>
    <s v="Does not apply"/>
    <s v="Does not apply"/>
    <s v="Non-denominational"/>
    <s v="East of England"/>
    <x v="7"/>
    <x v="32"/>
    <s v="Luton South"/>
    <s v="LU1 5EZ"/>
    <n v="4"/>
    <n v="291"/>
    <d v="2020-11-26T00:00:00"/>
    <d v="2021-01-17T00:00:00"/>
  </r>
  <r>
    <s v="Ofsted School Webpage"/>
    <n v="122427"/>
    <n v="8922080"/>
    <s v="Middleton Primary and Nursery School"/>
    <x v="0"/>
    <s v="Community School"/>
    <s v="NULL"/>
    <s v="Not applicable"/>
    <s v="Does not have a sixth form"/>
    <s v="Does not apply"/>
    <s v="Does not apply"/>
    <s v="Non-denominational"/>
    <s v="East Midlands"/>
    <x v="6"/>
    <x v="126"/>
    <s v="Nottingham South"/>
    <s v="NG8 1FG"/>
    <n v="2"/>
    <n v="533"/>
    <d v="2020-11-26T00:00:00"/>
    <d v="2021-01-13T00:00:00"/>
  </r>
  <r>
    <s v="Ofsted School Webpage"/>
    <n v="123653"/>
    <n v="9332045"/>
    <s v="Meare Village Primary School"/>
    <x v="0"/>
    <s v="Community School"/>
    <s v="NULL"/>
    <s v="Not applicable"/>
    <s v="Does not have a sixth form"/>
    <s v="Does not apply"/>
    <s v="Does not apply"/>
    <s v="Non-denominational"/>
    <s v="South West"/>
    <x v="5"/>
    <x v="34"/>
    <s v="Wells"/>
    <s v="BA6 9SP"/>
    <n v="2"/>
    <n v="110"/>
    <d v="2020-11-26T00:00:00"/>
    <d v="2021-01-04T00:00:00"/>
  </r>
  <r>
    <s v="Ofsted School Webpage"/>
    <n v="135568"/>
    <n v="8733945"/>
    <s v="Huntingdon Primary School"/>
    <x v="0"/>
    <s v="Community School"/>
    <d v="2009-01-01T00:00:00"/>
    <s v="Not applicable"/>
    <s v="Does not have a sixth form"/>
    <s v="Does not apply"/>
    <s v="Does not apply"/>
    <s v="Non-denominational"/>
    <s v="East of England"/>
    <x v="7"/>
    <x v="43"/>
    <s v="Huntingdon"/>
    <s v="PE29 1AD"/>
    <n v="4"/>
    <n v="457"/>
    <d v="2020-11-26T00:00:00"/>
    <d v="2021-01-17T00:00:00"/>
  </r>
  <r>
    <s v="Ofsted School Webpage"/>
    <n v="110683"/>
    <n v="8742215"/>
    <s v="Old Fletton Primary School"/>
    <x v="0"/>
    <s v="Community School"/>
    <s v="NULL"/>
    <s v="Not applicable"/>
    <s v="Does not have a sixth form"/>
    <s v="Does not apply"/>
    <s v="Does not apply"/>
    <s v="Non-denominational"/>
    <s v="East of England"/>
    <x v="7"/>
    <x v="13"/>
    <s v="North West Cambridgeshire"/>
    <s v="PE2 9DR"/>
    <n v="4"/>
    <n v="435"/>
    <d v="2020-11-26T00:00:00"/>
    <d v="2021-01-13T00:00:00"/>
  </r>
  <r>
    <s v="Ofsted School Webpage"/>
    <n v="113674"/>
    <n v="8382030"/>
    <s v="Stower Provost Community School"/>
    <x v="0"/>
    <s v="Community School"/>
    <s v="NULL"/>
    <s v="Not applicable"/>
    <s v="Does not have a sixth form"/>
    <s v="Does not apply"/>
    <s v="Does not apply"/>
    <s v="Non-denominational"/>
    <s v="South West"/>
    <x v="5"/>
    <x v="87"/>
    <s v="North Dorset"/>
    <s v="SP8 5LX"/>
    <n v="2"/>
    <n v="59"/>
    <d v="2020-11-26T00:00:00"/>
    <d v="2021-01-13T00:00:00"/>
  </r>
  <r>
    <s v="Ofsted School Webpage"/>
    <n v="120506"/>
    <n v="9252243"/>
    <s v="Bythams Primary School"/>
    <x v="0"/>
    <s v="Community School"/>
    <s v="NULL"/>
    <s v="Not applicable"/>
    <s v="Not applicable"/>
    <s v="Does not apply"/>
    <s v="Does not apply"/>
    <s v="Non-denominational"/>
    <s v="East Midlands"/>
    <x v="6"/>
    <x v="18"/>
    <s v="Grantham and Stamford"/>
    <s v="NG33 4PX"/>
    <n v="1"/>
    <n v="90"/>
    <d v="2020-11-26T00:00:00"/>
    <d v="2021-01-13T00:00:00"/>
  </r>
  <r>
    <s v="Ofsted School Webpage"/>
    <n v="114473"/>
    <n v="8452151"/>
    <s v="Bourne Primary School"/>
    <x v="0"/>
    <s v="Community School"/>
    <s v="NULL"/>
    <s v="Not applicable"/>
    <s v="Does not have a sixth form"/>
    <s v="Does not apply"/>
    <s v="Does not apply"/>
    <s v="Non-denominational"/>
    <s v="South East"/>
    <x v="2"/>
    <x v="80"/>
    <s v="Eastbourne"/>
    <s v="BN22 8BD"/>
    <n v="4"/>
    <n v="452"/>
    <d v="2020-11-26T00:00:00"/>
    <d v="2021-01-13T00:00:00"/>
  </r>
  <r>
    <s v="Ofsted School Webpage"/>
    <n v="103638"/>
    <n v="3312000"/>
    <s v="Alderman's Green Community Primary School"/>
    <x v="0"/>
    <s v="Community School"/>
    <s v="NULL"/>
    <s v="Not applicable"/>
    <s v="Does not have a sixth form"/>
    <s v="Does not apply"/>
    <s v="Does not apply"/>
    <s v="Non-denominational"/>
    <s v="West Midlands"/>
    <x v="1"/>
    <x v="15"/>
    <s v="Coventry North East"/>
    <s v="CV2 1PP"/>
    <n v="5"/>
    <n v="587"/>
    <d v="2020-11-26T00:00:00"/>
    <d v="2021-01-13T00:00:00"/>
  </r>
  <r>
    <s v="Ofsted School Webpage"/>
    <n v="124205"/>
    <n v="8602409"/>
    <s v="Flash Ley Primary School"/>
    <x v="0"/>
    <s v="Community School"/>
    <s v="NULL"/>
    <s v="Not applicable"/>
    <s v="Does not have a sixth form"/>
    <s v="Does not apply"/>
    <s v="Does not apply"/>
    <s v="Non-denominational"/>
    <s v="West Midlands"/>
    <x v="1"/>
    <x v="36"/>
    <s v="Stafford"/>
    <s v="ST17 9DR"/>
    <n v="4"/>
    <n v="222"/>
    <d v="2020-11-26T00:00:00"/>
    <d v="2021-01-13T00:00:00"/>
  </r>
  <r>
    <s v="Ofsted School Webpage"/>
    <n v="132183"/>
    <n v="3802198"/>
    <s v="Knowleswood Primary School"/>
    <x v="0"/>
    <s v="Community School"/>
    <d v="2000-09-01T00:00:00"/>
    <s v="Not applicable"/>
    <s v="Does not have a sixth form"/>
    <s v="Does not apply"/>
    <s v="Does not apply"/>
    <s v="Non-denominational"/>
    <s v="North East, Yorkshire and the Humber"/>
    <x v="0"/>
    <x v="103"/>
    <s v="Bradford South"/>
    <s v="BD4 9AE"/>
    <n v="5"/>
    <n v="430"/>
    <d v="2020-11-26T00:00:00"/>
    <d v="2021-01-06T00:00:00"/>
  </r>
  <r>
    <s v="Ofsted School Webpage"/>
    <n v="124577"/>
    <n v="9352071"/>
    <s v="Copdock Primary School"/>
    <x v="0"/>
    <s v="Community School"/>
    <s v="NULL"/>
    <s v="Not applicable"/>
    <s v="Does not have a sixth form"/>
    <s v="Does not apply"/>
    <s v="Does not apply"/>
    <s v="Non-denominational"/>
    <s v="East of England"/>
    <x v="7"/>
    <x v="14"/>
    <s v="South Suffolk"/>
    <s v="IP8 3HY"/>
    <n v="2"/>
    <n v="81"/>
    <d v="2020-11-26T00:00:00"/>
    <d v="2021-01-13T00:00:00"/>
  </r>
  <r>
    <s v="Ofsted School Webpage"/>
    <n v="119206"/>
    <n v="8882147"/>
    <s v="Coppull Primary School and Nursery"/>
    <x v="0"/>
    <s v="Community School"/>
    <s v="NULL"/>
    <s v="Not applicable"/>
    <s v="Does not have a sixth form"/>
    <s v="Does not apply"/>
    <s v="Does not apply"/>
    <s v="Non-denominational"/>
    <s v="North West"/>
    <x v="4"/>
    <x v="27"/>
    <s v="Chorley"/>
    <s v="PR7 5AH"/>
    <n v="3"/>
    <n v="339"/>
    <d v="2020-11-26T00:00:00"/>
    <d v="2021-01-13T00:00:00"/>
  </r>
  <r>
    <s v="Ofsted School Webpage"/>
    <n v="104682"/>
    <n v="3415200"/>
    <s v="King David Primary School"/>
    <x v="0"/>
    <s v="Voluntary Aided School"/>
    <s v="NULL"/>
    <s v="Not applicable"/>
    <s v="Does not have a sixth form"/>
    <s v="Jewish"/>
    <s v="Does not apply"/>
    <s v="Jewish"/>
    <s v="North West"/>
    <x v="4"/>
    <x v="29"/>
    <s v="Liverpool, Wavertree"/>
    <s v="L15 6WU"/>
    <n v="2"/>
    <n v="428"/>
    <d v="2020-11-27T00:00:00"/>
    <d v="2021-01-19T00:00:00"/>
  </r>
  <r>
    <s v="Ofsted School Webpage"/>
    <n v="104679"/>
    <n v="3413635"/>
    <s v="St Paschal Baylon Catholic Primary School"/>
    <x v="0"/>
    <s v="Voluntary Aided School"/>
    <s v="NULL"/>
    <s v="Not applicable"/>
    <s v="Does not have a sixth form"/>
    <s v="Roman Catholic"/>
    <s v="Does not apply"/>
    <s v="Christian"/>
    <s v="North West"/>
    <x v="4"/>
    <x v="29"/>
    <s v="Garston and Halewood"/>
    <s v="L16 2LN"/>
    <n v="4"/>
    <n v="394"/>
    <d v="2020-11-27T00:00:00"/>
    <d v="2021-01-19T00:00:00"/>
  </r>
  <r>
    <s v="Ofsted School Webpage"/>
    <n v="101139"/>
    <n v="2133580"/>
    <s v="St Peter's CofE School"/>
    <x v="0"/>
    <s v="Voluntary Aided School"/>
    <s v="NULL"/>
    <s v="Not applicable"/>
    <s v="Does not have a sixth form"/>
    <s v="Church of England"/>
    <s v="Does not apply"/>
    <s v="Christian"/>
    <s v="London"/>
    <x v="3"/>
    <x v="146"/>
    <s v="Westminster North"/>
    <s v="W9 2AN"/>
    <n v="5"/>
    <n v="194"/>
    <d v="2020-12-01T00:00:00"/>
    <d v="2021-01-19T00:00:00"/>
  </r>
  <r>
    <s v="Ofsted School Webpage"/>
    <n v="141999"/>
    <n v="8402019"/>
    <s v="South Hetton Primary"/>
    <x v="0"/>
    <s v="Academy Sponsor Led"/>
    <d v="2015-09-01T00:00:00"/>
    <s v="Not applicable"/>
    <s v="Does not have a sixth form"/>
    <s v="Does not apply"/>
    <s v="None"/>
    <s v="Non-denominational"/>
    <s v="North East, Yorkshire and the Humber"/>
    <x v="8"/>
    <x v="85"/>
    <s v="Easington"/>
    <s v="DH6 2TJ"/>
    <n v="4"/>
    <n v="240"/>
    <d v="2020-12-01T00:00:00"/>
    <d v="2021-01-17T00:00:00"/>
  </r>
  <r>
    <s v="Ofsted School Webpage"/>
    <n v="135857"/>
    <n v="9165221"/>
    <s v="Oakwood Primary School"/>
    <x v="0"/>
    <s v="Foundation School"/>
    <d v="2009-09-01T00:00:00"/>
    <s v="Not applicable"/>
    <s v="Does not have a sixth form"/>
    <s v="None"/>
    <s v="Does not apply"/>
    <s v="Non-denominational"/>
    <s v="South West"/>
    <x v="5"/>
    <x v="28"/>
    <s v="Cheltenham"/>
    <s v="GL52 5HD"/>
    <n v="4"/>
    <n v="334"/>
    <d v="2020-12-01T00:00:00"/>
    <d v="2020-12-15T00:00:00"/>
  </r>
  <r>
    <s v="Ofsted School Webpage"/>
    <n v="109410"/>
    <n v="8017042"/>
    <s v="Briarwood School"/>
    <x v="2"/>
    <s v="Community Special School"/>
    <s v="NULL"/>
    <s v="Not applicable"/>
    <s v="Has a sixth form"/>
    <s v="Does not apply"/>
    <s v="Does not apply"/>
    <s v="Non-denominational"/>
    <s v="South West"/>
    <x v="5"/>
    <x v="38"/>
    <s v="Bristol East"/>
    <s v="BS16 4EA"/>
    <n v="5"/>
    <n v="154"/>
    <d v="2020-12-01T00:00:00"/>
    <d v="2021-01-13T00:00:00"/>
  </r>
  <r>
    <s v="Ofsted School Webpage"/>
    <n v="108892"/>
    <n v="2121103"/>
    <s v="Wandsworth Hospital and Home Tuition Service"/>
    <x v="3"/>
    <s v="Pupil Referral Unit"/>
    <d v="2005-09-01T00:00:00"/>
    <s v="Not applicable"/>
    <s v="Not applicable"/>
    <s v="Does not apply"/>
    <s v="Does not apply"/>
    <s v="Non-denominational"/>
    <s v="London"/>
    <x v="3"/>
    <x v="144"/>
    <s v="Tooting"/>
    <s v="SW17 7DJ"/>
    <s v="NULL"/>
    <n v="0"/>
    <d v="2020-12-01T00:00:00"/>
    <d v="2021-01-17T00:00:00"/>
  </r>
  <r>
    <s v="Ofsted School Webpage"/>
    <n v="139271"/>
    <n v="8814009"/>
    <s v="Mark Hall Academy"/>
    <x v="1"/>
    <s v="Academy Sponsor Led"/>
    <d v="2013-09-01T00:00:00"/>
    <s v="Non-selective"/>
    <s v="Does not have a sixth form"/>
    <s v="None"/>
    <s v="None"/>
    <s v="Non-denominational"/>
    <s v="East of England"/>
    <x v="7"/>
    <x v="75"/>
    <s v="Harlow"/>
    <s v="CM17 9LR"/>
    <n v="3"/>
    <n v="773"/>
    <d v="2020-12-01T00:00:00"/>
    <d v="2021-01-13T00:00:00"/>
  </r>
  <r>
    <s v="Ofsted School Webpage"/>
    <n v="104735"/>
    <n v="3417023"/>
    <s v="Royal School for the Blind (Liverpool)"/>
    <x v="2"/>
    <s v="Non-Maintained Special School"/>
    <s v="NULL"/>
    <s v="Not applicable"/>
    <s v="Has a sixth form"/>
    <s v="Does not apply"/>
    <s v="Does not apply"/>
    <s v="Non-denominational"/>
    <s v="North West"/>
    <x v="4"/>
    <x v="29"/>
    <s v="Liverpool, Wavertree"/>
    <s v="L15 6TQ"/>
    <n v="5"/>
    <n v="88"/>
    <d v="2020-12-01T00:00:00"/>
    <d v="2021-01-13T00:00:00"/>
  </r>
  <r>
    <s v="Ofsted School Webpage"/>
    <n v="100992"/>
    <n v="2121057"/>
    <s v="Somerset Nursery School and Children's Centre"/>
    <x v="4"/>
    <s v="LA Nursery School"/>
    <s v="NULL"/>
    <s v="Not applicable"/>
    <s v="Not applicable"/>
    <s v="Does not apply"/>
    <s v="Does not apply"/>
    <s v="Non-denominational"/>
    <s v="London"/>
    <x v="3"/>
    <x v="144"/>
    <s v="Battersea"/>
    <s v="SW11 3ND"/>
    <n v="3"/>
    <n v="57"/>
    <d v="2020-12-01T00:00:00"/>
    <d v="2021-01-25T00:00:00"/>
  </r>
  <r>
    <s v="Ofsted School Webpage"/>
    <n v="121780"/>
    <n v="8157030"/>
    <s v="Forest Moor School"/>
    <x v="2"/>
    <s v="Community Special School"/>
    <s v="NULL"/>
    <s v="Not applicable"/>
    <s v="Not applicable"/>
    <s v="Does not apply"/>
    <s v="Does not apply"/>
    <s v="Non-denominational"/>
    <s v="North East, Yorkshire and the Humber"/>
    <x v="0"/>
    <x v="60"/>
    <s v="Skipton and Ripon"/>
    <s v="HG3 2RA"/>
    <n v="2"/>
    <n v="53"/>
    <d v="2020-12-01T00:00:00"/>
    <d v="2021-01-19T00:00:00"/>
  </r>
  <r>
    <s v="Ofsted School Webpage"/>
    <n v="111503"/>
    <n v="8967106"/>
    <s v="Greenbank School"/>
    <x v="2"/>
    <s v="Community Special School"/>
    <s v="NULL"/>
    <s v="Not applicable"/>
    <s v="Has a sixth form"/>
    <s v="Does not apply"/>
    <s v="Does not apply"/>
    <s v="Non-denominational"/>
    <s v="North West"/>
    <x v="4"/>
    <x v="20"/>
    <s v="Weaver Vale"/>
    <s v="CW8 1LD"/>
    <n v="3"/>
    <n v="105"/>
    <d v="2020-12-01T00:00:00"/>
    <d v="2021-01-19T00:00:00"/>
  </r>
  <r>
    <s v="Ofsted School Webpage"/>
    <n v="114688"/>
    <n v="8457021"/>
    <s v="Grove Park School"/>
    <x v="2"/>
    <s v="Community Special School"/>
    <s v="NULL"/>
    <s v="Not applicable"/>
    <s v="Has a sixth form"/>
    <s v="Does not apply"/>
    <s v="Does not apply"/>
    <s v="Non-denominational"/>
    <s v="South East"/>
    <x v="2"/>
    <x v="80"/>
    <s v="Wealden"/>
    <s v="TN6 1BN"/>
    <n v="1"/>
    <n v="118"/>
    <d v="2020-12-01T00:00:00"/>
    <d v="2021-01-17T00:00:00"/>
  </r>
  <r>
    <s v="Ofsted School Webpage"/>
    <n v="139957"/>
    <n v="9284013"/>
    <s v="Kingswood Secondary Academy"/>
    <x v="1"/>
    <s v="Academy Sponsor Led"/>
    <d v="2013-09-01T00:00:00"/>
    <s v="Non-selective"/>
    <s v="Has a sixth form"/>
    <s v="None"/>
    <s v="None"/>
    <s v="Non-denominational"/>
    <s v="East Midlands"/>
    <x v="6"/>
    <x v="64"/>
    <s v="Corby"/>
    <s v="NN18 9NS"/>
    <n v="4"/>
    <n v="1190"/>
    <d v="2020-12-01T00:00:00"/>
    <d v="2021-01-17T00:00:00"/>
  </r>
  <r>
    <s v="Ofsted School Webpage"/>
    <n v="138117"/>
    <n v="9352000"/>
    <s v="Langer Primary Academy"/>
    <x v="0"/>
    <s v="Academy Sponsor Led"/>
    <d v="2012-05-01T00:00:00"/>
    <s v="Not applicable"/>
    <s v="Does not have a sixth form"/>
    <s v="None"/>
    <s v="None"/>
    <s v="Non-denominational"/>
    <s v="East of England"/>
    <x v="7"/>
    <x v="14"/>
    <s v="Suffolk Coastal"/>
    <s v="IP11 2HL"/>
    <n v="4"/>
    <n v="142"/>
    <d v="2020-12-01T00:00:00"/>
    <d v="2021-01-17T00:00:00"/>
  </r>
  <r>
    <s v="Ofsted School Webpage"/>
    <n v="140853"/>
    <n v="9282163"/>
    <s v="Oakway Academy"/>
    <x v="0"/>
    <s v="Academy Sponsor Led"/>
    <d v="2014-09-01T00:00:00"/>
    <s v="Not applicable"/>
    <s v="Does not have a sixth form"/>
    <s v="Does not apply"/>
    <s v="None"/>
    <s v="Non-denominational"/>
    <s v="East Midlands"/>
    <x v="6"/>
    <x v="64"/>
    <s v="Wellingborough"/>
    <s v="NN8 4SD"/>
    <n v="4"/>
    <n v="587"/>
    <d v="2020-12-01T00:00:00"/>
    <d v="2021-01-13T00:00:00"/>
  </r>
  <r>
    <s v="Ofsted School Webpage"/>
    <n v="143132"/>
    <n v="9252040"/>
    <s v="Theddlethorpe Primary School"/>
    <x v="0"/>
    <s v="Academy Sponsor Led"/>
    <d v="2016-09-01T00:00:00"/>
    <s v="Not applicable"/>
    <s v="Does not have a sixth form"/>
    <s v="Does not apply"/>
    <s v="Unknown"/>
    <s v="Non-denominational"/>
    <s v="East Midlands"/>
    <x v="6"/>
    <x v="18"/>
    <s v="Louth and Horncastle"/>
    <s v="LN12 1PB"/>
    <n v="5"/>
    <n v="98"/>
    <d v="2020-12-01T00:00:00"/>
    <d v="2021-01-13T00:00:00"/>
  </r>
  <r>
    <s v="Ofsted School Webpage"/>
    <n v="143271"/>
    <n v="3912018"/>
    <s v="Cheviot Primary School"/>
    <x v="0"/>
    <s v="Academy Converter"/>
    <d v="2016-11-01T00:00:00"/>
    <s v="Not applicable"/>
    <s v="Does not have a sixth form"/>
    <s v="Does not apply"/>
    <s v="Does not apply"/>
    <s v="Non-denominational"/>
    <s v="North East, Yorkshire and the Humber"/>
    <x v="8"/>
    <x v="83"/>
    <s v="Newcastle upon Tyne North"/>
    <s v="NE5 4EB"/>
    <n v="5"/>
    <n v="255"/>
    <d v="2020-12-01T00:00:00"/>
    <d v="2021-01-13T00:00:00"/>
  </r>
  <r>
    <s v="Ofsted School Webpage"/>
    <n v="139629"/>
    <n v="8104001"/>
    <s v="Winifred Holtby Academy"/>
    <x v="1"/>
    <s v="Academy Converter"/>
    <d v="2013-05-01T00:00:00"/>
    <s v="Non-selective"/>
    <s v="Does not have a sixth form"/>
    <s v="Does not apply"/>
    <s v="Does not apply"/>
    <s v="Non-denominational"/>
    <s v="North East, Yorkshire and the Humber"/>
    <x v="0"/>
    <x v="122"/>
    <s v="Kingston upon Hull East"/>
    <s v="HU7 4PW"/>
    <n v="5"/>
    <n v="1282"/>
    <d v="2020-12-01T00:00:00"/>
    <d v="2021-01-17T00:00:00"/>
  </r>
  <r>
    <s v="Ofsted School Webpage"/>
    <n v="138540"/>
    <n v="3352243"/>
    <s v="Jubilee Academy Mossley"/>
    <x v="0"/>
    <s v="Academy Converter"/>
    <d v="2012-08-01T00:00:00"/>
    <s v="Not applicable"/>
    <s v="Does not have a sixth form"/>
    <s v="Does not apply"/>
    <s v="Does not apply"/>
    <s v="Non-denominational"/>
    <s v="West Midlands"/>
    <x v="1"/>
    <x v="73"/>
    <s v="Walsall North"/>
    <s v="WS3 2SQ"/>
    <n v="5"/>
    <n v="232"/>
    <d v="2020-12-01T00:00:00"/>
    <d v="2021-01-13T00:00:00"/>
  </r>
  <r>
    <s v="Ofsted School Webpage"/>
    <n v="142247"/>
    <n v="9092507"/>
    <s v="Victoria Academy"/>
    <x v="0"/>
    <s v="Academy Converter"/>
    <d v="2015-09-01T00:00:00"/>
    <s v="Not applicable"/>
    <s v="Does not have a sixth form"/>
    <s v="Does not apply"/>
    <s v="Does not apply"/>
    <s v="Non-denominational"/>
    <s v="North West"/>
    <x v="4"/>
    <x v="25"/>
    <s v="Barrow and Furness"/>
    <s v="LA14 5NE"/>
    <n v="3"/>
    <n v="208"/>
    <d v="2020-12-01T00:00:00"/>
    <d v="2021-01-20T00:00:00"/>
  </r>
  <r>
    <s v="Ofsted School Webpage"/>
    <n v="144765"/>
    <n v="9357013"/>
    <s v="The Everitt Academy"/>
    <x v="2"/>
    <s v="Free School Special"/>
    <d v="2017-09-04T00:00:00"/>
    <s v="Unknown"/>
    <s v="Does not have a sixth form"/>
    <s v="None"/>
    <s v="None"/>
    <s v="Non-denominational"/>
    <s v="East of England"/>
    <x v="7"/>
    <x v="14"/>
    <s v="Waveney"/>
    <s v="NR33 8AX"/>
    <n v="4"/>
    <n v="51"/>
    <d v="2020-12-01T00:00:00"/>
    <d v="2021-01-13T00:00:00"/>
  </r>
  <r>
    <s v="Ofsted School Webpage"/>
    <n v="142492"/>
    <n v="8023121"/>
    <s v="Court-De-Wyck Church School"/>
    <x v="0"/>
    <s v="Academy Converter"/>
    <d v="2015-12-01T00:00:00"/>
    <s v="Not applicable"/>
    <s v="Does not have a sixth form"/>
    <s v="Church of England"/>
    <s v="Does not apply"/>
    <s v="Christian"/>
    <s v="South West"/>
    <x v="5"/>
    <x v="98"/>
    <s v="North Somerset"/>
    <s v="BS49 4NF"/>
    <n v="1"/>
    <n v="132"/>
    <d v="2020-12-01T00:00:00"/>
    <d v="2020-12-15T00:00:00"/>
  </r>
  <r>
    <s v="Ofsted School Webpage"/>
    <n v="143791"/>
    <n v="3824054"/>
    <s v="Kirkburton Middle School"/>
    <x v="1"/>
    <s v="Academy Converter"/>
    <d v="2016-12-01T00:00:00"/>
    <s v="Not applicable"/>
    <s v="Does not have a sixth form"/>
    <s v="Does not apply"/>
    <s v="Does not apply"/>
    <s v="Non-denominational"/>
    <s v="North East, Yorkshire and the Humber"/>
    <x v="0"/>
    <x v="104"/>
    <s v="Dewsbury"/>
    <s v="HD8 0TJ"/>
    <n v="1"/>
    <n v="516"/>
    <d v="2020-12-01T00:00:00"/>
    <d v="2021-01-17T00:00:00"/>
  </r>
  <r>
    <s v="Ofsted School Webpage"/>
    <n v="140832"/>
    <n v="8832007"/>
    <s v="Tilbury Pioneer Academy"/>
    <x v="0"/>
    <s v="Academy Sponsor Led"/>
    <d v="2014-05-01T00:00:00"/>
    <s v="Unknown"/>
    <s v="Does not have a sixth form"/>
    <s v="Does not apply"/>
    <s v="None"/>
    <s v="Non-denominational"/>
    <s v="East of England"/>
    <x v="7"/>
    <x v="44"/>
    <s v="Thurrock"/>
    <s v="RM18 8HJ"/>
    <n v="5"/>
    <n v="484"/>
    <d v="2020-12-01T00:00:00"/>
    <d v="2021-01-13T00:00:00"/>
  </r>
  <r>
    <s v="Ofsted School Webpage"/>
    <n v="140992"/>
    <n v="8914019"/>
    <s v="Hall Park Academy"/>
    <x v="1"/>
    <s v="Academy Sponsor Led"/>
    <d v="2014-07-01T00:00:00"/>
    <s v="Non-selective"/>
    <s v="Has a sixth form"/>
    <s v="Does not apply"/>
    <s v="None"/>
    <s v="Non-denominational"/>
    <s v="East Midlands"/>
    <x v="6"/>
    <x v="49"/>
    <s v="Ashfield"/>
    <s v="NG16 3EA"/>
    <n v="4"/>
    <n v="824"/>
    <d v="2020-12-01T00:00:00"/>
    <d v="2021-01-13T00:00:00"/>
  </r>
  <r>
    <s v="Ofsted School Webpage"/>
    <n v="139641"/>
    <n v="8812067"/>
    <s v="Ravens Academy"/>
    <x v="0"/>
    <s v="Academy Sponsor Led"/>
    <d v="2013-09-01T00:00:00"/>
    <s v="Not applicable"/>
    <s v="Does not have a sixth form"/>
    <s v="Does not apply"/>
    <s v="None"/>
    <s v="Non-denominational"/>
    <s v="East of England"/>
    <x v="7"/>
    <x v="75"/>
    <s v="Clacton"/>
    <s v="CO16 8TZ"/>
    <n v="5"/>
    <n v="428"/>
    <d v="2020-12-01T00:00:00"/>
    <d v="2021-01-13T00:00:00"/>
  </r>
  <r>
    <s v="Ofsted School Webpage"/>
    <n v="137312"/>
    <n v="8825465"/>
    <s v="St Bernard's High School"/>
    <x v="1"/>
    <s v="Academy Converter"/>
    <d v="2011-08-17T00:00:00"/>
    <s v="Non-selective"/>
    <s v="Has a sixth form"/>
    <s v="Roman Catholic"/>
    <s v="Does not apply"/>
    <s v="Christian"/>
    <s v="East of England"/>
    <x v="7"/>
    <x v="130"/>
    <s v="Rochford and Southend East"/>
    <s v="SS0 7JS"/>
    <n v="4"/>
    <n v="883"/>
    <d v="2020-12-01T00:00:00"/>
    <d v="2021-01-13T00:00:00"/>
  </r>
  <r>
    <s v="Ofsted School Webpage"/>
    <n v="139747"/>
    <n v="8523659"/>
    <s v="Harefield Primary School"/>
    <x v="0"/>
    <s v="Academy Converter"/>
    <d v="2013-06-01T00:00:00"/>
    <s v="Not applicable"/>
    <s v="Does not have a sixth form"/>
    <s v="Does not apply"/>
    <s v="Does not apply"/>
    <s v="Non-denominational"/>
    <s v="South East"/>
    <x v="2"/>
    <x v="76"/>
    <s v="Southampton, Itchen"/>
    <s v="SO18 5NZ"/>
    <n v="5"/>
    <n v="417"/>
    <d v="2020-12-01T00:00:00"/>
    <d v="2021-01-17T00:00:00"/>
  </r>
  <r>
    <s v="Ofsted School Webpage"/>
    <n v="136459"/>
    <n v="9374112"/>
    <s v="The Polesworth School"/>
    <x v="1"/>
    <s v="Academy Converter"/>
    <d v="2011-02-01T00:00:00"/>
    <s v="Non-selective"/>
    <s v="Has a sixth form"/>
    <s v="Does not apply"/>
    <s v="Does not apply"/>
    <s v="Non-denominational"/>
    <s v="West Midlands"/>
    <x v="1"/>
    <x v="65"/>
    <s v="North Warwickshire"/>
    <s v="B78 1QT"/>
    <n v="2"/>
    <n v="1526"/>
    <d v="2020-12-01T00:00:00"/>
    <d v="2021-01-13T00:00:00"/>
  </r>
  <r>
    <s v="Ofsted School Webpage"/>
    <n v="140902"/>
    <n v="8102891"/>
    <s v="Christopher Pickering Primary School"/>
    <x v="0"/>
    <s v="Academy Converter"/>
    <d v="2015-02-01T00:00:00"/>
    <s v="Not applicable"/>
    <s v="Does not have a sixth form"/>
    <s v="Does not apply"/>
    <s v="Does not apply"/>
    <s v="Non-denominational"/>
    <s v="North East, Yorkshire and the Humber"/>
    <x v="0"/>
    <x v="122"/>
    <s v="Kingston upon Hull West and Hessle"/>
    <s v="HU4 7EB"/>
    <n v="5"/>
    <n v="465"/>
    <d v="2020-12-01T00:00:00"/>
    <d v="2021-01-17T00:00:00"/>
  </r>
  <r>
    <s v="Ofsted School Webpage"/>
    <n v="141682"/>
    <n v="8554013"/>
    <s v="Hinckley Academy and John Cleveland Sixth Form Centre"/>
    <x v="1"/>
    <s v="Academy Converter"/>
    <d v="2015-09-01T00:00:00"/>
    <s v="Unknown"/>
    <s v="Has a sixth form"/>
    <s v="None"/>
    <s v="Does not apply"/>
    <s v="Non-denominational"/>
    <s v="East Midlands"/>
    <x v="6"/>
    <x v="112"/>
    <s v="Bosworth"/>
    <s v="LE10 1LE"/>
    <n v="2"/>
    <n v="1121"/>
    <d v="2020-12-01T00:00:00"/>
    <d v="2021-01-13T00:00:00"/>
  </r>
  <r>
    <s v="Ofsted School Webpage"/>
    <n v="142073"/>
    <n v="3554002"/>
    <s v="Irlam and Cadishead Academy"/>
    <x v="1"/>
    <s v="Academy Sponsor Led"/>
    <d v="2017-07-01T00:00:00"/>
    <s v="Not applicable"/>
    <s v="Has a sixth form"/>
    <s v="Does not apply"/>
    <s v="None"/>
    <s v="Non-denominational"/>
    <s v="North West"/>
    <x v="4"/>
    <x v="142"/>
    <s v="Worsley and Eccles South"/>
    <s v="M44 5ZR"/>
    <n v="4"/>
    <n v="597"/>
    <d v="2020-12-01T00:00:00"/>
    <d v="2021-01-17T00:00:00"/>
  </r>
  <r>
    <s v="Ofsted School Webpage"/>
    <n v="140128"/>
    <n v="8903814"/>
    <s v="Devonshire Primary Academy"/>
    <x v="0"/>
    <s v="Academy Converter"/>
    <d v="2013-09-01T00:00:00"/>
    <s v="Not applicable"/>
    <s v="Does not have a sixth form"/>
    <s v="Does not apply"/>
    <s v="Does not apply"/>
    <s v="Non-denominational"/>
    <s v="North West"/>
    <x v="4"/>
    <x v="52"/>
    <s v="Blackpool South"/>
    <s v="FY3 8AF"/>
    <n v="5"/>
    <n v="445"/>
    <d v="2020-12-01T00:00:00"/>
    <d v="2021-01-21T00:00:00"/>
  </r>
  <r>
    <s v="Ofsted School Webpage"/>
    <n v="101325"/>
    <n v="3023313"/>
    <s v="St Paul's CofE Primary School N11"/>
    <x v="0"/>
    <s v="Voluntary Aided School"/>
    <s v="NULL"/>
    <s v="Not applicable"/>
    <s v="Does not have a sixth form"/>
    <s v="Church of England"/>
    <s v="Does not apply"/>
    <s v="Christian"/>
    <s v="London"/>
    <x v="3"/>
    <x v="94"/>
    <s v="Chipping Barnet"/>
    <s v="N11 1NQ"/>
    <n v="4"/>
    <n v="214"/>
    <d v="2020-12-01T00:00:00"/>
    <d v="2021-01-17T00:00:00"/>
  </r>
  <r>
    <s v="Ofsted School Webpage"/>
    <n v="108723"/>
    <n v="3933313"/>
    <s v="St James' RC Voluntary Aided Primary School"/>
    <x v="0"/>
    <s v="Voluntary Aided School"/>
    <s v="NULL"/>
    <s v="Not applicable"/>
    <s v="Does not have a sixth form"/>
    <s v="Roman Catholic"/>
    <s v="Does not apply"/>
    <s v="Christian"/>
    <s v="North East, Yorkshire and the Humber"/>
    <x v="8"/>
    <x v="17"/>
    <s v="Jarrow"/>
    <s v="NE31 2BP"/>
    <n v="5"/>
    <n v="209"/>
    <d v="2020-12-01T00:00:00"/>
    <d v="2021-01-13T00:00:00"/>
  </r>
  <r>
    <s v="Ofsted School Webpage"/>
    <n v="108097"/>
    <n v="3834753"/>
    <s v="Mount St Mary's Catholic High School"/>
    <x v="1"/>
    <s v="Voluntary Aided School"/>
    <s v="NULL"/>
    <s v="Non-selective"/>
    <s v="Does not have a sixth form"/>
    <s v="Roman Catholic"/>
    <s v="Does not apply"/>
    <s v="Christian"/>
    <s v="North East, Yorkshire and the Humber"/>
    <x v="0"/>
    <x v="26"/>
    <s v="Leeds Central"/>
    <s v="LS9 8LA"/>
    <n v="5"/>
    <n v="937"/>
    <d v="2020-12-01T00:00:00"/>
    <d v="2021-01-17T00:00:00"/>
  </r>
  <r>
    <s v="Ofsted School Webpage"/>
    <n v="109623"/>
    <n v="8223327"/>
    <s v="Ravensden CofE VA Primary School"/>
    <x v="0"/>
    <s v="Voluntary Aided School"/>
    <d v="1899-12-31T00:00:00"/>
    <s v="Non-selective"/>
    <s v="Does not have a sixth form"/>
    <s v="Church of England"/>
    <s v="Does not apply"/>
    <s v="Christian"/>
    <s v="East of England"/>
    <x v="7"/>
    <x v="50"/>
    <s v="North East Bedfordshire"/>
    <s v="MK44 2RW"/>
    <n v="3"/>
    <n v="99"/>
    <d v="2020-12-01T00:00:00"/>
    <d v="2021-01-13T00:00:00"/>
  </r>
  <r>
    <s v="Ofsted School Webpage"/>
    <n v="105074"/>
    <n v="3443335"/>
    <s v="Sacred Heart Catholic Primary School"/>
    <x v="0"/>
    <s v="Voluntary Aided School"/>
    <s v="NULL"/>
    <s v="Not applicable"/>
    <s v="Does not have a sixth form"/>
    <s v="Roman Catholic"/>
    <s v="Does not apply"/>
    <s v="Christian"/>
    <s v="North West"/>
    <x v="4"/>
    <x v="92"/>
    <s v="Wallasey"/>
    <s v="CH46 8UG"/>
    <n v="4"/>
    <n v="405"/>
    <d v="2020-12-01T00:00:00"/>
    <d v="2021-02-04T00:00:00"/>
  </r>
  <r>
    <s v="Ofsted School Webpage"/>
    <n v="113798"/>
    <n v="8383319"/>
    <s v="Durweston CofE VA Primary School"/>
    <x v="0"/>
    <s v="Voluntary Aided School"/>
    <s v="NULL"/>
    <s v="Not applicable"/>
    <s v="Does not have a sixth form"/>
    <s v="Church of England"/>
    <s v="Does not apply"/>
    <s v="Christian"/>
    <s v="South West"/>
    <x v="5"/>
    <x v="87"/>
    <s v="North Dorset"/>
    <s v="DT11 0QA"/>
    <n v="3"/>
    <n v="122"/>
    <d v="2020-12-01T00:00:00"/>
    <d v="2021-01-13T00:00:00"/>
  </r>
  <r>
    <s v="Ofsted School Webpage"/>
    <n v="130877"/>
    <n v="9373591"/>
    <s v="St Andrew's Benn CofE (Voluntary Aided) Primary School"/>
    <x v="0"/>
    <s v="Voluntary Aided School"/>
    <d v="1996-09-01T00:00:00"/>
    <s v="Not applicable"/>
    <s v="Does not have a sixth form"/>
    <s v="Church of England"/>
    <s v="Does not apply"/>
    <s v="Christian"/>
    <s v="West Midlands"/>
    <x v="1"/>
    <x v="65"/>
    <s v="Rugby"/>
    <s v="CV21 3NX"/>
    <n v="3"/>
    <n v="326"/>
    <d v="2020-12-01T00:00:00"/>
    <d v="2021-01-13T00:00:00"/>
  </r>
  <r>
    <s v="Ofsted School Webpage"/>
    <n v="105077"/>
    <n v="3443350"/>
    <s v="St Andrew's CofE Aided Primary School"/>
    <x v="0"/>
    <s v="Voluntary Aided School"/>
    <s v="NULL"/>
    <s v="Not applicable"/>
    <s v="Does not have a sixth form"/>
    <s v="Church of England"/>
    <s v="Does not apply"/>
    <s v="Christian"/>
    <s v="North West"/>
    <x v="4"/>
    <x v="92"/>
    <s v="Wirral South"/>
    <s v="CH63 7NL"/>
    <n v="3"/>
    <n v="212"/>
    <d v="2020-12-01T00:00:00"/>
    <d v="2021-01-24T00:00:00"/>
  </r>
  <r>
    <s v="Ofsted School Webpage"/>
    <n v="104049"/>
    <n v="3342017"/>
    <s v="Sharmans Cross Junior School"/>
    <x v="0"/>
    <s v="Community School"/>
    <s v="NULL"/>
    <s v="Not applicable"/>
    <s v="Does not have a sixth form"/>
    <s v="Does not apply"/>
    <s v="Does not apply"/>
    <s v="Non-denominational"/>
    <s v="West Midlands"/>
    <x v="1"/>
    <x v="74"/>
    <s v="Solihull"/>
    <s v="B91 1PH"/>
    <n v="1"/>
    <n v="385"/>
    <d v="2020-12-01T00:00:00"/>
    <d v="2021-01-17T00:00:00"/>
  </r>
  <r>
    <s v="Ofsted School Webpage"/>
    <n v="104191"/>
    <n v="3352119"/>
    <s v="Pool Hayes Primary School"/>
    <x v="0"/>
    <s v="Community School"/>
    <s v="NULL"/>
    <s v="Not applicable"/>
    <s v="Does not have a sixth form"/>
    <s v="Does not apply"/>
    <s v="Does not apply"/>
    <s v="Non-denominational"/>
    <s v="West Midlands"/>
    <x v="1"/>
    <x v="73"/>
    <s v="Walsall North"/>
    <s v="WV12 4RX"/>
    <n v="4"/>
    <n v="238"/>
    <d v="2020-12-01T00:00:00"/>
    <d v="2021-01-13T00:00:00"/>
  </r>
  <r>
    <s v="Ofsted School Webpage"/>
    <n v="102006"/>
    <n v="3082062"/>
    <s v="Tottenhall Infant School"/>
    <x v="0"/>
    <s v="Community School"/>
    <s v="NULL"/>
    <s v="Not applicable"/>
    <s v="Does not have a sixth form"/>
    <s v="Does not apply"/>
    <s v="Does not apply"/>
    <s v="Non-denominational"/>
    <s v="London"/>
    <x v="3"/>
    <x v="66"/>
    <s v="Enfield, Southgate"/>
    <s v="N13 6HX"/>
    <n v="4"/>
    <n v="303"/>
    <d v="2020-12-01T00:00:00"/>
    <d v="2021-01-17T00:00:00"/>
  </r>
  <r>
    <s v="Ofsted School Webpage"/>
    <n v="116142"/>
    <n v="8502512"/>
    <s v="Tower Hill Primary School"/>
    <x v="0"/>
    <s v="Community School"/>
    <s v="NULL"/>
    <s v="Not applicable"/>
    <s v="Does not have a sixth form"/>
    <s v="Does not apply"/>
    <s v="Does not apply"/>
    <s v="Non-denominational"/>
    <s v="South East"/>
    <x v="2"/>
    <x v="2"/>
    <s v="Aldershot"/>
    <s v="GU14 0BW"/>
    <n v="3"/>
    <n v="387"/>
    <d v="2020-12-01T00:00:00"/>
    <d v="2021-01-17T00:00:00"/>
  </r>
  <r>
    <s v="Ofsted School Webpage"/>
    <n v="108050"/>
    <n v="3833911"/>
    <s v="St Peter's Church of England Primary School, Leeds"/>
    <x v="0"/>
    <s v="Voluntary Aided School"/>
    <s v="NULL"/>
    <s v="Not applicable"/>
    <s v="Does not have a sixth form"/>
    <s v="Church of England"/>
    <s v="Does not apply"/>
    <s v="Christian"/>
    <s v="North East, Yorkshire and the Humber"/>
    <x v="0"/>
    <x v="26"/>
    <s v="Leeds Central"/>
    <s v="LS9 7SG"/>
    <n v="5"/>
    <n v="253"/>
    <d v="2020-12-01T00:00:00"/>
    <d v="2021-01-13T00:00:00"/>
  </r>
  <r>
    <s v="Ofsted School Webpage"/>
    <n v="124331"/>
    <n v="8603430"/>
    <s v="St Peter's CofE (A) Primary School"/>
    <x v="0"/>
    <s v="Voluntary Aided School"/>
    <s v="NULL"/>
    <s v="Not applicable"/>
    <s v="Does not have a sixth form"/>
    <s v="Church of England"/>
    <s v="Does not apply"/>
    <s v="Christian"/>
    <s v="West Midlands"/>
    <x v="1"/>
    <x v="36"/>
    <s v="Staffordshire Moorlands"/>
    <s v="ST11 9EN"/>
    <n v="3"/>
    <n v="163"/>
    <d v="2020-12-01T00:00:00"/>
    <d v="2021-01-13T00:00:00"/>
  </r>
  <r>
    <s v="Ofsted School Webpage"/>
    <n v="120190"/>
    <n v="8553212"/>
    <s v="Ashby-de-la-Zouch Church of England Primary School"/>
    <x v="0"/>
    <s v="Voluntary Controlled School"/>
    <s v="NULL"/>
    <s v="Not applicable"/>
    <s v="Does not have a sixth form"/>
    <s v="Church of England"/>
    <s v="Does not apply"/>
    <s v="Christian"/>
    <s v="East Midlands"/>
    <x v="6"/>
    <x v="112"/>
    <s v="North West Leicestershire"/>
    <s v="LE65 2LL"/>
    <n v="2"/>
    <n v="310"/>
    <d v="2020-12-01T00:00:00"/>
    <d v="2021-01-13T00:00:00"/>
  </r>
  <r>
    <s v="Ofsted School Webpage"/>
    <n v="126297"/>
    <n v="8653002"/>
    <s v="Ashton Keynes Church of England Primary School"/>
    <x v="0"/>
    <s v="Voluntary Controlled School"/>
    <s v="NULL"/>
    <s v="Not applicable"/>
    <s v="Does not have a sixth form"/>
    <s v="Church of England"/>
    <s v="Does not apply"/>
    <s v="Christian"/>
    <s v="South West"/>
    <x v="5"/>
    <x v="125"/>
    <s v="North Wiltshire"/>
    <s v="SN6 6NZ"/>
    <n v="1"/>
    <n v="218"/>
    <d v="2020-12-01T00:00:00"/>
    <d v="2021-01-13T00:00:00"/>
  </r>
  <r>
    <s v="Ofsted School Webpage"/>
    <n v="141096"/>
    <n v="8512008"/>
    <s v="Copnor Primary School"/>
    <x v="0"/>
    <s v="Community School"/>
    <d v="2014-09-02T00:00:00"/>
    <s v="Not applicable"/>
    <s v="Does not have a sixth form"/>
    <s v="Does not apply"/>
    <s v="Does not apply"/>
    <s v="Non-denominational"/>
    <s v="South East"/>
    <x v="2"/>
    <x v="58"/>
    <s v="Portsmouth North"/>
    <s v="PO3 5BZ"/>
    <n v="3"/>
    <n v="680"/>
    <d v="2020-12-01T00:00:00"/>
    <d v="2021-01-13T00:00:00"/>
  </r>
  <r>
    <s v="Ofsted School Webpage"/>
    <n v="135328"/>
    <n v="8813837"/>
    <s v="Epping Primary School"/>
    <x v="0"/>
    <s v="Community School"/>
    <d v="2008-09-01T00:00:00"/>
    <s v="Not applicable"/>
    <s v="Does not have a sixth form"/>
    <s v="Does not apply"/>
    <s v="Does not apply"/>
    <s v="Non-denominational"/>
    <s v="East of England"/>
    <x v="7"/>
    <x v="75"/>
    <s v="Epping Forest"/>
    <s v="CM16 5DU"/>
    <n v="3"/>
    <n v="411"/>
    <d v="2020-12-01T00:00:00"/>
    <d v="2021-01-17T00:00:00"/>
  </r>
  <r>
    <s v="Ofsted School Webpage"/>
    <n v="117083"/>
    <n v="9192000"/>
    <s v="Abbots Langley School"/>
    <x v="0"/>
    <s v="Community School"/>
    <s v="NULL"/>
    <s v="Not applicable"/>
    <s v="Does not have a sixth form"/>
    <s v="Does not apply"/>
    <s v="Does not apply"/>
    <s v="Non-denominational"/>
    <s v="East of England"/>
    <x v="7"/>
    <x v="56"/>
    <s v="Watford"/>
    <s v="WD5 0BQ"/>
    <n v="2"/>
    <n v="457"/>
    <d v="2020-12-01T00:00:00"/>
    <d v="2021-01-13T00:00:00"/>
  </r>
  <r>
    <s v="Ofsted School Webpage"/>
    <n v="108682"/>
    <n v="3932033"/>
    <s v="Biddick Hall Infants' School"/>
    <x v="0"/>
    <s v="Community School"/>
    <s v="NULL"/>
    <s v="Not applicable"/>
    <s v="Does not have a sixth form"/>
    <s v="Does not apply"/>
    <s v="Does not apply"/>
    <s v="Non-denominational"/>
    <s v="North East, Yorkshire and the Humber"/>
    <x v="8"/>
    <x v="17"/>
    <s v="South Shields"/>
    <s v="NE34 9JD"/>
    <n v="5"/>
    <n v="235"/>
    <d v="2020-12-01T00:00:00"/>
    <d v="2021-01-24T00:00:00"/>
  </r>
  <r>
    <s v="Ofsted School Webpage"/>
    <n v="121800"/>
    <n v="9282008"/>
    <s v="Bugbrooke Community Primary School"/>
    <x v="0"/>
    <s v="Community School"/>
    <s v="NULL"/>
    <s v="Not applicable"/>
    <s v="Does not have a sixth form"/>
    <s v="Does not apply"/>
    <s v="Does not apply"/>
    <s v="Non-denominational"/>
    <s v="East Midlands"/>
    <x v="6"/>
    <x v="64"/>
    <s v="Daventry"/>
    <s v="NN7 3PA"/>
    <n v="1"/>
    <n v="302"/>
    <d v="2020-12-01T00:00:00"/>
    <d v="2021-01-17T00:00:00"/>
  </r>
  <r>
    <s v="Ofsted School Webpage"/>
    <n v="123357"/>
    <n v="8932032"/>
    <s v="Cheswardine Primary and Nursery School"/>
    <x v="0"/>
    <s v="Community School"/>
    <s v="NULL"/>
    <s v="Not applicable"/>
    <s v="Does not have a sixth form"/>
    <s v="Does not apply"/>
    <s v="Does not apply"/>
    <s v="Non-denominational"/>
    <s v="West Midlands"/>
    <x v="1"/>
    <x v="78"/>
    <s v="North Shropshire"/>
    <s v="TF9 2RU"/>
    <n v="1"/>
    <n v="65"/>
    <d v="2020-12-01T00:00:00"/>
    <d v="2021-01-17T00:00:00"/>
  </r>
  <r>
    <s v="Ofsted School Webpage"/>
    <n v="121457"/>
    <n v="8152410"/>
    <s v="Riccall Community Primary School"/>
    <x v="0"/>
    <s v="Community School"/>
    <s v="NULL"/>
    <s v="Not applicable"/>
    <s v="Does not have a sixth form"/>
    <s v="Does not apply"/>
    <s v="Does not apply"/>
    <s v="Non-denominational"/>
    <s v="North East, Yorkshire and the Humber"/>
    <x v="0"/>
    <x v="60"/>
    <s v="Selby and Ainsty"/>
    <s v="YO19 6PF"/>
    <n v="1"/>
    <n v="189"/>
    <d v="2020-12-01T00:00:00"/>
    <d v="2021-01-21T00:00:00"/>
  </r>
  <r>
    <s v="Ofsted School Webpage"/>
    <n v="115496"/>
    <n v="9162031"/>
    <s v="Longlevens Junior School"/>
    <x v="0"/>
    <s v="Community School"/>
    <s v="NULL"/>
    <s v="Not applicable"/>
    <s v="Does not have a sixth form"/>
    <s v="Does not apply"/>
    <s v="Does not apply"/>
    <s v="Non-denominational"/>
    <s v="South West"/>
    <x v="5"/>
    <x v="28"/>
    <s v="Tewkesbury"/>
    <s v="GL2 0AL"/>
    <n v="2"/>
    <n v="482"/>
    <d v="2020-12-01T00:00:00"/>
    <d v="2021-01-13T00:00:00"/>
  </r>
  <r>
    <s v="Ofsted School Webpage"/>
    <n v="124392"/>
    <n v="8604055"/>
    <s v="Paget High School"/>
    <x v="1"/>
    <s v="Community School"/>
    <s v="NULL"/>
    <s v="Non-selective"/>
    <s v="Has a sixth form"/>
    <s v="Does not apply"/>
    <s v="Does not apply"/>
    <s v="Non-denominational"/>
    <s v="West Midlands"/>
    <x v="1"/>
    <x v="36"/>
    <s v="Burton"/>
    <s v="DE14 3DR"/>
    <n v="3"/>
    <n v="840"/>
    <d v="2020-12-01T00:00:00"/>
    <d v="2021-01-17T00:00:00"/>
  </r>
  <r>
    <s v="Ofsted School Webpage"/>
    <n v="105424"/>
    <n v="3522142"/>
    <s v="Lily Lane Primary School"/>
    <x v="0"/>
    <s v="Community School"/>
    <s v="NULL"/>
    <s v="Not applicable"/>
    <s v="Does not have a sixth form"/>
    <s v="Does not apply"/>
    <s v="Does not apply"/>
    <s v="Non-denominational"/>
    <s v="North West"/>
    <x v="4"/>
    <x v="4"/>
    <s v="Blackley and Broughton"/>
    <s v="M40 9JP"/>
    <n v="5"/>
    <n v="650"/>
    <d v="2020-12-01T00:00:00"/>
    <d v="2021-01-20T00:00:00"/>
  </r>
  <r>
    <s v="Ofsted School Webpage"/>
    <n v="114368"/>
    <n v="8462017"/>
    <s v="Hertford Infant and Nursery School"/>
    <x v="0"/>
    <s v="Community School"/>
    <s v="NULL"/>
    <s v="Not applicable"/>
    <s v="Does not have a sixth form"/>
    <s v="Does not apply"/>
    <s v="Does not apply"/>
    <s v="Non-denominational"/>
    <s v="South East"/>
    <x v="2"/>
    <x v="84"/>
    <s v="Brighton, Pavilion"/>
    <s v="BN1 7GF"/>
    <n v="4"/>
    <n v="142"/>
    <d v="2020-12-01T00:00:00"/>
    <d v="2021-01-13T00:00:00"/>
  </r>
  <r>
    <s v="Ofsted School Webpage"/>
    <n v="133351"/>
    <n v="3554052"/>
    <s v="Harrop Fold School"/>
    <x v="1"/>
    <s v="Community School"/>
    <d v="2001-09-01T00:00:00"/>
    <s v="Non-selective"/>
    <s v="Does not have a sixth form"/>
    <s v="Does not apply"/>
    <s v="Does not apply"/>
    <s v="Non-denominational"/>
    <s v="North West"/>
    <x v="4"/>
    <x v="142"/>
    <s v="Worsley and Eccles South"/>
    <s v="M28 0SY"/>
    <n v="5"/>
    <n v="939"/>
    <d v="2020-12-01T00:00:00"/>
    <d v="2021-01-17T00:00:00"/>
  </r>
  <r>
    <s v="Ofsted School Webpage"/>
    <n v="145212"/>
    <n v="8392168"/>
    <s v="Heatherlands Primary School"/>
    <x v="0"/>
    <s v="Academy Converter"/>
    <d v="2017-11-01T00:00:00"/>
    <s v="Not applicable"/>
    <s v="Does not have a sixth form"/>
    <s v="Does not apply"/>
    <s v="Does not apply"/>
    <s v="Non-denominational"/>
    <s v="South West"/>
    <x v="5"/>
    <x v="108"/>
    <s v="Poole"/>
    <s v="BH12 2BG"/>
    <n v="3"/>
    <n v="621"/>
    <d v="2020-12-01T00:00:00"/>
    <d v="2020-12-15T00:00:00"/>
  </r>
  <r>
    <s v="Ofsted School Webpage"/>
    <n v="143025"/>
    <n v="9282201"/>
    <s v="Compass Primary Academy"/>
    <x v="0"/>
    <s v="Academy Sponsor Led"/>
    <d v="2016-09-01T00:00:00"/>
    <s v="Unknown"/>
    <s v="Not applicable"/>
    <s v="None"/>
    <s v="None"/>
    <s v="Non-denominational"/>
    <s v="East Midlands"/>
    <x v="6"/>
    <x v="64"/>
    <s v="Kettering"/>
    <s v="NN15 7EA"/>
    <n v="4"/>
    <n v="387"/>
    <d v="2020-12-01T00:00:00"/>
    <d v="2021-01-17T00:00:00"/>
  </r>
  <r>
    <s v="Ofsted School Webpage"/>
    <n v="143035"/>
    <n v="8454610"/>
    <s v="St Catherine's College"/>
    <x v="1"/>
    <s v="Academy Converter"/>
    <d v="2016-08-01T00:00:00"/>
    <s v="Non-selective"/>
    <s v="Does not have a sixth form"/>
    <s v="Church of England"/>
    <s v="Does not apply"/>
    <s v="Christian"/>
    <s v="South East"/>
    <x v="2"/>
    <x v="80"/>
    <s v="Eastbourne"/>
    <s v="BN23 7BL"/>
    <n v="4"/>
    <n v="1069"/>
    <d v="2020-12-01T00:00:00"/>
    <d v="2021-01-19T00:00:00"/>
  </r>
  <r>
    <s v="Ofsted School Webpage"/>
    <n v="148352"/>
    <n v="3062119"/>
    <s v="Harris Primary Academy Croydon"/>
    <x v="0"/>
    <s v="Academy Sponsor Led"/>
    <d v="2020-11-01T00:00:00"/>
    <s v="Unknown"/>
    <s v="Does not have a sixth form"/>
    <s v="None"/>
    <s v="None"/>
    <s v="Non-denominational"/>
    <s v="London"/>
    <x v="3"/>
    <x v="128"/>
    <s v="Croydon North"/>
    <s v="CR0 3JT"/>
    <s v="NULL"/>
    <s v="NULL"/>
    <d v="2020-12-01T00:00:00"/>
    <d v="2021-01-17T00:00:00"/>
  </r>
  <r>
    <s v="Ofsted School Webpage"/>
    <n v="145673"/>
    <n v="8933312"/>
    <s v="St George's CofE Academy, Clun"/>
    <x v="0"/>
    <s v="Academy Converter"/>
    <d v="2018-05-01T00:00:00"/>
    <s v="Not applicable"/>
    <s v="Does not have a sixth form"/>
    <s v="Church of England"/>
    <s v="Does not apply"/>
    <s v="Christian"/>
    <s v="West Midlands"/>
    <x v="1"/>
    <x v="78"/>
    <s v="Ludlow"/>
    <s v="SY7 8JQ"/>
    <n v="1"/>
    <n v="82"/>
    <d v="2020-12-01T00:00:00"/>
    <d v="2021-01-20T00:00:00"/>
  </r>
  <r>
    <s v="Ofsted School Webpage"/>
    <n v="119337"/>
    <n v="8882815"/>
    <s v="Penwortham Broad Oak Primary School"/>
    <x v="0"/>
    <s v="Community School"/>
    <s v="NULL"/>
    <s v="Not applicable"/>
    <s v="Does not have a sixth form"/>
    <s v="Does not apply"/>
    <s v="Does not apply"/>
    <s v="Non-denominational"/>
    <s v="North West"/>
    <x v="4"/>
    <x v="27"/>
    <s v="South Ribble"/>
    <s v="PR1 9DE"/>
    <n v="4"/>
    <n v="187"/>
    <d v="2020-12-02T00:00:00"/>
    <d v="2021-01-17T00:00:00"/>
  </r>
  <r>
    <s v="Ofsted School Webpage"/>
    <n v="133759"/>
    <n v="3302486"/>
    <s v="Forestdale Primary School"/>
    <x v="0"/>
    <s v="Community School"/>
    <d v="2003-09-01T00:00:00"/>
    <s v="Not applicable"/>
    <s v="Not applicable"/>
    <s v="Does not apply"/>
    <s v="Does not apply"/>
    <s v="Non-denominational"/>
    <s v="West Midlands"/>
    <x v="1"/>
    <x v="8"/>
    <s v="Birmingham, Northfield"/>
    <s v="B45 0JS"/>
    <n v="5"/>
    <n v="220"/>
    <d v="2020-12-02T00:00:00"/>
    <d v="2021-01-13T00:00:00"/>
  </r>
  <r>
    <s v="Ofsted School Webpage"/>
    <n v="131109"/>
    <n v="2033670"/>
    <s v="Discovery Primary School"/>
    <x v="0"/>
    <s v="Community School"/>
    <d v="2007-09-01T00:00:00"/>
    <s v="Not applicable"/>
    <s v="Does not have a sixth form"/>
    <s v="Does not apply"/>
    <s v="Does not apply"/>
    <s v="Non-denominational"/>
    <s v="London"/>
    <x v="3"/>
    <x v="121"/>
    <s v="Erith and Thamesmead"/>
    <s v="SE28 0JN"/>
    <n v="4"/>
    <n v="681"/>
    <d v="2020-12-02T00:00:00"/>
    <d v="2021-01-13T00:00:00"/>
  </r>
  <r>
    <s v="Ofsted School Webpage"/>
    <n v="136411"/>
    <n v="3444798"/>
    <s v="Birkenhead Park School"/>
    <x v="1"/>
    <s v="Academy Sponsor Led"/>
    <d v="2011-01-01T00:00:00"/>
    <s v="Non-selective"/>
    <s v="Not applicable"/>
    <s v="Does not apply"/>
    <s v="None"/>
    <s v="Non-denominational"/>
    <s v="North West"/>
    <x v="4"/>
    <x v="92"/>
    <s v="Birkenhead"/>
    <s v="CH43 4UY"/>
    <n v="5"/>
    <n v="668"/>
    <d v="2020-12-02T00:00:00"/>
    <d v="2021-01-17T00:00:00"/>
  </r>
  <r>
    <s v="Ofsted School Webpage"/>
    <n v="101490"/>
    <n v="3041001"/>
    <s v="Fawood Children's Centre"/>
    <x v="4"/>
    <s v="LA Nursery School"/>
    <s v="NULL"/>
    <s v="Not applicable"/>
    <s v="Not applicable"/>
    <s v="Does not apply"/>
    <s v="Does not apply"/>
    <s v="Non-denominational"/>
    <s v="London"/>
    <x v="3"/>
    <x v="72"/>
    <s v="Brent Central"/>
    <s v="NW10 8DX"/>
    <n v="3"/>
    <n v="87"/>
    <d v="2020-12-02T00:00:00"/>
    <d v="2021-01-20T00:00:00"/>
  </r>
  <r>
    <s v="Ofsted School Webpage"/>
    <n v="131885"/>
    <n v="3587009"/>
    <s v="Egerton High School"/>
    <x v="2"/>
    <s v="Community Special School"/>
    <d v="1999-09-01T00:00:00"/>
    <s v="Not applicable"/>
    <s v="Not applicable"/>
    <s v="Does not apply"/>
    <s v="Does not apply"/>
    <s v="Non-denominational"/>
    <s v="North West"/>
    <x v="4"/>
    <x v="106"/>
    <s v="Stretford and Urmston"/>
    <s v="M41 7FZ"/>
    <n v="5"/>
    <n v="55"/>
    <d v="2020-12-02T00:00:00"/>
    <d v="2021-01-17T00:00:00"/>
  </r>
  <r>
    <s v="Ofsted School Webpage"/>
    <n v="110802"/>
    <n v="8733052"/>
    <s v="Sutton CofE VC Primary School"/>
    <x v="0"/>
    <s v="Voluntary Controlled School"/>
    <s v="NULL"/>
    <s v="Not applicable"/>
    <s v="Does not have a sixth form"/>
    <s v="Church of England"/>
    <s v="Does not apply"/>
    <s v="Christian"/>
    <s v="East of England"/>
    <x v="7"/>
    <x v="43"/>
    <s v="North East Cambridgeshire"/>
    <s v="CB6 2PU"/>
    <n v="1"/>
    <n v="290"/>
    <d v="2020-12-02T00:00:00"/>
    <d v="2021-01-17T00:00:00"/>
  </r>
  <r>
    <s v="Ofsted School Webpage"/>
    <n v="104894"/>
    <n v="3433010"/>
    <s v="St John's Church of England Primary School"/>
    <x v="0"/>
    <s v="Voluntary Controlled School"/>
    <s v="NULL"/>
    <s v="Not applicable"/>
    <s v="Does not have a sixth form"/>
    <s v="Church of England"/>
    <s v="Does not apply"/>
    <s v="Christian"/>
    <s v="North West"/>
    <x v="4"/>
    <x v="93"/>
    <s v="Southport"/>
    <s v="PR9 8JH"/>
    <n v="3"/>
    <n v="183"/>
    <d v="2020-12-02T00:00:00"/>
    <d v="2021-01-17T00:00:00"/>
  </r>
  <r>
    <s v="Ofsted School Webpage"/>
    <n v="119398"/>
    <n v="8883134"/>
    <s v="Oswaldtwistle Hippings Methodist Voluntary Controlled Primary School"/>
    <x v="0"/>
    <s v="Voluntary Controlled School"/>
    <s v="NULL"/>
    <s v="Not applicable"/>
    <s v="Does not have a sixth form"/>
    <s v="Methodist"/>
    <s v="Does not apply"/>
    <s v="Christian"/>
    <s v="North West"/>
    <x v="4"/>
    <x v="27"/>
    <s v="Hyndburn"/>
    <s v="BB5 3BT"/>
    <n v="4"/>
    <n v="206"/>
    <d v="2020-12-02T00:00:00"/>
    <d v="2021-01-13T00:00:00"/>
  </r>
  <r>
    <s v="Ofsted School Webpage"/>
    <n v="108641"/>
    <n v="3924033"/>
    <s v="Churchill Community College"/>
    <x v="1"/>
    <s v="Foundation School"/>
    <s v="NULL"/>
    <s v="Non-selective"/>
    <s v="Has a sixth form"/>
    <s v="None"/>
    <s v="Does not apply"/>
    <s v="Non-denominational"/>
    <s v="North East, Yorkshire and the Humber"/>
    <x v="8"/>
    <x v="113"/>
    <s v="North Tyneside"/>
    <s v="NE28 7TN"/>
    <n v="5"/>
    <n v="968"/>
    <d v="2020-12-02T00:00:00"/>
    <d v="2021-01-24T00:00:00"/>
  </r>
  <r>
    <s v="Ofsted School Webpage"/>
    <n v="105930"/>
    <n v="3553017"/>
    <s v="St Luke's CofE Primary School"/>
    <x v="0"/>
    <s v="Voluntary Controlled School"/>
    <s v="NULL"/>
    <s v="Not applicable"/>
    <s v="Does not have a sixth form"/>
    <s v="Church of England"/>
    <s v="Does not apply"/>
    <s v="Christian"/>
    <s v="North West"/>
    <x v="4"/>
    <x v="142"/>
    <s v="Salford and Eccles"/>
    <s v="M5 5JH"/>
    <n v="5"/>
    <n v="398"/>
    <d v="2020-12-03T00:00:00"/>
    <d v="2021-01-17T00:00:00"/>
  </r>
  <r>
    <s v="Ofsted School Webpage"/>
    <n v="110017"/>
    <n v="8693321"/>
    <s v="Stockcross C.E. School"/>
    <x v="0"/>
    <s v="Voluntary Aided School"/>
    <s v="NULL"/>
    <s v="Not applicable"/>
    <s v="Does not have a sixth form"/>
    <s v="Church of England"/>
    <s v="Does not apply"/>
    <s v="Christian"/>
    <s v="South East"/>
    <x v="2"/>
    <x v="30"/>
    <s v="Newbury"/>
    <s v="RG20 8LD"/>
    <n v="1"/>
    <n v="103"/>
    <d v="2020-12-03T00:00:00"/>
    <d v="2021-01-13T00:00:00"/>
  </r>
  <r>
    <s v="Ofsted School Webpage"/>
    <n v="125990"/>
    <n v="9383026"/>
    <s v="Petworth Cof E Primary School"/>
    <x v="0"/>
    <s v="Voluntary Controlled School"/>
    <s v="NULL"/>
    <s v="Not applicable"/>
    <s v="Does not have a sixth form"/>
    <s v="Church of England"/>
    <s v="Does not apply"/>
    <s v="Christian"/>
    <s v="South East"/>
    <x v="2"/>
    <x v="55"/>
    <s v="Arundel and South Downs"/>
    <s v="GU28 0EE"/>
    <n v="2"/>
    <n v="209"/>
    <d v="2020-12-03T00:00:00"/>
    <d v="2021-01-13T00:00:00"/>
  </r>
  <r>
    <s v="Ofsted School Webpage"/>
    <n v="106528"/>
    <n v="3594026"/>
    <s v="Hindley High School"/>
    <x v="1"/>
    <s v="Foundation School"/>
    <d v="1899-12-31T00:00:00"/>
    <s v="Non-selective"/>
    <s v="Does not have a sixth form"/>
    <s v="None"/>
    <s v="Does not apply"/>
    <s v="Non-denominational"/>
    <s v="North West"/>
    <x v="4"/>
    <x v="123"/>
    <s v="Makerfield"/>
    <s v="WN2 4LG"/>
    <n v="4"/>
    <n v="916"/>
    <d v="2020-12-03T00:00:00"/>
    <d v="2021-01-13T00:00:00"/>
  </r>
  <r>
    <s v="Ofsted School Webpage"/>
    <n v="121260"/>
    <n v="9267010"/>
    <s v="Chapel Green School"/>
    <x v="2"/>
    <s v="Foundation Special School"/>
    <s v="NULL"/>
    <s v="Not applicable"/>
    <s v="Has a sixth form"/>
    <s v="Does not apply"/>
    <s v="Does not apply"/>
    <s v="Non-denominational"/>
    <s v="East of England"/>
    <x v="7"/>
    <x v="33"/>
    <s v="Mid Norfolk"/>
    <s v="NR17 1RF"/>
    <n v="2"/>
    <n v="105"/>
    <d v="2020-12-03T00:00:00"/>
    <d v="2021-01-13T00:00:00"/>
  </r>
  <r>
    <s v="Ofsted School Webpage"/>
    <n v="139503"/>
    <n v="3842094"/>
    <s v="Pontefract Orchard Head Junior and Infant and Nursery School"/>
    <x v="0"/>
    <s v="Academy Converter"/>
    <d v="2013-04-01T00:00:00"/>
    <s v="Not applicable"/>
    <s v="Does not have a sixth form"/>
    <s v="Does not apply"/>
    <s v="Does not apply"/>
    <s v="Non-denominational"/>
    <s v="North East, Yorkshire and the Humber"/>
    <x v="0"/>
    <x v="47"/>
    <s v="Normanton, Pontefract and Castleford"/>
    <s v="WF8 2NJ"/>
    <n v="4"/>
    <n v="363"/>
    <d v="2020-12-03T00:00:00"/>
    <d v="2021-01-20T00:00:00"/>
  </r>
  <r>
    <s v="Ofsted School Webpage"/>
    <n v="138720"/>
    <n v="8504000"/>
    <s v="Eggar's School"/>
    <x v="1"/>
    <s v="Academy Converter"/>
    <d v="2012-09-01T00:00:00"/>
    <s v="Non-selective"/>
    <s v="Does not have a sixth form"/>
    <s v="Does not apply"/>
    <s v="Does not apply"/>
    <s v="Non-denominational"/>
    <s v="South East"/>
    <x v="2"/>
    <x v="2"/>
    <s v="East Hampshire"/>
    <s v="GU34 4EQ"/>
    <n v="1"/>
    <n v="961"/>
    <d v="2020-12-03T00:00:00"/>
    <d v="2021-01-13T00:00:00"/>
  </r>
  <r>
    <s v="Ofsted School Webpage"/>
    <n v="141479"/>
    <n v="3813328"/>
    <s v="Sacred Heart Catholic Voluntary Academy"/>
    <x v="0"/>
    <s v="Academy Converter"/>
    <d v="2014-10-01T00:00:00"/>
    <s v="Not applicable"/>
    <s v="Does not have a sixth form"/>
    <s v="Roman Catholic"/>
    <s v="Does not apply"/>
    <s v="Christian"/>
    <s v="North East, Yorkshire and the Humber"/>
    <x v="0"/>
    <x v="140"/>
    <s v="Calder Valley"/>
    <s v="HX6 1BL"/>
    <n v="4"/>
    <n v="167"/>
    <d v="2020-12-03T00:00:00"/>
    <d v="2021-01-13T00:00:00"/>
  </r>
  <r>
    <s v="Ofsted School Webpage"/>
    <n v="140476"/>
    <n v="8552192"/>
    <s v="Robert Bakewell Primary School"/>
    <x v="0"/>
    <s v="Academy Converter"/>
    <d v="2013-12-01T00:00:00"/>
    <s v="Not applicable"/>
    <s v="Does not have a sixth form"/>
    <s v="Does not apply"/>
    <s v="Does not apply"/>
    <s v="Non-denominational"/>
    <s v="East Midlands"/>
    <x v="6"/>
    <x v="112"/>
    <s v="Loughborough"/>
    <s v="LE11 5UJ"/>
    <n v="4"/>
    <n v="318"/>
    <d v="2020-12-03T00:00:00"/>
    <d v="2021-01-13T00:00:00"/>
  </r>
  <r>
    <s v="Ofsted School Webpage"/>
    <n v="140731"/>
    <n v="8854438"/>
    <s v="Tudor Grange Academy Redditch"/>
    <x v="1"/>
    <s v="Academy Converter"/>
    <d v="2014-04-01T00:00:00"/>
    <s v="Non-selective"/>
    <s v="Has a sixth form"/>
    <s v="None"/>
    <s v="Does not apply"/>
    <s v="Non-denominational"/>
    <s v="West Midlands"/>
    <x v="1"/>
    <x v="89"/>
    <s v="Redditch"/>
    <s v="B98 7UH"/>
    <n v="4"/>
    <n v="251"/>
    <d v="2020-12-03T00:00:00"/>
    <d v="2021-01-13T00:00:00"/>
  </r>
  <r>
    <s v="Ofsted School Webpage"/>
    <n v="142049"/>
    <n v="8812133"/>
    <s v="Takeley Primary School"/>
    <x v="0"/>
    <s v="Academy Sponsor Led"/>
    <d v="2016-01-01T00:00:00"/>
    <s v="Not applicable"/>
    <s v="Does not have a sixth form"/>
    <s v="None"/>
    <s v="None"/>
    <s v="Non-denominational"/>
    <s v="East of England"/>
    <x v="7"/>
    <x v="75"/>
    <s v="Saffron Walden"/>
    <s v="CM6 1YE"/>
    <n v="2"/>
    <n v="370"/>
    <d v="2020-12-03T00:00:00"/>
    <d v="2021-01-13T00:00:00"/>
  </r>
  <r>
    <s v="Ofsted School Webpage"/>
    <n v="141536"/>
    <n v="8913552"/>
    <s v="Harworth CofE Academy"/>
    <x v="0"/>
    <s v="Academy Converter"/>
    <d v="2014-11-01T00:00:00"/>
    <s v="Not applicable"/>
    <s v="Does not have a sixth form"/>
    <s v="Church of England"/>
    <s v="Does not apply"/>
    <s v="Christian"/>
    <s v="East Midlands"/>
    <x v="6"/>
    <x v="49"/>
    <s v="Bassetlaw"/>
    <s v="DN11 8JT"/>
    <n v="4"/>
    <n v="194"/>
    <d v="2020-12-03T00:00:00"/>
    <d v="2021-01-17T00:00:00"/>
  </r>
  <r>
    <s v="Ofsted School Webpage"/>
    <n v="137013"/>
    <n v="8814420"/>
    <s v="Notley High School and Braintree Sixth Form"/>
    <x v="1"/>
    <s v="Academy Converter"/>
    <d v="2011-08-01T00:00:00"/>
    <s v="Non-selective"/>
    <s v="Has a sixth form"/>
    <s v="Does not apply"/>
    <s v="Does not apply"/>
    <s v="Non-denominational"/>
    <s v="East of England"/>
    <x v="7"/>
    <x v="75"/>
    <s v="Braintree"/>
    <s v="CM7 1WY"/>
    <n v="1"/>
    <n v="1444"/>
    <d v="2020-12-03T00:00:00"/>
    <d v="2021-01-17T00:00:00"/>
  </r>
  <r>
    <s v="Ofsted School Webpage"/>
    <n v="138007"/>
    <n v="3712080"/>
    <s v="Hatfield Woodhouse Primary School"/>
    <x v="0"/>
    <s v="Academy Converter"/>
    <d v="2012-04-01T00:00:00"/>
    <s v="Not applicable"/>
    <s v="Does not have a sixth form"/>
    <s v="Does not apply"/>
    <s v="Does not apply"/>
    <s v="Non-denominational"/>
    <s v="North East, Yorkshire and the Humber"/>
    <x v="0"/>
    <x v="68"/>
    <s v="Don Valley"/>
    <s v="DN7 6NH"/>
    <n v="4"/>
    <n v="218"/>
    <d v="2020-12-03T00:00:00"/>
    <d v="2021-01-13T00:00:00"/>
  </r>
  <r>
    <s v="Ofsted School Webpage"/>
    <n v="139380"/>
    <n v="8832002"/>
    <s v="Purfleet Primary Academy"/>
    <x v="0"/>
    <s v="Academy Sponsor Led"/>
    <d v="2013-04-01T00:00:00"/>
    <s v="Not applicable"/>
    <s v="Does not have a sixth form"/>
    <s v="Does not apply"/>
    <s v="None"/>
    <s v="Non-denominational"/>
    <s v="East of England"/>
    <x v="7"/>
    <x v="44"/>
    <s v="Thurrock"/>
    <s v="RM19 1TA"/>
    <n v="4"/>
    <n v="589"/>
    <d v="2020-12-03T00:00:00"/>
    <d v="2021-01-17T00:00:00"/>
  </r>
  <r>
    <s v="Ofsted School Webpage"/>
    <n v="140323"/>
    <n v="8862286"/>
    <s v="Hamstreet Primary Academy"/>
    <x v="0"/>
    <s v="Academy Converter"/>
    <d v="2013-11-01T00:00:00"/>
    <s v="Not applicable"/>
    <s v="Does not have a sixth form"/>
    <s v="Does not apply"/>
    <s v="Does not apply"/>
    <s v="Non-denominational"/>
    <s v="South East"/>
    <x v="2"/>
    <x v="7"/>
    <s v="Ashford"/>
    <s v="TN26 2EA"/>
    <n v="2"/>
    <n v="304"/>
    <d v="2020-12-03T00:00:00"/>
    <d v="2021-01-13T00:00:00"/>
  </r>
  <r>
    <s v="Ofsted School Webpage"/>
    <n v="138362"/>
    <n v="8412656"/>
    <s v="Gurney Pease Academy"/>
    <x v="0"/>
    <s v="Academy Converter"/>
    <d v="2012-07-01T00:00:00"/>
    <s v="Not applicable"/>
    <s v="Does not have a sixth form"/>
    <s v="Does not apply"/>
    <s v="Does not apply"/>
    <s v="Non-denominational"/>
    <s v="North East, Yorkshire and the Humber"/>
    <x v="8"/>
    <x v="54"/>
    <s v="Darlington"/>
    <s v="DL1 2NG"/>
    <n v="5"/>
    <n v="231"/>
    <d v="2020-12-03T00:00:00"/>
    <d v="2021-01-13T00:00:00"/>
  </r>
  <r>
    <s v="Ofsted School Webpage"/>
    <n v="141158"/>
    <n v="3053505"/>
    <s v="St Peter and St Paul Catholic Primary School"/>
    <x v="0"/>
    <s v="Academy Converter"/>
    <d v="2014-08-01T00:00:00"/>
    <s v="Not applicable"/>
    <s v="Does not have a sixth form"/>
    <s v="Roman Catholic"/>
    <s v="Does not apply"/>
    <s v="Christian"/>
    <s v="London"/>
    <x v="3"/>
    <x v="105"/>
    <s v="Bromley and Chislehurst"/>
    <s v="BR5 2SR"/>
    <n v="4"/>
    <n v="235"/>
    <d v="2020-12-03T00:00:00"/>
    <d v="2021-01-21T00:00:00"/>
  </r>
  <r>
    <s v="Ofsted School Webpage"/>
    <n v="116074"/>
    <n v="8502382"/>
    <s v="Colden Common Primary School"/>
    <x v="0"/>
    <s v="Community School"/>
    <s v="NULL"/>
    <s v="Not applicable"/>
    <s v="Does not have a sixth form"/>
    <s v="Does not apply"/>
    <s v="Does not apply"/>
    <s v="Non-denominational"/>
    <s v="South East"/>
    <x v="2"/>
    <x v="2"/>
    <s v="Winchester"/>
    <s v="SO50 6HW"/>
    <n v="1"/>
    <n v="379"/>
    <d v="2020-12-03T00:00:00"/>
    <d v="2021-01-13T00:00:00"/>
  </r>
  <r>
    <s v="Ofsted School Webpage"/>
    <n v="115877"/>
    <n v="8502041"/>
    <s v="Cliddesden Primary School"/>
    <x v="0"/>
    <s v="Community School"/>
    <s v="NULL"/>
    <s v="Not applicable"/>
    <s v="Does not have a sixth form"/>
    <s v="Does not apply"/>
    <s v="Does not apply"/>
    <s v="Non-denominational"/>
    <s v="South East"/>
    <x v="2"/>
    <x v="2"/>
    <s v="North East Hampshire"/>
    <s v="RG25 2QU"/>
    <n v="1"/>
    <n v="115"/>
    <d v="2020-12-03T00:00:00"/>
    <d v="2021-01-17T00:00:00"/>
  </r>
  <r>
    <s v="Ofsted School Webpage"/>
    <n v="132225"/>
    <n v="8302011"/>
    <s v="Brampton Primary School"/>
    <x v="0"/>
    <s v="Community School"/>
    <d v="2001-01-01T00:00:00"/>
    <s v="Not applicable"/>
    <s v="Does not have a sixth form"/>
    <s v="Does not apply"/>
    <s v="Does not apply"/>
    <s v="Non-denominational"/>
    <s v="East Midlands"/>
    <x v="6"/>
    <x v="6"/>
    <s v="Chesterfield"/>
    <s v="S40 1DD"/>
    <n v="4"/>
    <n v="322"/>
    <d v="2020-12-03T00:00:00"/>
    <d v="2021-01-13T00:00:00"/>
  </r>
  <r>
    <s v="Ofsted School Webpage"/>
    <n v="122578"/>
    <n v="8912436"/>
    <s v="Bagthorpe Primary School"/>
    <x v="0"/>
    <s v="Community School"/>
    <s v="NULL"/>
    <s v="Not applicable"/>
    <s v="Does not have a sixth form"/>
    <s v="Does not apply"/>
    <s v="Does not apply"/>
    <s v="Non-denominational"/>
    <s v="East Midlands"/>
    <x v="6"/>
    <x v="49"/>
    <s v="Ashfield"/>
    <s v="NG16 5HB"/>
    <n v="3"/>
    <n v="173"/>
    <d v="2020-12-03T00:00:00"/>
    <d v="2021-01-13T00:00:00"/>
  </r>
  <r>
    <s v="Ofsted School Webpage"/>
    <n v="111457"/>
    <n v="8764625"/>
    <s v="Saints Peter and Paul Catholic High School"/>
    <x v="1"/>
    <s v="Voluntary Aided School"/>
    <s v="NULL"/>
    <s v="Non-selective"/>
    <s v="Does not have a sixth form"/>
    <s v="Roman Catholic"/>
    <s v="Does not apply"/>
    <s v="Christian"/>
    <s v="North West"/>
    <x v="4"/>
    <x v="141"/>
    <s v="Halton"/>
    <s v="WA8 7DW"/>
    <n v="4"/>
    <n v="1339"/>
    <d v="2020-12-03T00:00:00"/>
    <d v="2021-01-19T00:00:00"/>
  </r>
  <r>
    <s v="Ofsted School Webpage"/>
    <n v="125004"/>
    <n v="9362286"/>
    <s v="Wood Street Infant School"/>
    <x v="0"/>
    <s v="Community School"/>
    <s v="NULL"/>
    <s v="Not applicable"/>
    <s v="Does not have a sixth form"/>
    <s v="Does not apply"/>
    <s v="Does not apply"/>
    <s v="Non-denominational"/>
    <s v="South East"/>
    <x v="2"/>
    <x v="21"/>
    <s v="Guildford"/>
    <s v="GU3 3DA"/>
    <n v="3"/>
    <n v="75"/>
    <d v="2020-12-03T00:00:00"/>
    <d v="2021-01-13T00:00:00"/>
  </r>
  <r>
    <s v="Ofsted School Webpage"/>
    <n v="101759"/>
    <n v="3062067"/>
    <s v="Smitham Primary School"/>
    <x v="0"/>
    <s v="Community School"/>
    <s v="NULL"/>
    <s v="Not applicable"/>
    <s v="Does not have a sixth form"/>
    <s v="Does not apply"/>
    <s v="Does not apply"/>
    <s v="Non-denominational"/>
    <s v="London"/>
    <x v="3"/>
    <x v="128"/>
    <s v="Croydon South"/>
    <s v="CR5 3DE"/>
    <n v="2"/>
    <n v="518"/>
    <d v="2020-12-03T00:00:00"/>
    <d v="2021-01-17T00:00:00"/>
  </r>
  <r>
    <s v="Ofsted School Webpage"/>
    <n v="106083"/>
    <n v="3562091"/>
    <s v="Warren Wood Primary School"/>
    <x v="0"/>
    <s v="Community School"/>
    <s v="NULL"/>
    <s v="Not applicable"/>
    <s v="Does not have a sixth form"/>
    <s v="Does not apply"/>
    <s v="Does not apply"/>
    <s v="Non-denominational"/>
    <s v="North West"/>
    <x v="4"/>
    <x v="16"/>
    <s v="Hazel Grove"/>
    <s v="SK2 5XU"/>
    <n v="2"/>
    <n v="350"/>
    <d v="2020-12-03T00:00:00"/>
    <d v="2021-01-19T00:00:00"/>
  </r>
  <r>
    <s v="Ofsted School Webpage"/>
    <n v="104178"/>
    <n v="3352105"/>
    <s v="Salisbury Primary School"/>
    <x v="0"/>
    <s v="Community School"/>
    <s v="NULL"/>
    <s v="Not applicable"/>
    <s v="Does not have a sixth form"/>
    <s v="Does not apply"/>
    <s v="Does not apply"/>
    <s v="Non-denominational"/>
    <s v="West Midlands"/>
    <x v="1"/>
    <x v="73"/>
    <s v="Walsall South"/>
    <s v="WS10 8BQ"/>
    <n v="5"/>
    <n v="323"/>
    <d v="2020-12-03T00:00:00"/>
    <d v="2021-01-13T00:00:00"/>
  </r>
  <r>
    <s v="Ofsted School Webpage"/>
    <n v="117329"/>
    <n v="9192415"/>
    <s v="Mary Exton Primary School"/>
    <x v="0"/>
    <s v="Community School"/>
    <s v="NULL"/>
    <s v="Not applicable"/>
    <s v="Does not have a sixth form"/>
    <s v="Does not apply"/>
    <s v="Does not apply"/>
    <s v="Non-denominational"/>
    <s v="East of England"/>
    <x v="7"/>
    <x v="56"/>
    <s v="Hitchin and Harpenden"/>
    <s v="SG4 0QA"/>
    <n v="2"/>
    <n v="201"/>
    <d v="2020-12-03T00:00:00"/>
    <d v="2021-01-17T00:00:00"/>
  </r>
  <r>
    <s v="Ofsted School Webpage"/>
    <n v="101746"/>
    <n v="3062051"/>
    <s v="Winterbourne Nursery and Infants' School"/>
    <x v="0"/>
    <s v="Community School"/>
    <s v="NULL"/>
    <s v="Not applicable"/>
    <s v="Does not have a sixth form"/>
    <s v="Does not apply"/>
    <s v="Does not apply"/>
    <s v="Non-denominational"/>
    <s v="London"/>
    <x v="3"/>
    <x v="128"/>
    <s v="Croydon North"/>
    <s v="CR7 7QT"/>
    <n v="4"/>
    <n v="381"/>
    <d v="2020-12-03T00:00:00"/>
    <d v="2021-01-24T00:00:00"/>
  </r>
  <r>
    <s v="Ofsted School Webpage"/>
    <n v="114990"/>
    <n v="8812770"/>
    <s v="Wimbish Primary School"/>
    <x v="0"/>
    <s v="Community School"/>
    <s v="NULL"/>
    <s v="Not applicable"/>
    <s v="Does not have a sixth form"/>
    <s v="Does not apply"/>
    <s v="Does not apply"/>
    <s v="Non-denominational"/>
    <s v="East of England"/>
    <x v="7"/>
    <x v="75"/>
    <s v="Saffron Walden"/>
    <s v="CB10 2XE"/>
    <n v="1"/>
    <n v="94"/>
    <d v="2020-12-03T00:00:00"/>
    <d v="2021-01-17T00:00:00"/>
  </r>
  <r>
    <s v="Ofsted School Webpage"/>
    <n v="102919"/>
    <n v="3183324"/>
    <s v="St Osmund's Catholic Primary School"/>
    <x v="0"/>
    <s v="Voluntary Aided School"/>
    <s v="NULL"/>
    <s v="Not applicable"/>
    <s v="Does not have a sixth form"/>
    <s v="Roman Catholic"/>
    <s v="Does not apply"/>
    <s v="Christian"/>
    <s v="London"/>
    <x v="3"/>
    <x v="81"/>
    <s v="Richmond Park"/>
    <s v="SW13 9HQ"/>
    <n v="2"/>
    <n v="191"/>
    <d v="2020-12-03T00:00:00"/>
    <d v="2021-01-20T00:00:00"/>
  </r>
  <r>
    <s v="Ofsted School Webpage"/>
    <n v="133599"/>
    <n v="2044318"/>
    <s v="Yesodey Hatorah Senior Girls School"/>
    <x v="1"/>
    <s v="Voluntary Aided School"/>
    <d v="2005-09-01T00:00:00"/>
    <s v="Non-selective"/>
    <s v="Does not have a sixth form"/>
    <s v="Jewish"/>
    <s v="Does not apply"/>
    <s v="Jewish"/>
    <s v="London"/>
    <x v="3"/>
    <x v="12"/>
    <s v="Hackney North and Stoke Newington"/>
    <s v="N16 6UB"/>
    <n v="2"/>
    <n v="314"/>
    <d v="2020-12-03T00:00:00"/>
    <d v="2021-01-17T00:00:00"/>
  </r>
  <r>
    <s v="Ofsted School Webpage"/>
    <n v="145719"/>
    <n v="8732071"/>
    <s v="Stilton Church of England Primary Academy"/>
    <x v="0"/>
    <s v="Academy Sponsor Led"/>
    <d v="2018-05-01T00:00:00"/>
    <s v="Unknown"/>
    <s v="Does not have a sixth form"/>
    <s v="Church of England"/>
    <s v="Church of England"/>
    <s v="Christian"/>
    <s v="East of England"/>
    <x v="7"/>
    <x v="43"/>
    <s v="North West Cambridgeshire"/>
    <s v="PE7 3RF"/>
    <n v="2"/>
    <n v="172"/>
    <d v="2020-12-03T00:00:00"/>
    <d v="2021-01-13T00:00:00"/>
  </r>
  <r>
    <s v="Ofsted School Webpage"/>
    <n v="145452"/>
    <n v="8512653"/>
    <s v="College Park Infant School"/>
    <x v="0"/>
    <s v="Academy Converter"/>
    <d v="2018-02-01T00:00:00"/>
    <s v="Not applicable"/>
    <s v="Does not have a sixth form"/>
    <s v="Does not apply"/>
    <s v="Does not apply"/>
    <s v="Non-denominational"/>
    <s v="South East"/>
    <x v="2"/>
    <x v="58"/>
    <s v="Portsmouth North"/>
    <s v="PO2 0LB"/>
    <n v="3"/>
    <n v="356"/>
    <d v="2020-12-03T00:00:00"/>
    <d v="2021-01-17T00:00:00"/>
  </r>
  <r>
    <s v="Ofsted School Webpage"/>
    <n v="148232"/>
    <n v="9262238"/>
    <s v="Newton Flotman Church of England Primary Academy"/>
    <x v="0"/>
    <s v="Academy Sponsor Led"/>
    <d v="2020-11-01T00:00:00"/>
    <s v="Non-selective"/>
    <s v="Does not have a sixth form"/>
    <s v="Church of England"/>
    <s v="Church of England"/>
    <s v="Christian"/>
    <s v="East of England"/>
    <x v="7"/>
    <x v="33"/>
    <s v="South Norfolk"/>
    <s v="NR15 1PR"/>
    <s v="NULL"/>
    <s v="NULL"/>
    <d v="2020-12-03T00:00:00"/>
    <d v="2021-01-17T00:00:00"/>
  </r>
  <r>
    <s v="Ofsted School Webpage"/>
    <n v="146715"/>
    <n v="8312629"/>
    <s v="Arboretum Primary School"/>
    <x v="0"/>
    <s v="Academy Converter"/>
    <d v="2019-02-01T00:00:00"/>
    <s v="Not applicable"/>
    <s v="Does not have a sixth form"/>
    <s v="Does not apply"/>
    <s v="Does not apply"/>
    <s v="Non-denominational"/>
    <s v="East Midlands"/>
    <x v="6"/>
    <x v="69"/>
    <s v="Derby South"/>
    <s v="DE23 8GP"/>
    <n v="5"/>
    <n v="629"/>
    <d v="2020-12-03T00:00:00"/>
    <d v="2021-01-13T00:00:00"/>
  </r>
  <r>
    <s v="Ofsted School Webpage"/>
    <n v="142178"/>
    <n v="2104003"/>
    <s v="The Charter School East Dulwich"/>
    <x v="1"/>
    <s v="Free School"/>
    <d v="2016-09-12T00:00:00"/>
    <s v="Non-selective"/>
    <s v="Has a sixth form"/>
    <s v="None"/>
    <s v="None"/>
    <s v="Non-denominational"/>
    <s v="London"/>
    <x v="3"/>
    <x v="132"/>
    <s v="Dulwich and West Norwood"/>
    <s v="SE22 8RB"/>
    <n v="3"/>
    <n v="597"/>
    <d v="2020-12-03T00:00:00"/>
    <d v="2021-01-26T00:00:00"/>
  </r>
  <r>
    <s v="Ofsted School Webpage"/>
    <n v="145326"/>
    <n v="9092100"/>
    <s v="Bassenthwaite Primary School"/>
    <x v="0"/>
    <s v="Academy Converter"/>
    <d v="2018-01-01T00:00:00"/>
    <s v="Not applicable"/>
    <s v="Does not have a sixth form"/>
    <s v="Does not apply"/>
    <s v="Does not apply"/>
    <s v="Non-denominational"/>
    <s v="North West"/>
    <x v="4"/>
    <x v="25"/>
    <s v="Workington"/>
    <s v="CA12 4QH"/>
    <n v="1"/>
    <n v="31"/>
    <d v="2020-12-03T00:00:00"/>
    <d v="2021-01-25T00:00:00"/>
  </r>
  <r>
    <s v="Ofsted School Webpage"/>
    <n v="142705"/>
    <n v="8943369"/>
    <s v="Grange Park Primary School"/>
    <x v="0"/>
    <s v="Academy Converter"/>
    <d v="2016-04-01T00:00:00"/>
    <s v="Not applicable"/>
    <s v="Does not have a sixth form"/>
    <s v="None"/>
    <s v="Does not apply"/>
    <s v="Non-denominational"/>
    <s v="West Midlands"/>
    <x v="1"/>
    <x v="100"/>
    <s v="Telford"/>
    <s v="TF3 1ET"/>
    <n v="5"/>
    <n v="481"/>
    <d v="2020-12-03T00:00:00"/>
    <d v="2021-01-17T00:00:00"/>
  </r>
  <r>
    <s v="Ofsted School Webpage"/>
    <n v="140967"/>
    <n v="3062087"/>
    <s v="Paxton Academy Sports And Science"/>
    <x v="0"/>
    <s v="Free School"/>
    <d v="2014-09-01T00:00:00"/>
    <s v="Unknown"/>
    <s v="Does not have a sixth form"/>
    <s v="None"/>
    <s v="None"/>
    <s v="Non-denominational"/>
    <s v="London"/>
    <x v="3"/>
    <x v="128"/>
    <s v="Croydon North"/>
    <s v="CR7 6AW"/>
    <n v="4"/>
    <n v="181"/>
    <d v="2020-12-08T00:00:00"/>
    <d v="2021-01-21T00:00:00"/>
  </r>
  <r>
    <s v="Ofsted School Webpage"/>
    <n v="148139"/>
    <n v="8812187"/>
    <s v="de Vere Primary School"/>
    <x v="0"/>
    <s v="Academy Sponsor Led"/>
    <d v="2020-09-01T00:00:00"/>
    <s v="Not applicable"/>
    <s v="Does not have a sixth form"/>
    <s v="Does not apply"/>
    <s v="Does not apply"/>
    <s v="Non-denominational"/>
    <s v="East of England"/>
    <x v="7"/>
    <x v="75"/>
    <s v="Braintree"/>
    <s v="CO9 3EA"/>
    <s v="NULL"/>
    <s v="NULL"/>
    <d v="2020-12-08T00:00:00"/>
    <d v="2021-01-17T00:00:00"/>
  </r>
  <r>
    <s v="Ofsted School Webpage"/>
    <n v="114921"/>
    <n v="8812624"/>
    <s v="West Horndon Primary School"/>
    <x v="0"/>
    <s v="Community School"/>
    <s v="NULL"/>
    <s v="Not applicable"/>
    <s v="Does not have a sixth form"/>
    <s v="Does not apply"/>
    <s v="Does not apply"/>
    <s v="Non-denominational"/>
    <s v="East of England"/>
    <x v="7"/>
    <x v="75"/>
    <s v="Brentwood and Ongar"/>
    <s v="CM13 3TR"/>
    <n v="2"/>
    <n v="146"/>
    <d v="2020-12-08T00:00:00"/>
    <d v="2021-01-13T00:00:00"/>
  </r>
  <r>
    <s v="Ofsted School Webpage"/>
    <n v="121798"/>
    <n v="9282006"/>
    <s v="Brington Primary School"/>
    <x v="0"/>
    <s v="Community School"/>
    <s v="NULL"/>
    <s v="Not applicable"/>
    <s v="Does not have a sixth form"/>
    <s v="Does not apply"/>
    <s v="Does not apply"/>
    <s v="Non-denominational"/>
    <s v="East Midlands"/>
    <x v="6"/>
    <x v="64"/>
    <s v="Daventry"/>
    <s v="NN7 4HX"/>
    <n v="1"/>
    <n v="51"/>
    <d v="2020-12-08T00:00:00"/>
    <d v="2021-01-17T00:00:00"/>
  </r>
  <r>
    <s v="Ofsted School Webpage"/>
    <n v="120789"/>
    <n v="9262021"/>
    <s v="Bressingham Primary School"/>
    <x v="0"/>
    <s v="Foundation School"/>
    <s v="NULL"/>
    <s v="Not applicable"/>
    <s v="Does not have a sixth form"/>
    <s v="Does not apply"/>
    <s v="Does not apply"/>
    <s v="Non-denominational"/>
    <s v="East of England"/>
    <x v="7"/>
    <x v="33"/>
    <s v="South Norfolk"/>
    <s v="IP22 2AR"/>
    <n v="2"/>
    <n v="123"/>
    <d v="2020-12-08T00:00:00"/>
    <d v="2021-01-13T00:00:00"/>
  </r>
  <r>
    <s v="Ofsted School Webpage"/>
    <n v="110611"/>
    <n v="8732016"/>
    <s v="Great Abington Primary School"/>
    <x v="0"/>
    <s v="Community School"/>
    <s v="NULL"/>
    <s v="Not applicable"/>
    <s v="Does not have a sixth form"/>
    <s v="Does not apply"/>
    <s v="Does not apply"/>
    <s v="Non-denominational"/>
    <s v="East of England"/>
    <x v="7"/>
    <x v="43"/>
    <s v="South Cambridgeshire"/>
    <s v="CB21 6AE"/>
    <n v="1"/>
    <n v="136"/>
    <d v="2020-12-08T00:00:00"/>
    <d v="2021-01-13T00:00:00"/>
  </r>
  <r>
    <s v="Ofsted School Webpage"/>
    <n v="120089"/>
    <n v="8562365"/>
    <s v="Fosse Primary School"/>
    <x v="0"/>
    <s v="Community School"/>
    <s v="NULL"/>
    <s v="Not applicable"/>
    <s v="Does not have a sixth form"/>
    <s v="Does not apply"/>
    <s v="Does not apply"/>
    <s v="Non-denominational"/>
    <s v="East Midlands"/>
    <x v="6"/>
    <x v="79"/>
    <s v="Leicester West"/>
    <s v="LE3 5EA"/>
    <n v="5"/>
    <n v="431"/>
    <d v="2020-12-08T00:00:00"/>
    <d v="2021-01-17T00:00:00"/>
  </r>
  <r>
    <s v="Ofsted School Webpage"/>
    <n v="139361"/>
    <n v="9252207"/>
    <s v="White's Wood Academy"/>
    <x v="0"/>
    <s v="Academy Converter"/>
    <d v="2013-03-01T00:00:00"/>
    <s v="Not applicable"/>
    <s v="Does not have a sixth form"/>
    <s v="Does not apply"/>
    <s v="Does not apply"/>
    <s v="Non-denominational"/>
    <s v="East Midlands"/>
    <x v="6"/>
    <x v="18"/>
    <s v="Gainsborough"/>
    <s v="DN21 1TJ"/>
    <n v="5"/>
    <n v="226"/>
    <d v="2020-12-08T00:00:00"/>
    <d v="2021-01-13T00:00:00"/>
  </r>
  <r>
    <s v="Ofsted School Webpage"/>
    <n v="138734"/>
    <n v="8815436"/>
    <s v="Joyce Frankland Academy, Newport"/>
    <x v="1"/>
    <s v="Academy Converter"/>
    <d v="2012-09-01T00:00:00"/>
    <s v="Non-selective"/>
    <s v="Has a sixth form"/>
    <s v="None"/>
    <s v="Does not apply"/>
    <s v="Non-denominational"/>
    <s v="East of England"/>
    <x v="7"/>
    <x v="75"/>
    <s v="Saffron Walden"/>
    <s v="CB11 3TR"/>
    <n v="1"/>
    <n v="895"/>
    <d v="2020-12-08T00:00:00"/>
    <d v="2021-01-25T00:00:00"/>
  </r>
  <r>
    <s v="Ofsted School Webpage"/>
    <n v="139523"/>
    <n v="8222008"/>
    <s v="Goldington Green Academy"/>
    <x v="0"/>
    <s v="Academy Converter"/>
    <d v="2013-04-01T00:00:00"/>
    <s v="Not applicable"/>
    <s v="Does not have a sixth form"/>
    <s v="None"/>
    <s v="Does not apply"/>
    <s v="Non-denominational"/>
    <s v="East of England"/>
    <x v="7"/>
    <x v="50"/>
    <s v="Bedford"/>
    <s v="MK41 0DP"/>
    <n v="4"/>
    <n v="668"/>
    <d v="2020-12-08T00:00:00"/>
    <d v="2021-01-13T00:00:00"/>
  </r>
  <r>
    <s v="Ofsted School Webpage"/>
    <n v="137241"/>
    <n v="8815413"/>
    <s v="Thurstable School Sports College and Sixth Form Centre"/>
    <x v="1"/>
    <s v="Academy Converter"/>
    <d v="2011-08-01T00:00:00"/>
    <s v="Non-selective"/>
    <s v="Has a sixth form"/>
    <s v="None"/>
    <s v="Does not apply"/>
    <s v="Non-denominational"/>
    <s v="East of England"/>
    <x v="7"/>
    <x v="75"/>
    <s v="Witham"/>
    <s v="CO5 0EW"/>
    <n v="1"/>
    <n v="1190"/>
    <d v="2020-12-08T00:00:00"/>
    <d v="2021-01-13T00:00:00"/>
  </r>
  <r>
    <s v="Ofsted School Webpage"/>
    <n v="138569"/>
    <n v="8234001"/>
    <s v="Houghton Regis Academy"/>
    <x v="1"/>
    <s v="Academy Sponsor Led"/>
    <d v="2012-09-01T00:00:00"/>
    <s v="Non-selective"/>
    <s v="Not applicable"/>
    <s v="None"/>
    <s v="None"/>
    <s v="Non-denominational"/>
    <s v="East of England"/>
    <x v="7"/>
    <x v="115"/>
    <s v="South West Bedfordshire"/>
    <s v="LU5 5PX"/>
    <n v="4"/>
    <n v="269"/>
    <d v="2020-12-08T00:00:00"/>
    <d v="2021-01-17T00:00:00"/>
  </r>
  <r>
    <s v="Ofsted School Webpage"/>
    <n v="138790"/>
    <n v="8312009"/>
    <s v="Landau Forte Academy Moorhead"/>
    <x v="0"/>
    <s v="Academy Sponsor Led"/>
    <d v="2012-09-01T00:00:00"/>
    <s v="Not applicable"/>
    <s v="Not applicable"/>
    <s v="Does not apply"/>
    <s v="None"/>
    <s v="Non-denominational"/>
    <s v="East Midlands"/>
    <x v="6"/>
    <x v="69"/>
    <s v="Derby South"/>
    <s v="DE24 0AN"/>
    <n v="5"/>
    <n v="243"/>
    <d v="2020-12-08T00:00:00"/>
    <d v="2021-01-13T00:00:00"/>
  </r>
  <r>
    <s v="Ofsted School Webpage"/>
    <n v="137128"/>
    <n v="8504130"/>
    <s v="Perins School"/>
    <x v="1"/>
    <s v="Academy Converter"/>
    <d v="2011-08-01T00:00:00"/>
    <s v="Non-selective"/>
    <s v="Does not have a sixth form"/>
    <s v="None"/>
    <s v="Does not apply"/>
    <s v="Non-denominational"/>
    <s v="South East"/>
    <x v="2"/>
    <x v="2"/>
    <s v="Winchester"/>
    <s v="SO24 9BS"/>
    <n v="1"/>
    <n v="1174"/>
    <d v="2020-12-08T00:00:00"/>
    <d v="2021-01-17T00:00:00"/>
  </r>
  <r>
    <s v="Ofsted School Webpage"/>
    <n v="121256"/>
    <n v="9267004"/>
    <s v="Fred Nicholson School"/>
    <x v="2"/>
    <s v="Foundation Special School"/>
    <d v="1899-12-31T00:00:00"/>
    <s v="Not applicable"/>
    <s v="Does not have a sixth form"/>
    <s v="Does not apply"/>
    <s v="Does not apply"/>
    <s v="Non-denominational"/>
    <s v="East of England"/>
    <x v="7"/>
    <x v="33"/>
    <s v="Mid Norfolk"/>
    <s v="NR19 1JB"/>
    <n v="3"/>
    <n v="153"/>
    <d v="2020-12-08T00:00:00"/>
    <d v="2021-01-13T00:00:00"/>
  </r>
  <r>
    <s v="Ofsted School Webpage"/>
    <n v="109492"/>
    <n v="8222141"/>
    <s v="Wilstead Primary School"/>
    <x v="0"/>
    <s v="Foundation School"/>
    <s v="NULL"/>
    <s v="Not applicable"/>
    <s v="Does not have a sixth form"/>
    <s v="None"/>
    <s v="Does not apply"/>
    <s v="Non-denominational"/>
    <s v="East of England"/>
    <x v="7"/>
    <x v="50"/>
    <s v="Mid Bedfordshire"/>
    <s v="MK45 3BX"/>
    <n v="2"/>
    <n v="185"/>
    <d v="2020-12-08T00:00:00"/>
    <d v="2021-01-13T00:00:00"/>
  </r>
  <r>
    <s v="Ofsted School Webpage"/>
    <n v="105137"/>
    <n v="3447015"/>
    <s v="West Kirby Residential School"/>
    <x v="2"/>
    <s v="Non-Maintained Special School"/>
    <s v="NULL"/>
    <s v="Not applicable"/>
    <s v="Has a sixth form"/>
    <s v="Does not apply"/>
    <s v="Does not apply"/>
    <s v="Non-denominational"/>
    <s v="North West"/>
    <x v="4"/>
    <x v="92"/>
    <s v="Wirral West"/>
    <s v="CH48 5DH"/>
    <n v="4"/>
    <n v="85"/>
    <d v="2020-12-09T00:00:00"/>
    <d v="2021-01-20T00:00:00"/>
  </r>
  <r>
    <s v="Ofsted School Webpage"/>
    <n v="107182"/>
    <n v="3737036"/>
    <s v="Mossbrook School"/>
    <x v="2"/>
    <s v="Community Special School"/>
    <s v="NULL"/>
    <s v="Not applicable"/>
    <s v="Not applicable"/>
    <s v="Does not apply"/>
    <s v="Does not apply"/>
    <s v="Non-denominational"/>
    <s v="North East, Yorkshire and the Humber"/>
    <x v="0"/>
    <x v="99"/>
    <s v="Sheffield, Heeley"/>
    <s v="S8 8JR"/>
    <n v="5"/>
    <n v="134"/>
    <d v="2020-12-09T00:00:00"/>
    <d v="2021-01-20T00:00:00"/>
  </r>
  <r>
    <s v="Ofsted School Webpage"/>
    <n v="102702"/>
    <n v="3161002"/>
    <s v="Rebecca Cheetham Nursery and Children's Centre"/>
    <x v="4"/>
    <s v="LA Nursery School"/>
    <s v="NULL"/>
    <s v="Not applicable"/>
    <s v="Not applicable"/>
    <s v="Does not apply"/>
    <s v="Does not apply"/>
    <s v="Non-denominational"/>
    <s v="London"/>
    <x v="3"/>
    <x v="107"/>
    <s v="West Ham"/>
    <s v="E15 3JT"/>
    <n v="3"/>
    <n v="133"/>
    <d v="2020-12-09T00:00:00"/>
    <d v="2021-01-25T00:00:00"/>
  </r>
  <r>
    <s v="Ofsted School Webpage"/>
    <n v="136785"/>
    <n v="3195403"/>
    <s v="Cheam High School"/>
    <x v="1"/>
    <s v="Academy Converter"/>
    <d v="2011-06-01T00:00:00"/>
    <s v="Non-selective"/>
    <s v="Has a sixth form"/>
    <s v="None"/>
    <s v="Does not apply"/>
    <s v="Non-denominational"/>
    <s v="London"/>
    <x v="3"/>
    <x v="145"/>
    <s v="Sutton and Cheam"/>
    <s v="SM3 8PW"/>
    <n v="1"/>
    <n v="2010"/>
    <d v="2020-12-09T00:00:00"/>
    <d v="2021-01-24T00:00:00"/>
  </r>
  <r>
    <s v="Ofsted School Webpage"/>
    <n v="138180"/>
    <n v="8412732"/>
    <s v="Hurworth Primary School"/>
    <x v="0"/>
    <s v="Academy Converter"/>
    <d v="2012-06-01T00:00:00"/>
    <s v="Not applicable"/>
    <s v="Does not have a sixth form"/>
    <s v="Does not apply"/>
    <s v="Does not apply"/>
    <s v="Non-denominational"/>
    <s v="North East, Yorkshire and the Humber"/>
    <x v="8"/>
    <x v="54"/>
    <s v="Sedgefield"/>
    <s v="DL2 2ET"/>
    <n v="2"/>
    <n v="220"/>
    <d v="2020-12-09T00:00:00"/>
    <d v="2021-01-28T00:00:00"/>
  </r>
  <r>
    <s v="Ofsted School Webpage"/>
    <n v="116269"/>
    <n v="8503004"/>
    <s v="Andover Church of England Primary School"/>
    <x v="0"/>
    <s v="Voluntary Controlled School"/>
    <s v="NULL"/>
    <s v="Not applicable"/>
    <s v="Does not have a sixth form"/>
    <s v="Church of England"/>
    <s v="Does not apply"/>
    <s v="Christian"/>
    <s v="South East"/>
    <x v="2"/>
    <x v="2"/>
    <s v="North West Hampshire"/>
    <s v="SP10 1EP"/>
    <n v="3"/>
    <n v="201"/>
    <d v="2020-12-09T00:00:00"/>
    <d v="2021-01-13T00:00:00"/>
  </r>
  <r>
    <s v="Ofsted School Webpage"/>
    <n v="123526"/>
    <n v="8943152"/>
    <s v="John Fletcher of Madeley Primary School"/>
    <x v="0"/>
    <s v="Voluntary Controlled School"/>
    <s v="NULL"/>
    <s v="Not applicable"/>
    <s v="Does not have a sixth form"/>
    <s v="Church of England/Methodist"/>
    <s v="Does not apply"/>
    <s v="Christian"/>
    <s v="West Midlands"/>
    <x v="1"/>
    <x v="100"/>
    <s v="Telford"/>
    <s v="TF7 5DL"/>
    <n v="5"/>
    <n v="342"/>
    <d v="2020-12-09T00:00:00"/>
    <d v="2021-01-17T00:00:00"/>
  </r>
  <r>
    <s v="Ofsted School Webpage"/>
    <n v="141340"/>
    <n v="8932005"/>
    <s v="Stokesay Primary School"/>
    <x v="0"/>
    <s v="Academy Sponsor Led"/>
    <d v="2014-11-01T00:00:00"/>
    <s v="Not applicable"/>
    <s v="Does not have a sixth form"/>
    <s v="Does not apply"/>
    <s v="None"/>
    <s v="Non-denominational"/>
    <s v="West Midlands"/>
    <x v="1"/>
    <x v="78"/>
    <s v="Ludlow"/>
    <s v="SY7 9NW"/>
    <n v="4"/>
    <n v="162"/>
    <d v="2020-12-09T00:00:00"/>
    <d v="2021-01-17T00:00:00"/>
  </r>
  <r>
    <s v="Ofsted School Webpage"/>
    <n v="139904"/>
    <n v="3302138"/>
    <s v="Grestone Academy"/>
    <x v="0"/>
    <s v="Academy Sponsor Led"/>
    <d v="2013-10-01T00:00:00"/>
    <s v="Not applicable"/>
    <s v="Does not have a sixth form"/>
    <s v="Does not apply"/>
    <s v="None"/>
    <s v="Non-denominational"/>
    <s v="West Midlands"/>
    <x v="1"/>
    <x v="8"/>
    <s v="Birmingham, Perry Barr"/>
    <s v="B20 1ND"/>
    <n v="4"/>
    <n v="502"/>
    <d v="2020-12-09T00:00:00"/>
    <d v="2021-01-13T00:00:00"/>
  </r>
  <r>
    <s v="Ofsted School Webpage"/>
    <n v="139909"/>
    <n v="3122021"/>
    <s v="Hewens Primary School"/>
    <x v="0"/>
    <s v="Free School"/>
    <d v="2013-09-04T00:00:00"/>
    <s v="Not applicable"/>
    <s v="Does not have a sixth form"/>
    <s v="None"/>
    <s v="None"/>
    <s v="Non-denominational"/>
    <s v="London"/>
    <x v="3"/>
    <x v="133"/>
    <s v="Hayes and Harlington"/>
    <s v="UB4 8JP"/>
    <n v="3"/>
    <n v="442"/>
    <d v="2020-12-09T00:00:00"/>
    <d v="2021-01-17T00:00:00"/>
  </r>
  <r>
    <s v="Ofsted School Webpage"/>
    <n v="138723"/>
    <n v="8603457"/>
    <s v="St Filumena's Catholic Primary School"/>
    <x v="0"/>
    <s v="Academy Converter"/>
    <d v="2012-09-01T00:00:00"/>
    <s v="Not applicable"/>
    <s v="Does not have a sixth form"/>
    <s v="Roman Catholic"/>
    <s v="Does not apply"/>
    <s v="Christian"/>
    <s v="West Midlands"/>
    <x v="1"/>
    <x v="36"/>
    <s v="Staffordshire Moorlands"/>
    <s v="ST11 9EA"/>
    <n v="2"/>
    <n v="204"/>
    <d v="2020-12-09T00:00:00"/>
    <d v="2021-01-17T00:00:00"/>
  </r>
  <r>
    <s v="Ofsted School Webpage"/>
    <n v="102800"/>
    <n v="3172015"/>
    <s v="Downshall Primary School"/>
    <x v="0"/>
    <s v="Community School"/>
    <d v="1995-09-01T00:00:00"/>
    <s v="Not applicable"/>
    <s v="Does not have a sixth form"/>
    <s v="Does not apply"/>
    <s v="Does not apply"/>
    <s v="Non-denominational"/>
    <s v="London"/>
    <x v="3"/>
    <x v="143"/>
    <s v="Ilford South"/>
    <s v="IG3 8UG"/>
    <n v="3"/>
    <n v="648"/>
    <d v="2020-12-09T00:00:00"/>
    <d v="2021-01-28T00:00:00"/>
  </r>
  <r>
    <s v="Ofsted School Webpage"/>
    <n v="100903"/>
    <n v="2112270"/>
    <s v="Hague Primary School"/>
    <x v="0"/>
    <s v="Community School"/>
    <s v="NULL"/>
    <s v="Not applicable"/>
    <s v="Does not have a sixth form"/>
    <s v="Does not apply"/>
    <s v="Does not apply"/>
    <s v="Non-denominational"/>
    <s v="London"/>
    <x v="3"/>
    <x v="119"/>
    <s v="Bethnal Green and Bow"/>
    <s v="E2 0BP"/>
    <n v="5"/>
    <n v="215"/>
    <d v="2020-12-09T00:00:00"/>
    <d v="2021-01-17T00:00:00"/>
  </r>
  <r>
    <s v="Ofsted School Webpage"/>
    <n v="119228"/>
    <n v="8882187"/>
    <s v="Deepdale Community Primary School"/>
    <x v="0"/>
    <s v="Community School"/>
    <s v="NULL"/>
    <s v="Not applicable"/>
    <s v="Does not have a sixth form"/>
    <s v="Does not apply"/>
    <s v="Does not apply"/>
    <s v="Non-denominational"/>
    <s v="North West"/>
    <x v="4"/>
    <x v="27"/>
    <s v="Preston"/>
    <s v="PR1 6TD"/>
    <n v="4"/>
    <n v="657"/>
    <d v="2020-12-09T00:00:00"/>
    <d v="2021-01-19T00:00:00"/>
  </r>
  <r>
    <s v="Ofsted School Webpage"/>
    <n v="103786"/>
    <n v="3322063"/>
    <s v="Fairhaven Primary School"/>
    <x v="0"/>
    <s v="Community School"/>
    <s v="NULL"/>
    <s v="Not applicable"/>
    <s v="Does not have a sixth form"/>
    <s v="Does not apply"/>
    <s v="Does not apply"/>
    <s v="Non-denominational"/>
    <s v="West Midlands"/>
    <x v="1"/>
    <x v="110"/>
    <s v="Dudley South"/>
    <s v="DY8 5PY"/>
    <n v="2"/>
    <n v="293"/>
    <d v="2020-12-09T00:00:00"/>
    <d v="2021-01-19T00:00:00"/>
  </r>
  <r>
    <s v="Ofsted School Webpage"/>
    <n v="116679"/>
    <n v="8842056"/>
    <s v="Broadlands Primary School"/>
    <x v="0"/>
    <s v="Community School"/>
    <s v="NULL"/>
    <s v="Not applicable"/>
    <s v="Does not have a sixth form"/>
    <s v="Does not apply"/>
    <s v="Does not apply"/>
    <s v="Non-denominational"/>
    <s v="West Midlands"/>
    <x v="1"/>
    <x v="19"/>
    <s v="Hereford and South Herefordshire"/>
    <s v="HR1 1HY"/>
    <n v="3"/>
    <n v="157"/>
    <d v="2020-12-09T00:00:00"/>
    <d v="2021-01-13T00:00:00"/>
  </r>
  <r>
    <s v="Ofsted School Webpage"/>
    <n v="102564"/>
    <n v="3142001"/>
    <s v="Burlington Junior School"/>
    <x v="0"/>
    <s v="Community School"/>
    <s v="NULL"/>
    <s v="Not applicable"/>
    <s v="Does not have a sixth form"/>
    <s v="Does not apply"/>
    <s v="Does not apply"/>
    <s v="Non-denominational"/>
    <s v="London"/>
    <x v="3"/>
    <x v="147"/>
    <s v="Kingston and Surbiton"/>
    <s v="KT3 4LT"/>
    <n v="2"/>
    <n v="477"/>
    <d v="2020-12-09T00:00:00"/>
    <d v="2021-01-24T00:00:00"/>
  </r>
  <r>
    <s v="Ofsted School Webpage"/>
    <n v="105912"/>
    <n v="3552073"/>
    <s v="Bridgewater Primary School"/>
    <x v="0"/>
    <s v="Community School"/>
    <s v="NULL"/>
    <s v="Not applicable"/>
    <s v="Does not have a sixth form"/>
    <s v="Does not apply"/>
    <s v="Does not apply"/>
    <s v="Non-denominational"/>
    <s v="North West"/>
    <x v="4"/>
    <x v="142"/>
    <s v="Worsley and Eccles South"/>
    <s v="M38 9WD"/>
    <n v="5"/>
    <n v="428"/>
    <d v="2020-12-09T00:00:00"/>
    <d v="2021-01-25T00:00:00"/>
  </r>
  <r>
    <s v="Ofsted School Webpage"/>
    <n v="112670"/>
    <n v="8302296"/>
    <s v="Abercrombie Primary School"/>
    <x v="0"/>
    <s v="Community School"/>
    <s v="NULL"/>
    <s v="Not applicable"/>
    <s v="Does not have a sixth form"/>
    <s v="Does not apply"/>
    <s v="Does not apply"/>
    <s v="Non-denominational"/>
    <s v="East Midlands"/>
    <x v="6"/>
    <x v="6"/>
    <s v="Chesterfield"/>
    <s v="S41 7QE"/>
    <n v="4"/>
    <n v="238"/>
    <d v="2020-12-09T00:00:00"/>
    <d v="2021-01-13T00:00:00"/>
  </r>
  <r>
    <s v="Ofsted School Webpage"/>
    <n v="111365"/>
    <n v="8773603"/>
    <s v="Winwick CofE Primary School"/>
    <x v="0"/>
    <s v="Voluntary Aided School"/>
    <s v="NULL"/>
    <s v="Not applicable"/>
    <s v="Does not have a sixth form"/>
    <s v="Church of England"/>
    <s v="Does not apply"/>
    <s v="Christian"/>
    <s v="North West"/>
    <x v="4"/>
    <x v="97"/>
    <s v="Warrington North"/>
    <s v="WA2 8LQ"/>
    <n v="2"/>
    <n v="187"/>
    <d v="2020-12-09T00:00:00"/>
    <d v="2021-01-25T00:00:00"/>
  </r>
  <r>
    <s v="Ofsted School Webpage"/>
    <n v="106476"/>
    <n v="3593367"/>
    <s v="Ince CofE Primary School"/>
    <x v="0"/>
    <s v="Voluntary Aided School"/>
    <s v="NULL"/>
    <s v="Not applicable"/>
    <s v="Does not have a sixth form"/>
    <s v="Church of England"/>
    <s v="Does not apply"/>
    <s v="Christian"/>
    <s v="North West"/>
    <x v="4"/>
    <x v="123"/>
    <s v="Wigan"/>
    <s v="WN2 2AL"/>
    <n v="5"/>
    <n v="424"/>
    <d v="2020-12-09T00:00:00"/>
    <d v="2021-01-24T00:00:00"/>
  </r>
  <r>
    <s v="Ofsted School Webpage"/>
    <n v="101126"/>
    <n v="2133418"/>
    <s v="St Barnabas' CofE Primary School"/>
    <x v="0"/>
    <s v="Voluntary Aided School"/>
    <s v="NULL"/>
    <s v="Not applicable"/>
    <s v="Does not have a sixth form"/>
    <s v="Church of England"/>
    <s v="Does not apply"/>
    <s v="Christian"/>
    <s v="London"/>
    <x v="3"/>
    <x v="146"/>
    <s v="Cities of London and Westminster"/>
    <s v="SW1W 8PF"/>
    <n v="4"/>
    <n v="144"/>
    <d v="2020-12-09T00:00:00"/>
    <d v="2021-01-17T00:00:00"/>
  </r>
  <r>
    <s v="Ofsted School Webpage"/>
    <n v="104714"/>
    <n v="3414793"/>
    <s v="Cardinal Heenan Catholic High School"/>
    <x v="1"/>
    <s v="Voluntary Aided School"/>
    <s v="NULL"/>
    <s v="Non-selective"/>
    <s v="Has a sixth form"/>
    <s v="Roman Catholic"/>
    <s v="Does not apply"/>
    <s v="Christian"/>
    <s v="North West"/>
    <x v="4"/>
    <x v="29"/>
    <s v="Liverpool, West Derby"/>
    <s v="L12 9HZ"/>
    <n v="5"/>
    <n v="1306"/>
    <d v="2020-12-09T00:00:00"/>
    <d v="2021-01-17T00:00:00"/>
  </r>
  <r>
    <s v="Ofsted School Webpage"/>
    <n v="114538"/>
    <n v="8463305"/>
    <s v="St Bartholomew's CofE Primary School"/>
    <x v="0"/>
    <s v="Voluntary Aided School"/>
    <s v="NULL"/>
    <s v="Not applicable"/>
    <s v="Does not have a sixth form"/>
    <s v="Church of England"/>
    <s v="Does not apply"/>
    <s v="Christian"/>
    <s v="South East"/>
    <x v="2"/>
    <x v="84"/>
    <s v="Brighton, Pavilion"/>
    <s v="BN1 4GP"/>
    <n v="4"/>
    <n v="150"/>
    <d v="2020-12-09T00:00:00"/>
    <d v="2021-01-19T00:00:00"/>
  </r>
  <r>
    <s v="Ofsted School Webpage"/>
    <n v="144050"/>
    <n v="3802036"/>
    <s v="Byron Primary School"/>
    <x v="0"/>
    <s v="Academy Converter"/>
    <d v="2018-07-01T00:00:00"/>
    <s v="Not applicable"/>
    <s v="Does not have a sixth form"/>
    <s v="Does not apply"/>
    <s v="Does not apply"/>
    <s v="Non-denominational"/>
    <s v="North East, Yorkshire and the Humber"/>
    <x v="0"/>
    <x v="103"/>
    <s v="Bradford East"/>
    <s v="BD3 0AB"/>
    <n v="5"/>
    <n v="694"/>
    <d v="2020-12-09T00:00:00"/>
    <d v="2021-01-27T00:00:00"/>
  </r>
  <r>
    <s v="Ofsted School Webpage"/>
    <n v="143432"/>
    <n v="3032009"/>
    <s v="Upland Primary School"/>
    <x v="0"/>
    <s v="Academy Converter"/>
    <d v="2016-10-01T00:00:00"/>
    <s v="Not applicable"/>
    <s v="Does not have a sixth form"/>
    <s v="Does not apply"/>
    <s v="Does not apply"/>
    <s v="Non-denominational"/>
    <s v="London"/>
    <x v="3"/>
    <x v="77"/>
    <s v="Bexleyheath and Crayford"/>
    <s v="DA7 4DG"/>
    <n v="3"/>
    <n v="516"/>
    <d v="2020-12-09T00:00:00"/>
    <d v="2021-01-24T00:00:00"/>
  </r>
  <r>
    <s v="Ofsted School Webpage"/>
    <n v="142825"/>
    <n v="3804029"/>
    <s v="Buttershaw Business &amp; Enterprise College Academy"/>
    <x v="1"/>
    <s v="Academy Sponsor Led"/>
    <d v="2016-09-01T00:00:00"/>
    <s v="Non-selective"/>
    <s v="Has a sixth form"/>
    <s v="None"/>
    <s v="Unknown"/>
    <s v="Non-denominational"/>
    <s v="North East, Yorkshire and the Humber"/>
    <x v="0"/>
    <x v="103"/>
    <s v="Bradford South"/>
    <s v="BD6 3PX"/>
    <n v="5"/>
    <n v="1407"/>
    <d v="2020-12-09T00:00:00"/>
    <d v="2021-02-01T00:00:00"/>
  </r>
  <r>
    <s v="Ofsted School Webpage"/>
    <n v="144494"/>
    <n v="3524010"/>
    <s v="The East Manchester Academy"/>
    <x v="1"/>
    <s v="Academy Sponsor Led"/>
    <d v="2016-09-01T00:00:00"/>
    <s v="Unknown"/>
    <s v="Does not have a sixth form"/>
    <s v="None"/>
    <s v="None"/>
    <s v="Non-denominational"/>
    <s v="North West"/>
    <x v="4"/>
    <x v="4"/>
    <s v="Manchester Central"/>
    <s v="M11 3DS"/>
    <n v="5"/>
    <n v="990"/>
    <d v="2020-12-09T00:00:00"/>
    <d v="2021-01-20T00:00:00"/>
  </r>
  <r>
    <s v="Ofsted School Webpage"/>
    <n v="106346"/>
    <n v="3583310"/>
    <s v="Our Lady of Lourdes Catholic School"/>
    <x v="0"/>
    <s v="Voluntary Aided School"/>
    <s v="NULL"/>
    <s v="Not applicable"/>
    <s v="Does not have a sixth form"/>
    <s v="Roman Catholic"/>
    <s v="Does not apply"/>
    <s v="Christian"/>
    <s v="North West"/>
    <x v="4"/>
    <x v="106"/>
    <s v="Stretford and Urmston"/>
    <s v="M31 4PJ"/>
    <n v="5"/>
    <n v="211"/>
    <d v="2020-12-10T00:00:00"/>
    <d v="2021-01-17T00:00:00"/>
  </r>
  <r>
    <s v="Ofsted School Webpage"/>
    <n v="118551"/>
    <n v="8862632"/>
    <s v="Sevenoaks Primary School"/>
    <x v="0"/>
    <s v="Community School"/>
    <s v="NULL"/>
    <s v="Not applicable"/>
    <s v="Does not have a sixth form"/>
    <s v="Does not apply"/>
    <s v="Does not apply"/>
    <s v="Non-denominational"/>
    <s v="South East"/>
    <x v="2"/>
    <x v="7"/>
    <s v="Sevenoaks"/>
    <s v="TN13 3LB"/>
    <n v="1"/>
    <n v="621"/>
    <d v="2020-12-10T00:00:00"/>
    <d v="2021-01-13T00:00:00"/>
  </r>
  <r>
    <s v="Ofsted School Webpage"/>
    <n v="109583"/>
    <n v="8212276"/>
    <s v="Someries Infant School"/>
    <x v="0"/>
    <s v="Foundation School"/>
    <s v="NULL"/>
    <s v="Not applicable"/>
    <s v="Does not have a sixth form"/>
    <s v="Does not apply"/>
    <s v="Does not apply"/>
    <s v="Non-denominational"/>
    <s v="East of England"/>
    <x v="7"/>
    <x v="32"/>
    <s v="Luton South"/>
    <s v="LU2 8AH"/>
    <n v="3"/>
    <n v="220"/>
    <d v="2020-12-10T00:00:00"/>
    <d v="2021-01-17T00:00:00"/>
  </r>
  <r>
    <s v="Ofsted School Webpage"/>
    <n v="117285"/>
    <n v="9192341"/>
    <s v="Martins Wood Primary School"/>
    <x v="0"/>
    <s v="Community School"/>
    <s v="NULL"/>
    <s v="Not applicable"/>
    <s v="Does not have a sixth form"/>
    <s v="Does not apply"/>
    <s v="Does not apply"/>
    <s v="Non-denominational"/>
    <s v="East of England"/>
    <x v="7"/>
    <x v="56"/>
    <s v="Stevenage"/>
    <s v="SG1 5RT"/>
    <n v="3"/>
    <n v="719"/>
    <d v="2020-12-10T00:00:00"/>
    <d v="2021-01-17T00:00:00"/>
  </r>
  <r>
    <s v="Ofsted School Webpage"/>
    <n v="114787"/>
    <n v="8822124"/>
    <s v="Barons Court Primary School and Nursery"/>
    <x v="0"/>
    <s v="Community School"/>
    <s v="NULL"/>
    <s v="Not applicable"/>
    <s v="Does not have a sixth form"/>
    <s v="Does not apply"/>
    <s v="Does not apply"/>
    <s v="Non-denominational"/>
    <s v="East of England"/>
    <x v="7"/>
    <x v="130"/>
    <s v="Rochford and Southend East"/>
    <s v="SS0 7PJ"/>
    <n v="4"/>
    <n v="297"/>
    <d v="2020-12-10T00:00:00"/>
    <d v="2021-01-21T00:00:00"/>
  </r>
  <r>
    <s v="Ofsted School Webpage"/>
    <n v="105039"/>
    <n v="3442252"/>
    <s v="Fender Primary School"/>
    <x v="0"/>
    <s v="Community School"/>
    <s v="NULL"/>
    <s v="Not applicable"/>
    <s v="Does not have a sixth form"/>
    <s v="Does not apply"/>
    <s v="Does not apply"/>
    <s v="Non-denominational"/>
    <s v="North West"/>
    <x v="4"/>
    <x v="92"/>
    <s v="Wirral West"/>
    <s v="CH49 8HB"/>
    <n v="5"/>
    <n v="251"/>
    <d v="2020-12-10T00:00:00"/>
    <d v="2021-01-20T00:00:00"/>
  </r>
  <r>
    <s v="Ofsted School Webpage"/>
    <n v="133335"/>
    <n v="3413023"/>
    <s v="Broad Square Community Primary School"/>
    <x v="0"/>
    <s v="Community School"/>
    <d v="2002-09-01T00:00:00"/>
    <s v="Not applicable"/>
    <s v="Does not have a sixth form"/>
    <s v="Does not apply"/>
    <s v="Does not apply"/>
    <s v="Non-denominational"/>
    <s v="North West"/>
    <x v="4"/>
    <x v="29"/>
    <s v="Liverpool, Walton"/>
    <s v="L11 1BS"/>
    <n v="5"/>
    <n v="445"/>
    <d v="2020-12-10T00:00:00"/>
    <d v="2021-01-17T00:00:00"/>
  </r>
  <r>
    <s v="Ofsted School Webpage"/>
    <n v="115866"/>
    <n v="8502023"/>
    <s v="Braishfield Primary School"/>
    <x v="0"/>
    <s v="Community School"/>
    <s v="NULL"/>
    <s v="Not applicable"/>
    <s v="Does not have a sixth form"/>
    <s v="Does not apply"/>
    <s v="Does not apply"/>
    <s v="Non-denominational"/>
    <s v="South East"/>
    <x v="2"/>
    <x v="2"/>
    <s v="Romsey and Southampton North"/>
    <s v="SO51 0QF"/>
    <n v="2"/>
    <n v="100"/>
    <d v="2020-12-10T00:00:00"/>
    <d v="2021-01-17T00:00:00"/>
  </r>
  <r>
    <s v="Ofsted School Webpage"/>
    <n v="103972"/>
    <n v="3332166"/>
    <s v="Grove Vale Primary School"/>
    <x v="0"/>
    <s v="Community School"/>
    <s v="NULL"/>
    <s v="Not applicable"/>
    <s v="Does not have a sixth form"/>
    <s v="Does not apply"/>
    <s v="Does not apply"/>
    <s v="Non-denominational"/>
    <s v="West Midlands"/>
    <x v="1"/>
    <x v="10"/>
    <s v="West Bromwich East"/>
    <s v="B43 6AL"/>
    <n v="3"/>
    <n v="422"/>
    <d v="2020-12-10T00:00:00"/>
    <d v="2021-01-17T00:00:00"/>
  </r>
  <r>
    <s v="Ofsted School Webpage"/>
    <n v="105915"/>
    <n v="3552076"/>
    <s v="Moorfield Community Primary School"/>
    <x v="0"/>
    <s v="Community School"/>
    <s v="NULL"/>
    <s v="Not applicable"/>
    <s v="Does not have a sixth form"/>
    <s v="Does not apply"/>
    <s v="Does not apply"/>
    <s v="Non-denominational"/>
    <s v="North West"/>
    <x v="4"/>
    <x v="142"/>
    <s v="Worsley and Eccles South"/>
    <s v="M44 6GX"/>
    <n v="5"/>
    <n v="146"/>
    <d v="2020-12-10T00:00:00"/>
    <d v="2021-01-17T00:00:00"/>
  </r>
  <r>
    <s v="Ofsted School Webpage"/>
    <n v="111135"/>
    <n v="8772313"/>
    <s v="Oughtrington Community Primary School"/>
    <x v="0"/>
    <s v="Community School"/>
    <s v="NULL"/>
    <s v="Not applicable"/>
    <s v="Does not have a sixth form"/>
    <s v="Does not apply"/>
    <s v="Does not apply"/>
    <s v="Non-denominational"/>
    <s v="North West"/>
    <x v="4"/>
    <x v="97"/>
    <s v="Warrington South"/>
    <s v="WA13 9EH"/>
    <n v="1"/>
    <n v="416"/>
    <d v="2020-12-10T00:00:00"/>
    <d v="2021-01-24T00:00:00"/>
  </r>
  <r>
    <s v="Ofsted School Webpage"/>
    <n v="124565"/>
    <n v="9352055"/>
    <s v="Paddocks Primary School"/>
    <x v="0"/>
    <s v="Community School"/>
    <s v="NULL"/>
    <s v="Not applicable"/>
    <s v="Does not have a sixth form"/>
    <s v="Does not apply"/>
    <s v="Does not apply"/>
    <s v="Non-denominational"/>
    <s v="East of England"/>
    <x v="7"/>
    <x v="14"/>
    <s v="West Suffolk"/>
    <s v="CB8 0DL"/>
    <n v="2"/>
    <n v="199"/>
    <d v="2020-12-10T00:00:00"/>
    <d v="2021-01-17T00:00:00"/>
  </r>
  <r>
    <s v="Ofsted School Webpage"/>
    <n v="131851"/>
    <n v="8212002"/>
    <s v="Leagrave Primary School"/>
    <x v="0"/>
    <s v="Foundation School"/>
    <d v="1998-09-01T00:00:00"/>
    <s v="Not applicable"/>
    <s v="Does not have a sixth form"/>
    <s v="Does not apply"/>
    <s v="Does not apply"/>
    <s v="Non-denominational"/>
    <s v="East of England"/>
    <x v="7"/>
    <x v="32"/>
    <s v="Luton North"/>
    <s v="LU4 9ND"/>
    <n v="5"/>
    <n v="449"/>
    <d v="2020-12-10T00:00:00"/>
    <d v="2021-01-17T00:00:00"/>
  </r>
  <r>
    <s v="Ofsted School Webpage"/>
    <n v="137310"/>
    <n v="8825447"/>
    <s v="St Thomas More High School"/>
    <x v="1"/>
    <s v="Academy Converter"/>
    <d v="2011-08-17T00:00:00"/>
    <s v="Non-selective"/>
    <s v="Has a sixth form"/>
    <s v="Roman Catholic"/>
    <s v="Does not apply"/>
    <s v="Christian"/>
    <s v="East of England"/>
    <x v="7"/>
    <x v="130"/>
    <s v="Southend West"/>
    <s v="SS0 0BW"/>
    <n v="3"/>
    <n v="1074"/>
    <d v="2020-12-10T00:00:00"/>
    <d v="2021-01-17T00:00:00"/>
  </r>
  <r>
    <s v="Ofsted School Webpage"/>
    <n v="140958"/>
    <n v="3314002"/>
    <s v="Eden Girls' School Coventry"/>
    <x v="1"/>
    <s v="Free School"/>
    <d v="2014-09-01T00:00:00"/>
    <s v="Unknown"/>
    <s v="Has a sixth form"/>
    <s v="Muslim"/>
    <s v="None"/>
    <s v="Muslim"/>
    <s v="West Midlands"/>
    <x v="1"/>
    <x v="15"/>
    <s v="Coventry North East"/>
    <s v="CV1 4FS"/>
    <n v="5"/>
    <n v="578"/>
    <d v="2020-12-10T00:00:00"/>
    <d v="2021-01-20T00:00:00"/>
  </r>
  <r>
    <s v="Ofsted School Webpage"/>
    <n v="136185"/>
    <n v="8766905"/>
    <s v="Ormiston Bolingbroke Academy"/>
    <x v="1"/>
    <s v="Academy Sponsor Led"/>
    <d v="2010-09-01T00:00:00"/>
    <s v="Non-selective"/>
    <s v="Has a sixth form"/>
    <s v="Does not apply"/>
    <s v="None"/>
    <s v="Non-denominational"/>
    <s v="North West"/>
    <x v="4"/>
    <x v="141"/>
    <s v="Weaver Vale"/>
    <s v="WA7 6EP"/>
    <n v="5"/>
    <n v="1164"/>
    <d v="2020-12-10T00:00:00"/>
    <d v="2021-01-17T00:00:00"/>
  </r>
  <r>
    <s v="Ofsted School Webpage"/>
    <n v="137639"/>
    <n v="8733063"/>
    <s v="Buckden CofE Primary School"/>
    <x v="0"/>
    <s v="Academy Converter"/>
    <d v="2011-11-01T00:00:00"/>
    <s v="Not applicable"/>
    <s v="Not applicable"/>
    <s v="Church of England"/>
    <s v="Does not apply"/>
    <s v="Christian"/>
    <s v="East of England"/>
    <x v="7"/>
    <x v="43"/>
    <s v="Huntingdon"/>
    <s v="PE19 5TT"/>
    <n v="1"/>
    <n v="311"/>
    <d v="2020-12-10T00:00:00"/>
    <d v="2021-01-21T00:00:00"/>
  </r>
  <r>
    <s v="Ofsted School Webpage"/>
    <n v="109707"/>
    <n v="8215403"/>
    <s v="Ashcroft High School"/>
    <x v="1"/>
    <s v="Foundation School"/>
    <s v="NULL"/>
    <s v="Non-selective"/>
    <s v="Does not have a sixth form"/>
    <s v="None"/>
    <s v="Does not apply"/>
    <s v="Non-denominational"/>
    <s v="East of England"/>
    <x v="7"/>
    <x v="32"/>
    <s v="Luton South"/>
    <s v="LU2 9AG"/>
    <n v="4"/>
    <n v="1175"/>
    <d v="2020-12-10T00:00:00"/>
    <d v="2021-01-21T00:00:00"/>
  </r>
  <r>
    <s v="Ofsted School Webpage"/>
    <n v="112276"/>
    <n v="9093115"/>
    <s v="Threlkeld CofE Primary School"/>
    <x v="0"/>
    <s v="Voluntary Controlled School"/>
    <s v="NULL"/>
    <s v="Not applicable"/>
    <s v="Does not have a sixth form"/>
    <s v="Church of England"/>
    <s v="Does not apply"/>
    <s v="Christian"/>
    <s v="North West"/>
    <x v="4"/>
    <x v="25"/>
    <s v="Penrith and The Border"/>
    <s v="CA12 4RX"/>
    <n v="1"/>
    <n v="53"/>
    <d v="2020-12-10T00:00:00"/>
    <d v="2021-01-24T00:00:00"/>
  </r>
  <r>
    <s v="Ofsted School Webpage"/>
    <n v="141392"/>
    <n v="3524006"/>
    <s v="Newall Green High School"/>
    <x v="1"/>
    <s v="Academy Sponsor Led"/>
    <d v="2015-04-01T00:00:00"/>
    <s v="Non-selective"/>
    <s v="Does not have a sixth form"/>
    <s v="None"/>
    <s v="None"/>
    <s v="Non-denominational"/>
    <s v="North West"/>
    <x v="4"/>
    <x v="4"/>
    <s v="Wythenshawe and Sale East"/>
    <s v="M23 2SX"/>
    <n v="5"/>
    <n v="430"/>
    <d v="2020-12-10T00:00:00"/>
    <d v="2021-01-17T00:00:00"/>
  </r>
  <r>
    <s v="Ofsted School Webpage"/>
    <n v="121067"/>
    <n v="9263096"/>
    <s v="Scarning Voluntary Controlled Primary School"/>
    <x v="0"/>
    <s v="Voluntary Controlled School"/>
    <s v="NULL"/>
    <s v="Not applicable"/>
    <s v="Does not have a sixth form"/>
    <s v="None"/>
    <s v="Does not apply"/>
    <s v="Non-denominational"/>
    <s v="East of England"/>
    <x v="7"/>
    <x v="33"/>
    <s v="Mid Norfolk"/>
    <s v="NR19 2PW"/>
    <n v="2"/>
    <n v="395"/>
    <d v="2020-12-10T00:00:00"/>
    <d v="2021-01-21T00:00:00"/>
  </r>
  <r>
    <s v="Ofsted School Webpage"/>
    <n v="103632"/>
    <n v="3307062"/>
    <s v="Lindsworth School"/>
    <x v="2"/>
    <s v="Community Special School"/>
    <s v="NULL"/>
    <s v="Not applicable"/>
    <s v="Not applicable"/>
    <s v="Does not apply"/>
    <s v="Does not apply"/>
    <s v="Non-denominational"/>
    <s v="West Midlands"/>
    <x v="1"/>
    <x v="8"/>
    <s v="Birmingham, Selly Oak"/>
    <s v="B30 3QA"/>
    <n v="5"/>
    <n v="119"/>
    <d v="2020-12-10T00:00:00"/>
    <d v="2021-01-17T00:00:00"/>
  </r>
  <r>
    <s v="Ofsted School Webpage"/>
    <n v="140121"/>
    <n v="9351113"/>
    <s v="The Attic"/>
    <x v="3"/>
    <s v="Pupil Referral Unit"/>
    <d v="2013-09-01T00:00:00"/>
    <s v="Not applicable"/>
    <s v="Not applicable"/>
    <s v="Does not apply"/>
    <s v="Does not apply"/>
    <s v="Non-denominational"/>
    <s v="East of England"/>
    <x v="7"/>
    <x v="14"/>
    <s v="Waveney"/>
    <s v="NR35 1JS"/>
    <n v="3"/>
    <n v="14"/>
    <d v="2020-12-10T00:00:00"/>
    <d v="2021-01-17T00:00:00"/>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r>
    <m/>
    <m/>
    <m/>
    <m/>
    <x v="5"/>
    <m/>
    <m/>
    <m/>
    <m/>
    <m/>
    <m/>
    <m/>
    <m/>
    <x v="9"/>
    <x v="148"/>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D46075-1FB5-4707-9748-35DA15DF0251}"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A12" firstHeaderRow="1" firstDataRow="1" firstDataCol="0"/>
  <pivotFields count="21">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Count of URN" fld="1" subtotal="count" baseField="0" baseItem="0"/>
  </dataFields>
  <formats count="5">
    <format dxfId="5">
      <pivotArea type="all" dataOnly="0" outline="0" fieldPosition="0"/>
    </format>
    <format dxfId="4">
      <pivotArea outline="0" collapsedLevelsAreSubtotals="1" fieldPosition="0"/>
    </format>
    <format dxfId="3">
      <pivotArea dataOnly="0" labelOnly="1" outline="0" axis="axisValues" fieldPosition="0"/>
    </format>
    <format dxfId="2">
      <pivotArea outline="0" collapsedLevelsAreSubtotals="1" fieldPosition="0"/>
    </format>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C3634D-A031-457C-B22D-793E5BE0A69F}"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164" firstHeaderRow="1" firstDataRow="2" firstDataCol="1"/>
  <pivotFields count="21">
    <pivotField showAll="0"/>
    <pivotField showAll="0"/>
    <pivotField showAll="0"/>
    <pivotField dataField="1" showAll="0"/>
    <pivotField axis="axisCol" showAll="0">
      <items count="7">
        <item x="4"/>
        <item x="0"/>
        <item x="1"/>
        <item x="2"/>
        <item x="5"/>
        <item x="3"/>
        <item t="default"/>
      </items>
    </pivotField>
    <pivotField showAll="0"/>
    <pivotField showAll="0"/>
    <pivotField showAll="0"/>
    <pivotField showAll="0"/>
    <pivotField showAll="0"/>
    <pivotField showAll="0"/>
    <pivotField showAll="0"/>
    <pivotField showAll="0"/>
    <pivotField axis="axisRow" showAll="0">
      <items count="11">
        <item x="6"/>
        <item x="7"/>
        <item x="3"/>
        <item x="8"/>
        <item x="4"/>
        <item x="2"/>
        <item x="5"/>
        <item x="1"/>
        <item x="9"/>
        <item x="0"/>
        <item t="default"/>
      </items>
    </pivotField>
    <pivotField axis="axisRow" showAll="0">
      <items count="150">
        <item x="50"/>
        <item x="38"/>
        <item x="43"/>
        <item x="6"/>
        <item x="87"/>
        <item x="57"/>
        <item x="2"/>
        <item x="46"/>
        <item x="19"/>
        <item x="3"/>
        <item x="7"/>
        <item x="27"/>
        <item x="79"/>
        <item x="29"/>
        <item x="4"/>
        <item x="53"/>
        <item x="83"/>
        <item x="41"/>
        <item x="23"/>
        <item x="58"/>
        <item x="51"/>
        <item x="10"/>
        <item x="36"/>
        <item x="44"/>
        <item x="48"/>
        <item x="73"/>
        <item x="1"/>
        <item x="148"/>
        <item x="0"/>
        <item x="5"/>
        <item x="11"/>
        <item x="12"/>
        <item x="8"/>
        <item x="9"/>
        <item x="15"/>
        <item x="16"/>
        <item x="18"/>
        <item x="14"/>
        <item x="17"/>
        <item x="13"/>
        <item x="22"/>
        <item x="20"/>
        <item x="21"/>
        <item x="28"/>
        <item x="25"/>
        <item x="24"/>
        <item x="30"/>
        <item x="31"/>
        <item x="26"/>
        <item x="32"/>
        <item x="37"/>
        <item x="35"/>
        <item x="39"/>
        <item x="34"/>
        <item x="42"/>
        <item x="49"/>
        <item x="45"/>
        <item x="47"/>
        <item x="56"/>
        <item x="33"/>
        <item x="40"/>
        <item x="55"/>
        <item x="54"/>
        <item x="52"/>
        <item x="59"/>
        <item x="61"/>
        <item x="62"/>
        <item x="63"/>
        <item x="60"/>
        <item x="65"/>
        <item x="69"/>
        <item x="67"/>
        <item x="66"/>
        <item x="64"/>
        <item x="68"/>
        <item x="74"/>
        <item x="77"/>
        <item x="72"/>
        <item x="71"/>
        <item x="70"/>
        <item x="78"/>
        <item x="76"/>
        <item x="80"/>
        <item x="75"/>
        <item x="81"/>
        <item x="84"/>
        <item x="82"/>
        <item x="86"/>
        <item x="85"/>
        <item x="88"/>
        <item x="89"/>
        <item x="90"/>
        <item x="91"/>
        <item x="92"/>
        <item x="95"/>
        <item x="94"/>
        <item x="93"/>
        <item x="96"/>
        <item x="97"/>
        <item x="100"/>
        <item x="98"/>
        <item x="99"/>
        <item x="103"/>
        <item x="101"/>
        <item x="102"/>
        <item x="107"/>
        <item x="104"/>
        <item x="105"/>
        <item x="106"/>
        <item x="108"/>
        <item x="109"/>
        <item x="110"/>
        <item x="116"/>
        <item x="112"/>
        <item x="113"/>
        <item x="114"/>
        <item x="115"/>
        <item x="111"/>
        <item x="120"/>
        <item x="118"/>
        <item x="119"/>
        <item x="117"/>
        <item x="122"/>
        <item x="121"/>
        <item x="124"/>
        <item x="125"/>
        <item x="128"/>
        <item x="126"/>
        <item x="127"/>
        <item x="123"/>
        <item x="130"/>
        <item x="131"/>
        <item x="133"/>
        <item x="135"/>
        <item x="136"/>
        <item x="138"/>
        <item x="132"/>
        <item x="137"/>
        <item x="134"/>
        <item x="129"/>
        <item x="139"/>
        <item x="140"/>
        <item x="141"/>
        <item x="142"/>
        <item x="143"/>
        <item x="144"/>
        <item x="145"/>
        <item x="146"/>
        <item x="147"/>
        <item t="default"/>
      </items>
    </pivotField>
    <pivotField showAll="0"/>
    <pivotField showAll="0"/>
    <pivotField showAll="0"/>
    <pivotField showAll="0"/>
    <pivotField numFmtId="14" showAll="0"/>
    <pivotField numFmtId="14" showAll="0"/>
  </pivotFields>
  <rowFields count="2">
    <field x="13"/>
    <field x="14"/>
  </rowFields>
  <rowItems count="160">
    <i>
      <x/>
    </i>
    <i r="1">
      <x v="3"/>
    </i>
    <i r="1">
      <x v="12"/>
    </i>
    <i r="1">
      <x v="20"/>
    </i>
    <i r="1">
      <x v="36"/>
    </i>
    <i r="1">
      <x v="55"/>
    </i>
    <i r="1">
      <x v="70"/>
    </i>
    <i r="1">
      <x v="73"/>
    </i>
    <i r="1">
      <x v="113"/>
    </i>
    <i r="1">
      <x v="127"/>
    </i>
    <i>
      <x v="1"/>
    </i>
    <i r="1">
      <x/>
    </i>
    <i r="1">
      <x v="2"/>
    </i>
    <i r="1">
      <x v="23"/>
    </i>
    <i r="1">
      <x v="37"/>
    </i>
    <i r="1">
      <x v="39"/>
    </i>
    <i r="1">
      <x v="49"/>
    </i>
    <i r="1">
      <x v="58"/>
    </i>
    <i r="1">
      <x v="59"/>
    </i>
    <i r="1">
      <x v="83"/>
    </i>
    <i r="1">
      <x v="116"/>
    </i>
    <i r="1">
      <x v="130"/>
    </i>
    <i>
      <x v="2"/>
    </i>
    <i r="1">
      <x v="5"/>
    </i>
    <i r="1">
      <x v="7"/>
    </i>
    <i r="1">
      <x v="9"/>
    </i>
    <i r="1">
      <x v="31"/>
    </i>
    <i r="1">
      <x v="40"/>
    </i>
    <i r="1">
      <x v="45"/>
    </i>
    <i r="1">
      <x v="50"/>
    </i>
    <i r="1">
      <x v="72"/>
    </i>
    <i r="1">
      <x v="76"/>
    </i>
    <i r="1">
      <x v="77"/>
    </i>
    <i r="1">
      <x v="79"/>
    </i>
    <i r="1">
      <x v="84"/>
    </i>
    <i r="1">
      <x v="89"/>
    </i>
    <i r="1">
      <x v="95"/>
    </i>
    <i r="1">
      <x v="103"/>
    </i>
    <i r="1">
      <x v="105"/>
    </i>
    <i r="1">
      <x v="107"/>
    </i>
    <i r="1">
      <x v="119"/>
    </i>
    <i r="1">
      <x v="120"/>
    </i>
    <i r="1">
      <x v="123"/>
    </i>
    <i r="1">
      <x v="124"/>
    </i>
    <i r="1">
      <x v="126"/>
    </i>
    <i r="1">
      <x v="128"/>
    </i>
    <i r="1">
      <x v="132"/>
    </i>
    <i r="1">
      <x v="134"/>
    </i>
    <i r="1">
      <x v="136"/>
    </i>
    <i r="1">
      <x v="138"/>
    </i>
    <i r="1">
      <x v="144"/>
    </i>
    <i r="1">
      <x v="145"/>
    </i>
    <i r="1">
      <x v="146"/>
    </i>
    <i r="1">
      <x v="147"/>
    </i>
    <i r="1">
      <x v="148"/>
    </i>
    <i>
      <x v="3"/>
    </i>
    <i r="1">
      <x v="16"/>
    </i>
    <i r="1">
      <x v="38"/>
    </i>
    <i r="1">
      <x v="52"/>
    </i>
    <i r="1">
      <x v="60"/>
    </i>
    <i r="1">
      <x v="62"/>
    </i>
    <i r="1">
      <x v="64"/>
    </i>
    <i r="1">
      <x v="65"/>
    </i>
    <i r="1">
      <x v="88"/>
    </i>
    <i r="1">
      <x v="104"/>
    </i>
    <i r="1">
      <x v="114"/>
    </i>
    <i r="1">
      <x v="115"/>
    </i>
    <i r="1">
      <x v="121"/>
    </i>
    <i>
      <x v="4"/>
    </i>
    <i r="1">
      <x v="11"/>
    </i>
    <i r="1">
      <x v="13"/>
    </i>
    <i r="1">
      <x v="14"/>
    </i>
    <i r="1">
      <x v="17"/>
    </i>
    <i r="1">
      <x v="33"/>
    </i>
    <i r="1">
      <x v="35"/>
    </i>
    <i r="1">
      <x v="41"/>
    </i>
    <i r="1">
      <x v="44"/>
    </i>
    <i r="1">
      <x v="63"/>
    </i>
    <i r="1">
      <x v="67"/>
    </i>
    <i r="1">
      <x v="91"/>
    </i>
    <i r="1">
      <x v="92"/>
    </i>
    <i r="1">
      <x v="93"/>
    </i>
    <i r="1">
      <x v="94"/>
    </i>
    <i r="1">
      <x v="96"/>
    </i>
    <i r="1">
      <x v="97"/>
    </i>
    <i r="1">
      <x v="98"/>
    </i>
    <i r="1">
      <x v="108"/>
    </i>
    <i r="1">
      <x v="112"/>
    </i>
    <i r="1">
      <x v="129"/>
    </i>
    <i r="1">
      <x v="140"/>
    </i>
    <i r="1">
      <x v="142"/>
    </i>
    <i r="1">
      <x v="143"/>
    </i>
    <i>
      <x v="5"/>
    </i>
    <i r="1">
      <x v="6"/>
    </i>
    <i r="1">
      <x v="10"/>
    </i>
    <i r="1">
      <x v="15"/>
    </i>
    <i r="1">
      <x v="19"/>
    </i>
    <i r="1">
      <x v="30"/>
    </i>
    <i r="1">
      <x v="42"/>
    </i>
    <i r="1">
      <x v="46"/>
    </i>
    <i r="1">
      <x v="61"/>
    </i>
    <i r="1">
      <x v="71"/>
    </i>
    <i r="1">
      <x v="81"/>
    </i>
    <i r="1">
      <x v="82"/>
    </i>
    <i r="1">
      <x v="85"/>
    </i>
    <i r="1">
      <x v="86"/>
    </i>
    <i r="1">
      <x v="87"/>
    </i>
    <i r="1">
      <x v="118"/>
    </i>
    <i r="1">
      <x v="131"/>
    </i>
    <i r="1">
      <x v="133"/>
    </i>
    <i r="1">
      <x v="137"/>
    </i>
    <i>
      <x v="6"/>
    </i>
    <i r="1">
      <x v="1"/>
    </i>
    <i r="1">
      <x v="4"/>
    </i>
    <i r="1">
      <x v="18"/>
    </i>
    <i r="1">
      <x v="24"/>
    </i>
    <i r="1">
      <x v="29"/>
    </i>
    <i r="1">
      <x v="43"/>
    </i>
    <i r="1">
      <x v="53"/>
    </i>
    <i r="1">
      <x v="54"/>
    </i>
    <i r="1">
      <x v="66"/>
    </i>
    <i r="1">
      <x v="78"/>
    </i>
    <i r="1">
      <x v="100"/>
    </i>
    <i r="1">
      <x v="109"/>
    </i>
    <i r="1">
      <x v="117"/>
    </i>
    <i r="1">
      <x v="125"/>
    </i>
    <i>
      <x v="7"/>
    </i>
    <i r="1">
      <x v="8"/>
    </i>
    <i r="1">
      <x v="21"/>
    </i>
    <i r="1">
      <x v="22"/>
    </i>
    <i r="1">
      <x v="25"/>
    </i>
    <i r="1">
      <x v="26"/>
    </i>
    <i r="1">
      <x v="32"/>
    </i>
    <i r="1">
      <x v="34"/>
    </i>
    <i r="1">
      <x v="56"/>
    </i>
    <i r="1">
      <x v="69"/>
    </i>
    <i r="1">
      <x v="75"/>
    </i>
    <i r="1">
      <x v="80"/>
    </i>
    <i r="1">
      <x v="90"/>
    </i>
    <i r="1">
      <x v="99"/>
    </i>
    <i r="1">
      <x v="111"/>
    </i>
    <i>
      <x v="8"/>
    </i>
    <i r="1">
      <x v="27"/>
    </i>
    <i>
      <x v="9"/>
    </i>
    <i r="1">
      <x v="28"/>
    </i>
    <i r="1">
      <x v="47"/>
    </i>
    <i r="1">
      <x v="48"/>
    </i>
    <i r="1">
      <x v="51"/>
    </i>
    <i r="1">
      <x v="57"/>
    </i>
    <i r="1">
      <x v="68"/>
    </i>
    <i r="1">
      <x v="74"/>
    </i>
    <i r="1">
      <x v="101"/>
    </i>
    <i r="1">
      <x v="102"/>
    </i>
    <i r="1">
      <x v="106"/>
    </i>
    <i r="1">
      <x v="110"/>
    </i>
    <i r="1">
      <x v="122"/>
    </i>
    <i r="1">
      <x v="135"/>
    </i>
    <i r="1">
      <x v="139"/>
    </i>
    <i r="1">
      <x v="141"/>
    </i>
    <i t="grand">
      <x/>
    </i>
  </rowItems>
  <colFields count="1">
    <field x="4"/>
  </colFields>
  <colItems count="7">
    <i>
      <x/>
    </i>
    <i>
      <x v="1"/>
    </i>
    <i>
      <x v="2"/>
    </i>
    <i>
      <x v="3"/>
    </i>
    <i>
      <x v="4"/>
    </i>
    <i>
      <x v="5"/>
    </i>
    <i t="grand">
      <x/>
    </i>
  </colItems>
  <dataFields count="1">
    <dataField name="Count of School nam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psi@nationalarchives.gsi.gov.uk"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statistics/announcements?utf8=%E2%9C%93&amp;organisations%5B%5D=ofsted" TargetMode="External"/><Relationship Id="rId1" Type="http://schemas.openxmlformats.org/officeDocument/2006/relationships/hyperlink" Target="mailto:pressenquiries@ofsted.gov.uk?subject=Schools%20Data%20and%20Analysis%20Transparency%20Data" TargetMode="External"/><Relationship Id="rId6" Type="http://schemas.openxmlformats.org/officeDocument/2006/relationships/hyperlink" Target="https://www.gov.uk/government/collections/maintained-schools-and-academies-inspections-and-outcomes-official-statistics" TargetMode="External"/><Relationship Id="rId5" Type="http://schemas.openxmlformats.org/officeDocument/2006/relationships/hyperlink" Target="https://www.gov.uk/government/statistical-data-sets/monthly-management-information-ofsteds-school-inspections-outcomes" TargetMode="External"/><Relationship Id="rId4" Type="http://schemas.openxmlformats.org/officeDocument/2006/relationships/hyperlink" Target="mailto:inspectioninsight@ofsted.gov.uk?subject=Schools%20Data%20and%20Analysis%20Transparency%20Dat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covid-19-series-briefing-on-schools-october-2020" TargetMode="External"/><Relationship Id="rId1" Type="http://schemas.openxmlformats.org/officeDocument/2006/relationships/hyperlink" Target="https://www.gov.uk/guidance/interim-phase-maintained-schools-and-academies"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225F-78C1-44C1-BF35-C89E1EE38FEB}">
  <dimension ref="A2:K23"/>
  <sheetViews>
    <sheetView showGridLines="0" tabSelected="1" workbookViewId="0"/>
  </sheetViews>
  <sheetFormatPr defaultRowHeight="12.75" x14ac:dyDescent="0.2"/>
  <cols>
    <col min="2" max="2" width="31.7109375" style="5" customWidth="1"/>
    <col min="3" max="3" width="114.7109375" style="5" customWidth="1"/>
  </cols>
  <sheetData>
    <row r="2" spans="2:11" s="93" customFormat="1" ht="93" customHeight="1" x14ac:dyDescent="0.2">
      <c r="B2" s="101"/>
      <c r="C2" s="94"/>
      <c r="D2" s="100"/>
    </row>
    <row r="3" spans="2:11" s="116" customFormat="1" ht="61.5" customHeight="1" x14ac:dyDescent="0.2">
      <c r="B3" s="129" t="s">
        <v>0</v>
      </c>
      <c r="C3" s="130"/>
    </row>
    <row r="4" spans="2:11" s="136" customFormat="1" ht="34.15" customHeight="1" x14ac:dyDescent="0.2">
      <c r="B4" s="131" t="s">
        <v>1</v>
      </c>
      <c r="C4" s="131" t="s">
        <v>2</v>
      </c>
      <c r="F4" s="137"/>
      <c r="G4" s="137"/>
      <c r="H4" s="137"/>
      <c r="I4" s="137"/>
      <c r="J4" s="137"/>
      <c r="K4" s="137"/>
    </row>
    <row r="5" spans="2:11" ht="30.6" customHeight="1" x14ac:dyDescent="0.2">
      <c r="B5" s="131" t="s">
        <v>3</v>
      </c>
      <c r="C5" s="131" t="s">
        <v>4</v>
      </c>
      <c r="D5" s="92"/>
      <c r="E5" s="92"/>
      <c r="F5" s="92"/>
      <c r="G5" s="92"/>
      <c r="H5" s="92"/>
      <c r="I5" s="92"/>
      <c r="J5" s="92"/>
      <c r="K5" s="92"/>
    </row>
    <row r="6" spans="2:11" ht="30.6" customHeight="1" x14ac:dyDescent="0.2">
      <c r="B6" s="131" t="s">
        <v>5</v>
      </c>
      <c r="C6" s="132">
        <f>Date!B4</f>
        <v>44246</v>
      </c>
      <c r="D6" s="92"/>
      <c r="E6" s="92"/>
      <c r="F6" s="92"/>
      <c r="G6" s="92"/>
      <c r="H6" s="92"/>
      <c r="I6" s="92"/>
      <c r="J6" s="92"/>
      <c r="K6" s="92"/>
    </row>
    <row r="7" spans="2:11" ht="30.6" customHeight="1" x14ac:dyDescent="0.2">
      <c r="B7" s="131" t="s">
        <v>6</v>
      </c>
      <c r="C7" s="131" t="s">
        <v>7</v>
      </c>
      <c r="D7" s="92"/>
      <c r="E7" s="92"/>
      <c r="F7" s="92"/>
      <c r="G7" s="92"/>
      <c r="H7" s="92"/>
      <c r="I7" s="92"/>
      <c r="J7" s="92"/>
      <c r="K7" s="92"/>
    </row>
    <row r="8" spans="2:11" ht="30.6" customHeight="1" x14ac:dyDescent="0.2">
      <c r="B8" s="131" t="s">
        <v>8</v>
      </c>
      <c r="C8" s="131" t="s">
        <v>3310</v>
      </c>
      <c r="D8" s="92"/>
      <c r="E8" s="92"/>
      <c r="F8" s="92"/>
      <c r="G8" s="92"/>
      <c r="H8" s="92"/>
      <c r="I8" s="92"/>
      <c r="J8" s="92"/>
      <c r="K8" s="92"/>
    </row>
    <row r="9" spans="2:11" ht="30.6" customHeight="1" x14ac:dyDescent="0.2">
      <c r="B9" s="133" t="s">
        <v>9</v>
      </c>
      <c r="C9" s="135" t="s">
        <v>0</v>
      </c>
      <c r="D9" s="92"/>
      <c r="E9" s="92"/>
      <c r="F9" s="92"/>
      <c r="G9" s="92"/>
      <c r="H9" s="92"/>
      <c r="I9" s="92"/>
      <c r="J9" s="92"/>
      <c r="K9" s="92"/>
    </row>
    <row r="10" spans="2:11" s="59" customFormat="1" ht="90" x14ac:dyDescent="0.2">
      <c r="B10" s="97" t="s">
        <v>10</v>
      </c>
      <c r="C10" s="98" t="s">
        <v>11</v>
      </c>
      <c r="D10" s="92"/>
      <c r="E10" s="92"/>
      <c r="F10" s="92"/>
      <c r="G10" s="92"/>
      <c r="H10" s="92"/>
      <c r="I10" s="92"/>
      <c r="J10" s="92"/>
      <c r="K10" s="92"/>
    </row>
    <row r="11" spans="2:11" s="90" customFormat="1" ht="30.6" customHeight="1" x14ac:dyDescent="0.2">
      <c r="B11" s="97" t="s">
        <v>12</v>
      </c>
      <c r="C11" s="97" t="s">
        <v>13</v>
      </c>
      <c r="D11" s="92"/>
      <c r="E11" s="92"/>
      <c r="F11" s="92"/>
      <c r="G11" s="92"/>
      <c r="H11" s="92"/>
      <c r="I11" s="92"/>
      <c r="J11" s="92"/>
      <c r="K11" s="92"/>
    </row>
    <row r="12" spans="2:11" ht="30.6" customHeight="1" x14ac:dyDescent="0.2">
      <c r="B12" s="97" t="s">
        <v>14</v>
      </c>
      <c r="C12" s="98" t="s">
        <v>15</v>
      </c>
      <c r="D12" s="92"/>
      <c r="E12" s="92"/>
      <c r="F12" s="92"/>
      <c r="G12" s="92"/>
      <c r="H12" s="92"/>
      <c r="I12" s="92"/>
      <c r="J12" s="92"/>
      <c r="K12" s="92"/>
    </row>
    <row r="13" spans="2:11" s="91" customFormat="1" ht="30.6" customHeight="1" x14ac:dyDescent="0.2">
      <c r="B13" s="106" t="s">
        <v>16</v>
      </c>
      <c r="C13" s="108" t="s">
        <v>17</v>
      </c>
      <c r="D13" s="92"/>
      <c r="E13" s="92"/>
      <c r="F13" s="92"/>
      <c r="G13" s="92"/>
      <c r="H13" s="92"/>
      <c r="I13" s="92"/>
      <c r="J13" s="92"/>
      <c r="K13" s="92"/>
    </row>
    <row r="14" spans="2:11" ht="30.6" customHeight="1" x14ac:dyDescent="0.2">
      <c r="B14" s="107"/>
      <c r="C14" s="99" t="s">
        <v>18</v>
      </c>
      <c r="D14" s="92"/>
      <c r="E14" s="92"/>
      <c r="F14" s="92"/>
      <c r="G14" s="92"/>
      <c r="H14" s="92"/>
      <c r="I14" s="92"/>
      <c r="J14" s="92"/>
      <c r="K14" s="92"/>
    </row>
    <row r="15" spans="2:11" ht="30.6" customHeight="1" x14ac:dyDescent="0.2">
      <c r="B15" s="97" t="s">
        <v>19</v>
      </c>
      <c r="C15" s="99" t="s">
        <v>20</v>
      </c>
      <c r="D15" s="92"/>
      <c r="E15" s="92"/>
      <c r="F15" s="92"/>
      <c r="G15" s="92"/>
      <c r="H15" s="92"/>
      <c r="I15" s="92"/>
      <c r="J15" s="92"/>
      <c r="K15" s="92"/>
    </row>
    <row r="16" spans="2:11" s="92" customFormat="1" ht="30.6" customHeight="1" x14ac:dyDescent="0.2">
      <c r="B16" s="97" t="s">
        <v>21</v>
      </c>
      <c r="C16" s="97" t="s">
        <v>22</v>
      </c>
    </row>
    <row r="17" spans="1:4" s="92" customFormat="1" ht="30.6" customHeight="1" x14ac:dyDescent="0.2">
      <c r="B17" s="109" t="s">
        <v>23</v>
      </c>
      <c r="C17" s="110" t="s">
        <v>24</v>
      </c>
    </row>
    <row r="18" spans="1:4" ht="60" customHeight="1" x14ac:dyDescent="0.2">
      <c r="A18" s="92"/>
      <c r="B18" s="113" t="s">
        <v>25</v>
      </c>
      <c r="C18" s="127" t="s">
        <v>26</v>
      </c>
      <c r="D18" s="55"/>
    </row>
    <row r="19" spans="1:4" ht="39" customHeight="1" x14ac:dyDescent="0.2">
      <c r="A19" s="92"/>
      <c r="B19" s="113" t="s">
        <v>27</v>
      </c>
      <c r="C19" s="128" t="s">
        <v>28</v>
      </c>
      <c r="D19" s="92"/>
    </row>
    <row r="20" spans="1:4" s="96" customFormat="1" ht="23.25" customHeight="1" x14ac:dyDescent="0.2">
      <c r="A20" s="95"/>
      <c r="B20" s="111"/>
      <c r="C20" s="112"/>
    </row>
    <row r="21" spans="1:4" s="96" customFormat="1" ht="69" customHeight="1" x14ac:dyDescent="0.2">
      <c r="A21" s="95"/>
      <c r="B21" s="114" t="s">
        <v>29</v>
      </c>
      <c r="C21" s="115"/>
    </row>
    <row r="22" spans="1:4" s="96" customFormat="1" ht="23.25" customHeight="1" x14ac:dyDescent="0.2">
      <c r="A22" s="95"/>
      <c r="B22" s="104" t="s">
        <v>30</v>
      </c>
      <c r="C22" s="105"/>
    </row>
    <row r="23" spans="1:4" s="96" customFormat="1" ht="23.25" customHeight="1" x14ac:dyDescent="0.2">
      <c r="A23" s="95"/>
      <c r="B23" s="102" t="s">
        <v>31</v>
      </c>
      <c r="C23" s="103" t="s">
        <v>32</v>
      </c>
    </row>
  </sheetData>
  <sheetProtection sheet="1" objects="1" scenarios="1"/>
  <hyperlinks>
    <hyperlink ref="C15" r:id="rId1" xr:uid="{00000000-0004-0000-0000-000001000000}"/>
    <hyperlink ref="C17" r:id="rId2" xr:uid="{810D316B-88CB-49A8-B6F8-0C7C8BF45BD0}"/>
    <hyperlink ref="C23" r:id="rId3" xr:uid="{564B992D-F94B-45AD-98AF-667C91FF16AB}"/>
    <hyperlink ref="C14" r:id="rId4" xr:uid="{7FADE777-1BC1-44BE-87D6-DB0A1A15D606}"/>
    <hyperlink ref="C18" r:id="rId5" xr:uid="{9C887B4E-036E-4945-A5E9-64BE27407568}"/>
    <hyperlink ref="C19" r:id="rId6" xr:uid="{C2D378BE-8A29-4C46-96E3-3013A29E6F9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A848-9FA8-4D42-A3C6-E6D8FE32CEE7}">
  <dimension ref="A1:U120"/>
  <sheetViews>
    <sheetView showGridLines="0" workbookViewId="0"/>
  </sheetViews>
  <sheetFormatPr defaultRowHeight="12.75" x14ac:dyDescent="0.2"/>
  <cols>
    <col min="1" max="1" width="9.140625" style="92"/>
    <col min="2" max="2" width="65" customWidth="1"/>
    <col min="3" max="3" width="112.7109375" customWidth="1"/>
  </cols>
  <sheetData>
    <row r="1" spans="1:21" s="44" customFormat="1" ht="13.15" customHeight="1" x14ac:dyDescent="0.2">
      <c r="A1" s="92"/>
      <c r="B1" s="85"/>
    </row>
    <row r="2" spans="1:21" s="44" customFormat="1" ht="23.25" customHeight="1" x14ac:dyDescent="0.2">
      <c r="A2" s="93"/>
      <c r="B2" s="73" t="s">
        <v>33</v>
      </c>
      <c r="C2" s="51"/>
      <c r="D2" s="51"/>
      <c r="E2" s="51"/>
      <c r="F2" s="51"/>
      <c r="G2" s="51"/>
      <c r="H2" s="51"/>
      <c r="I2" s="51"/>
      <c r="J2" s="51"/>
      <c r="K2" s="51"/>
      <c r="L2" s="51"/>
      <c r="M2" s="51"/>
      <c r="N2" s="51"/>
      <c r="O2" s="51"/>
      <c r="P2" s="41"/>
      <c r="Q2" s="41"/>
      <c r="R2" s="41"/>
      <c r="S2" s="41"/>
      <c r="T2" s="41"/>
      <c r="U2" s="41"/>
    </row>
    <row r="3" spans="1:21" s="44" customFormat="1" ht="17.45" customHeight="1" x14ac:dyDescent="0.2">
      <c r="A3" s="93"/>
      <c r="B3" s="60" t="s">
        <v>3311</v>
      </c>
      <c r="C3" s="51"/>
      <c r="D3" s="51"/>
      <c r="E3" s="51"/>
      <c r="F3" s="51"/>
      <c r="G3" s="51"/>
      <c r="H3" s="51"/>
      <c r="I3" s="51"/>
      <c r="J3" s="51"/>
      <c r="K3" s="51"/>
      <c r="L3" s="51"/>
      <c r="M3" s="51"/>
      <c r="N3" s="51"/>
      <c r="O3" s="51"/>
      <c r="P3" s="41"/>
      <c r="Q3" s="41"/>
      <c r="R3" s="41"/>
      <c r="S3" s="41"/>
      <c r="T3" s="41"/>
      <c r="U3" s="41"/>
    </row>
    <row r="4" spans="1:21" s="44" customFormat="1" ht="21" customHeight="1" x14ac:dyDescent="0.2">
      <c r="A4" s="117"/>
      <c r="B4" s="134" t="s">
        <v>34</v>
      </c>
      <c r="C4" s="51"/>
      <c r="D4" s="51"/>
      <c r="E4" s="51"/>
      <c r="F4" s="51"/>
      <c r="G4" s="51"/>
      <c r="H4" s="51"/>
      <c r="I4" s="51"/>
      <c r="J4" s="51"/>
      <c r="K4" s="51"/>
      <c r="L4" s="51"/>
      <c r="M4" s="51"/>
      <c r="N4" s="51"/>
      <c r="O4" s="51"/>
      <c r="P4" s="41"/>
      <c r="Q4" s="41"/>
      <c r="R4" s="41"/>
      <c r="S4" s="41"/>
      <c r="T4" s="41"/>
      <c r="U4" s="41"/>
    </row>
    <row r="5" spans="1:21" s="44" customFormat="1" ht="21.6" customHeight="1" x14ac:dyDescent="0.2">
      <c r="A5" s="93"/>
      <c r="B5" s="60" t="s">
        <v>35</v>
      </c>
      <c r="C5" s="51"/>
      <c r="D5" s="51"/>
      <c r="E5" s="51"/>
      <c r="F5" s="51"/>
      <c r="G5" s="51"/>
      <c r="H5" s="51"/>
      <c r="I5" s="51"/>
      <c r="J5" s="51"/>
      <c r="K5" s="51"/>
      <c r="L5" s="51"/>
      <c r="M5" s="51"/>
      <c r="N5" s="51"/>
      <c r="O5" s="51"/>
      <c r="P5" s="41"/>
      <c r="Q5" s="41"/>
      <c r="R5" s="41"/>
      <c r="S5" s="41"/>
      <c r="T5" s="41"/>
      <c r="U5" s="41"/>
    </row>
    <row r="6" spans="1:21" s="44" customFormat="1" ht="19.899999999999999" customHeight="1" x14ac:dyDescent="0.2">
      <c r="A6" s="93"/>
      <c r="B6" s="60" t="s">
        <v>36</v>
      </c>
      <c r="C6" s="51"/>
      <c r="D6" s="51"/>
      <c r="E6" s="51"/>
      <c r="F6" s="51"/>
      <c r="G6" s="51"/>
      <c r="H6" s="51"/>
      <c r="I6" s="51"/>
      <c r="J6" s="51"/>
      <c r="K6" s="51"/>
      <c r="L6" s="51"/>
      <c r="M6" s="51"/>
      <c r="N6" s="51"/>
      <c r="O6" s="51"/>
    </row>
    <row r="7" spans="1:21" s="44" customFormat="1" ht="15" customHeight="1" x14ac:dyDescent="0.2">
      <c r="A7" s="117"/>
      <c r="B7" s="134" t="s">
        <v>37</v>
      </c>
      <c r="C7" s="51"/>
      <c r="D7" s="51"/>
      <c r="E7" s="51"/>
      <c r="F7" s="51"/>
      <c r="G7" s="51"/>
      <c r="H7" s="51"/>
      <c r="I7" s="51"/>
      <c r="J7" s="51"/>
      <c r="K7" s="51"/>
      <c r="L7" s="51"/>
      <c r="M7" s="51"/>
      <c r="N7" s="51"/>
      <c r="O7" s="51"/>
    </row>
    <row r="8" spans="1:21" s="44" customFormat="1" ht="35.25" customHeight="1" x14ac:dyDescent="0.2">
      <c r="A8" s="93"/>
      <c r="B8" s="60" t="s">
        <v>38</v>
      </c>
      <c r="C8" s="51"/>
      <c r="D8" s="51"/>
      <c r="E8" s="51"/>
      <c r="F8" s="51"/>
      <c r="G8" s="51"/>
      <c r="H8" s="51"/>
      <c r="I8" s="51"/>
      <c r="J8" s="51"/>
      <c r="K8" s="51"/>
      <c r="L8" s="51"/>
      <c r="M8" s="51"/>
      <c r="N8" s="51"/>
      <c r="O8" s="51"/>
    </row>
    <row r="9" spans="1:21" s="44" customFormat="1" ht="15" x14ac:dyDescent="0.2">
      <c r="A9" s="93"/>
      <c r="B9" s="60" t="s">
        <v>39</v>
      </c>
      <c r="C9" s="51"/>
      <c r="D9" s="51"/>
      <c r="E9" s="51"/>
      <c r="F9" s="39"/>
      <c r="G9" s="39"/>
      <c r="H9" s="39"/>
      <c r="I9" s="39"/>
      <c r="J9" s="39"/>
      <c r="K9" s="39"/>
      <c r="L9" s="39"/>
      <c r="M9" s="39"/>
      <c r="N9" s="39"/>
      <c r="O9" s="61"/>
      <c r="P9" s="61"/>
    </row>
    <row r="10" spans="1:21" s="44" customFormat="1" ht="15" x14ac:dyDescent="0.2">
      <c r="A10" s="92"/>
      <c r="B10" s="53" t="s">
        <v>40</v>
      </c>
      <c r="C10" s="53" t="s">
        <v>41</v>
      </c>
      <c r="D10" s="39"/>
      <c r="E10" s="39"/>
      <c r="F10" s="39"/>
      <c r="G10" s="39"/>
      <c r="H10" s="39"/>
      <c r="I10" s="39"/>
      <c r="J10" s="39"/>
      <c r="K10" s="39"/>
      <c r="L10" s="39"/>
      <c r="M10" s="39"/>
      <c r="N10" s="39"/>
      <c r="O10" s="61"/>
      <c r="P10" s="61"/>
      <c r="R10" s="89"/>
    </row>
    <row r="11" spans="1:21" s="44" customFormat="1" ht="27" customHeight="1" x14ac:dyDescent="0.2">
      <c r="A11" s="92"/>
      <c r="B11" s="53"/>
      <c r="C11" s="53"/>
      <c r="D11" s="39"/>
      <c r="E11" s="39"/>
      <c r="F11" s="48"/>
      <c r="G11" s="48"/>
      <c r="H11" s="48"/>
      <c r="I11" s="48"/>
      <c r="J11" s="48"/>
      <c r="K11" s="48"/>
      <c r="L11" s="48"/>
      <c r="M11" s="48"/>
      <c r="N11" s="48"/>
      <c r="O11" s="58"/>
      <c r="P11" s="61"/>
      <c r="R11" s="86"/>
    </row>
    <row r="12" spans="1:21" s="44" customFormat="1" ht="27" customHeight="1" x14ac:dyDescent="0.2">
      <c r="A12" s="92"/>
      <c r="B12" s="66" t="s">
        <v>42</v>
      </c>
      <c r="C12" s="62" t="s">
        <v>43</v>
      </c>
      <c r="D12" s="48"/>
      <c r="E12" s="48"/>
      <c r="F12" s="48"/>
      <c r="G12" s="48"/>
      <c r="H12" s="48"/>
      <c r="I12" s="48"/>
      <c r="J12" s="48"/>
      <c r="K12" s="48"/>
      <c r="L12" s="48"/>
      <c r="M12" s="48"/>
      <c r="N12" s="48"/>
      <c r="O12" s="58"/>
      <c r="P12" s="61"/>
      <c r="R12" s="86"/>
    </row>
    <row r="13" spans="1:21" s="44" customFormat="1" ht="27" customHeight="1" x14ac:dyDescent="0.2">
      <c r="A13" s="92"/>
      <c r="B13" s="66" t="s">
        <v>44</v>
      </c>
      <c r="C13" s="48" t="s">
        <v>45</v>
      </c>
      <c r="D13" s="48"/>
      <c r="E13" s="48"/>
      <c r="F13" s="48"/>
      <c r="G13" s="48"/>
      <c r="H13" s="48"/>
      <c r="I13" s="48"/>
      <c r="J13" s="48"/>
      <c r="K13" s="48"/>
      <c r="L13" s="48"/>
      <c r="M13" s="48"/>
      <c r="N13" s="48"/>
      <c r="O13" s="58"/>
      <c r="P13" s="61"/>
      <c r="R13" s="86"/>
    </row>
    <row r="14" spans="1:21" s="44" customFormat="1" ht="27" customHeight="1" x14ac:dyDescent="0.2">
      <c r="A14" s="92"/>
      <c r="B14" s="66" t="s">
        <v>46</v>
      </c>
      <c r="C14" s="48" t="s">
        <v>47</v>
      </c>
      <c r="D14" s="48"/>
      <c r="E14" s="48"/>
      <c r="F14" s="48"/>
      <c r="G14" s="48"/>
      <c r="H14" s="48"/>
      <c r="I14" s="48"/>
      <c r="J14" s="48"/>
      <c r="K14" s="48"/>
      <c r="L14" s="48"/>
      <c r="M14" s="48"/>
      <c r="N14" s="48"/>
      <c r="O14" s="58"/>
      <c r="P14" s="61"/>
      <c r="R14" s="86"/>
    </row>
    <row r="15" spans="1:21" s="44" customFormat="1" ht="27" customHeight="1" x14ac:dyDescent="0.2">
      <c r="A15" s="92"/>
      <c r="B15" s="66" t="s">
        <v>48</v>
      </c>
      <c r="C15" s="48" t="s">
        <v>49</v>
      </c>
      <c r="D15" s="48"/>
      <c r="E15" s="48"/>
      <c r="F15" s="48"/>
      <c r="G15" s="48"/>
      <c r="H15" s="48"/>
      <c r="I15" s="48"/>
      <c r="J15" s="48"/>
      <c r="K15" s="48"/>
      <c r="L15" s="48"/>
      <c r="M15" s="48"/>
      <c r="N15" s="48"/>
      <c r="O15" s="58"/>
      <c r="P15" s="61"/>
      <c r="R15" s="86"/>
    </row>
    <row r="16" spans="1:21" s="44" customFormat="1" ht="27" customHeight="1" x14ac:dyDescent="0.2">
      <c r="A16" s="92"/>
      <c r="B16" s="66" t="s">
        <v>50</v>
      </c>
      <c r="C16" s="48" t="s">
        <v>51</v>
      </c>
      <c r="D16" s="48"/>
      <c r="E16" s="48"/>
      <c r="F16" s="48"/>
      <c r="G16" s="48"/>
      <c r="H16" s="48"/>
      <c r="I16" s="48"/>
      <c r="J16" s="48"/>
      <c r="K16" s="48"/>
      <c r="L16" s="48"/>
      <c r="M16" s="48"/>
      <c r="N16" s="48"/>
      <c r="O16" s="58"/>
      <c r="P16" s="79"/>
      <c r="R16" s="86"/>
    </row>
    <row r="17" spans="1:18" s="44" customFormat="1" ht="27" customHeight="1" x14ac:dyDescent="0.2">
      <c r="A17" s="92"/>
      <c r="B17" s="66" t="s">
        <v>52</v>
      </c>
      <c r="C17" s="62" t="s">
        <v>53</v>
      </c>
      <c r="D17" s="48"/>
      <c r="E17" s="48"/>
      <c r="F17" s="48"/>
      <c r="G17" s="48"/>
      <c r="H17" s="48"/>
      <c r="I17" s="48"/>
      <c r="J17" s="48"/>
      <c r="K17" s="48"/>
      <c r="L17" s="48"/>
      <c r="M17" s="48"/>
      <c r="N17" s="48"/>
      <c r="O17" s="58"/>
      <c r="P17" s="79"/>
      <c r="R17" s="74"/>
    </row>
    <row r="18" spans="1:18" s="44" customFormat="1" ht="27" customHeight="1" x14ac:dyDescent="0.2">
      <c r="A18" s="92"/>
      <c r="B18" s="80" t="s">
        <v>54</v>
      </c>
      <c r="C18" s="62" t="s">
        <v>55</v>
      </c>
      <c r="D18" s="48"/>
      <c r="E18" s="48"/>
      <c r="F18" s="48"/>
      <c r="G18" s="48"/>
      <c r="H18" s="48"/>
      <c r="I18" s="48"/>
      <c r="J18" s="48"/>
      <c r="K18" s="48"/>
      <c r="L18" s="48"/>
      <c r="M18" s="48"/>
      <c r="N18" s="48"/>
      <c r="O18" s="58"/>
      <c r="P18" s="61"/>
      <c r="R18" s="86"/>
    </row>
    <row r="19" spans="1:18" s="44" customFormat="1" ht="27" customHeight="1" x14ac:dyDescent="0.2">
      <c r="A19" s="92"/>
      <c r="B19" s="66" t="s">
        <v>56</v>
      </c>
      <c r="C19" s="37" t="s">
        <v>57</v>
      </c>
      <c r="D19" s="48"/>
      <c r="E19" s="48"/>
      <c r="F19" s="48"/>
      <c r="G19" s="48"/>
      <c r="H19" s="48"/>
      <c r="I19" s="48"/>
      <c r="J19" s="48"/>
      <c r="K19" s="48"/>
      <c r="L19" s="48"/>
      <c r="M19" s="48"/>
      <c r="N19" s="48"/>
      <c r="O19" s="58"/>
      <c r="P19" s="61"/>
      <c r="R19" s="86"/>
    </row>
    <row r="20" spans="1:18" s="44" customFormat="1" ht="40.5" customHeight="1" x14ac:dyDescent="0.2">
      <c r="A20" s="92"/>
      <c r="B20" s="66" t="s">
        <v>58</v>
      </c>
      <c r="C20" s="37" t="s">
        <v>59</v>
      </c>
      <c r="D20" s="48"/>
      <c r="E20" s="48"/>
      <c r="F20" s="48"/>
      <c r="G20" s="48"/>
      <c r="H20" s="48"/>
      <c r="I20" s="48"/>
      <c r="J20" s="48"/>
      <c r="K20" s="48"/>
      <c r="L20" s="48"/>
      <c r="M20" s="48"/>
      <c r="N20" s="48"/>
      <c r="O20" s="58"/>
      <c r="P20" s="61"/>
      <c r="R20" s="81"/>
    </row>
    <row r="21" spans="1:18" s="44" customFormat="1" ht="40.5" customHeight="1" x14ac:dyDescent="0.2">
      <c r="A21" s="92"/>
      <c r="B21" s="66" t="s">
        <v>60</v>
      </c>
      <c r="C21" s="71" t="s">
        <v>61</v>
      </c>
      <c r="D21" s="48"/>
      <c r="E21" s="48"/>
      <c r="F21" s="62"/>
      <c r="G21" s="62"/>
      <c r="H21" s="62"/>
      <c r="I21" s="62"/>
      <c r="J21" s="62"/>
      <c r="K21" s="62"/>
      <c r="L21" s="62"/>
      <c r="M21" s="62"/>
      <c r="N21" s="62"/>
      <c r="O21" s="58"/>
      <c r="P21" s="61"/>
      <c r="R21" s="81"/>
    </row>
    <row r="22" spans="1:18" s="56" customFormat="1" ht="40.5" customHeight="1" x14ac:dyDescent="0.2">
      <c r="A22" s="92"/>
      <c r="B22" s="84" t="s">
        <v>62</v>
      </c>
      <c r="C22" s="75" t="s">
        <v>63</v>
      </c>
      <c r="D22" s="62"/>
      <c r="E22" s="62"/>
      <c r="F22" s="45"/>
      <c r="G22" s="45"/>
      <c r="H22" s="45"/>
      <c r="I22" s="45"/>
      <c r="J22" s="45"/>
      <c r="K22" s="45"/>
      <c r="L22" s="45"/>
      <c r="M22" s="45"/>
      <c r="N22" s="45"/>
      <c r="O22" s="42"/>
      <c r="P22" s="49"/>
      <c r="R22" s="57"/>
    </row>
    <row r="23" spans="1:18" s="44" customFormat="1" ht="64.150000000000006" customHeight="1" x14ac:dyDescent="0.2">
      <c r="A23" s="95"/>
      <c r="B23" s="76" t="s">
        <v>64</v>
      </c>
      <c r="C23" s="38" t="s">
        <v>65</v>
      </c>
      <c r="D23" s="45"/>
      <c r="E23" s="45"/>
      <c r="F23" s="48"/>
      <c r="G23" s="48"/>
      <c r="H23" s="48"/>
      <c r="I23" s="48"/>
      <c r="J23" s="48"/>
      <c r="K23" s="48"/>
      <c r="L23" s="48"/>
      <c r="M23" s="48"/>
      <c r="N23" s="48"/>
      <c r="O23" s="58"/>
      <c r="P23" s="61"/>
      <c r="R23" s="88"/>
    </row>
    <row r="24" spans="1:18" s="44" customFormat="1" ht="27" customHeight="1" x14ac:dyDescent="0.2">
      <c r="A24" s="95"/>
      <c r="B24" s="66" t="s">
        <v>66</v>
      </c>
      <c r="C24" s="48" t="s">
        <v>67</v>
      </c>
      <c r="D24" s="48"/>
      <c r="E24" s="48"/>
      <c r="F24" s="48"/>
      <c r="G24" s="48"/>
      <c r="H24" s="48"/>
      <c r="I24" s="48"/>
      <c r="J24" s="48"/>
      <c r="K24" s="48"/>
      <c r="L24" s="48"/>
      <c r="M24" s="48"/>
      <c r="N24" s="48"/>
      <c r="O24" s="58"/>
      <c r="P24" s="61"/>
      <c r="R24" s="88"/>
    </row>
    <row r="25" spans="1:18" s="44" customFormat="1" ht="34.5" customHeight="1" x14ac:dyDescent="0.2">
      <c r="A25" s="95"/>
      <c r="B25" s="66" t="s">
        <v>68</v>
      </c>
      <c r="C25" s="48" t="s">
        <v>69</v>
      </c>
      <c r="D25" s="48"/>
      <c r="E25" s="48"/>
      <c r="F25" s="48"/>
      <c r="G25" s="48"/>
      <c r="H25" s="48"/>
      <c r="I25" s="48"/>
      <c r="J25" s="48"/>
      <c r="K25" s="48"/>
      <c r="L25" s="48"/>
      <c r="M25" s="48"/>
      <c r="N25" s="48"/>
      <c r="O25" s="58"/>
      <c r="P25" s="61"/>
      <c r="R25" s="88"/>
    </row>
    <row r="26" spans="1:18" s="44" customFormat="1" ht="34.5" customHeight="1" x14ac:dyDescent="0.2">
      <c r="A26" s="95"/>
      <c r="B26" s="66" t="s">
        <v>70</v>
      </c>
      <c r="C26" s="48" t="s">
        <v>71</v>
      </c>
      <c r="D26" s="48"/>
      <c r="E26" s="48"/>
      <c r="F26" s="66"/>
      <c r="G26" s="66"/>
      <c r="H26" s="66"/>
      <c r="I26" s="66"/>
      <c r="J26" s="66"/>
      <c r="K26" s="66"/>
      <c r="L26" s="66"/>
      <c r="M26" s="66"/>
      <c r="N26" s="66"/>
      <c r="O26" s="58"/>
      <c r="P26" s="61"/>
      <c r="R26" s="88"/>
    </row>
    <row r="27" spans="1:18" s="44" customFormat="1" ht="48.6" customHeight="1" x14ac:dyDescent="0.2">
      <c r="A27" s="92"/>
      <c r="B27" s="66" t="s">
        <v>72</v>
      </c>
      <c r="C27" s="66" t="s">
        <v>73</v>
      </c>
      <c r="D27" s="66"/>
      <c r="E27" s="66"/>
      <c r="F27" s="66"/>
      <c r="G27" s="66"/>
      <c r="H27" s="66"/>
      <c r="I27" s="66"/>
      <c r="J27" s="66"/>
      <c r="K27" s="66"/>
      <c r="L27" s="66"/>
      <c r="M27" s="66"/>
      <c r="N27" s="66"/>
      <c r="O27" s="58"/>
      <c r="P27" s="61"/>
      <c r="R27" s="88"/>
    </row>
    <row r="28" spans="1:18" s="44" customFormat="1" ht="25.15" customHeight="1" x14ac:dyDescent="0.2">
      <c r="A28" s="92"/>
      <c r="B28" s="66" t="s">
        <v>74</v>
      </c>
      <c r="C28" s="48" t="s">
        <v>75</v>
      </c>
      <c r="D28" s="66"/>
      <c r="E28" s="66"/>
      <c r="F28" s="66"/>
      <c r="G28" s="66"/>
      <c r="H28" s="66"/>
      <c r="I28" s="66"/>
      <c r="J28" s="66"/>
      <c r="K28" s="66"/>
      <c r="L28" s="66"/>
      <c r="M28" s="66"/>
      <c r="N28" s="66"/>
      <c r="O28" s="64"/>
      <c r="P28" s="61"/>
      <c r="R28" s="88"/>
    </row>
    <row r="29" spans="1:18" s="44" customFormat="1" ht="73.900000000000006" customHeight="1" x14ac:dyDescent="0.2">
      <c r="A29" s="92"/>
      <c r="B29" s="66" t="s">
        <v>76</v>
      </c>
      <c r="C29" s="84" t="s">
        <v>77</v>
      </c>
      <c r="D29" s="66"/>
      <c r="E29" s="66"/>
      <c r="F29" s="84"/>
      <c r="G29" s="84"/>
      <c r="H29" s="84"/>
      <c r="I29" s="84"/>
      <c r="J29" s="84"/>
      <c r="K29" s="84"/>
      <c r="L29" s="84"/>
      <c r="M29" s="84"/>
      <c r="N29" s="84"/>
      <c r="O29" s="58"/>
      <c r="P29" s="61"/>
      <c r="R29" s="72"/>
    </row>
    <row r="30" spans="1:18" s="56" customFormat="1" ht="61.5" customHeight="1" x14ac:dyDescent="0.2">
      <c r="A30" s="92"/>
      <c r="B30" s="84" t="s">
        <v>78</v>
      </c>
      <c r="C30" s="75" t="s">
        <v>3312</v>
      </c>
      <c r="D30" s="84"/>
      <c r="E30" s="84"/>
      <c r="F30" s="76"/>
      <c r="G30" s="76"/>
      <c r="H30" s="76"/>
      <c r="I30" s="76"/>
      <c r="J30" s="76"/>
      <c r="K30" s="76"/>
      <c r="L30" s="76"/>
      <c r="M30" s="76"/>
      <c r="N30" s="76"/>
      <c r="O30" s="42"/>
      <c r="P30" s="49"/>
      <c r="R30" s="68"/>
    </row>
    <row r="31" spans="1:18" s="56" customFormat="1" ht="27" customHeight="1" x14ac:dyDescent="0.2">
      <c r="A31" s="92"/>
      <c r="B31" s="84" t="s">
        <v>79</v>
      </c>
      <c r="C31" s="75" t="s">
        <v>80</v>
      </c>
      <c r="D31" s="76"/>
      <c r="E31" s="76"/>
      <c r="F31" s="77"/>
      <c r="G31" s="77"/>
      <c r="H31" s="77"/>
      <c r="I31" s="77"/>
      <c r="J31" s="77"/>
      <c r="K31" s="77"/>
      <c r="L31" s="77"/>
      <c r="M31" s="77"/>
      <c r="N31" s="77"/>
      <c r="O31" s="42"/>
      <c r="P31" s="49"/>
      <c r="R31" s="88"/>
    </row>
    <row r="32" spans="1:18" s="56" customFormat="1" ht="27" customHeight="1" x14ac:dyDescent="0.2">
      <c r="A32" s="92"/>
      <c r="B32" s="84" t="s">
        <v>81</v>
      </c>
      <c r="C32" s="75" t="s">
        <v>82</v>
      </c>
      <c r="D32" s="77"/>
      <c r="E32" s="77"/>
      <c r="F32" s="77"/>
      <c r="G32" s="77"/>
      <c r="H32" s="77"/>
      <c r="I32" s="77"/>
      <c r="J32" s="77"/>
      <c r="K32" s="77"/>
      <c r="L32" s="77"/>
      <c r="M32" s="77"/>
      <c r="N32" s="77"/>
      <c r="O32" s="42"/>
      <c r="P32" s="49"/>
      <c r="R32" s="88"/>
    </row>
    <row r="33" spans="1:18" s="56" customFormat="1" ht="27" customHeight="1" x14ac:dyDescent="0.2">
      <c r="A33" s="92"/>
      <c r="B33" s="63"/>
      <c r="C33" s="75"/>
      <c r="D33" s="77"/>
      <c r="E33" s="77"/>
      <c r="F33" s="77"/>
      <c r="G33" s="77"/>
      <c r="H33" s="77"/>
      <c r="I33" s="77"/>
      <c r="J33" s="77"/>
      <c r="K33" s="77"/>
      <c r="L33" s="77"/>
      <c r="M33" s="77"/>
      <c r="N33" s="63"/>
      <c r="O33" s="42"/>
      <c r="P33" s="40"/>
      <c r="R33" s="88"/>
    </row>
    <row r="34" spans="1:18" s="56" customFormat="1" ht="27" customHeight="1" x14ac:dyDescent="0.2">
      <c r="A34" s="92"/>
      <c r="B34" s="63"/>
      <c r="C34" s="77"/>
      <c r="D34" s="77"/>
      <c r="E34" s="77"/>
      <c r="F34" s="77"/>
      <c r="G34" s="77"/>
      <c r="H34" s="77"/>
      <c r="I34" s="77"/>
      <c r="J34" s="77"/>
      <c r="K34" s="77"/>
      <c r="L34" s="77"/>
      <c r="M34" s="77"/>
      <c r="N34" s="77"/>
      <c r="O34" s="42"/>
      <c r="P34" s="40"/>
      <c r="R34" s="88"/>
    </row>
    <row r="35" spans="1:18" s="56" customFormat="1" ht="27" customHeight="1" x14ac:dyDescent="0.2">
      <c r="A35" s="92"/>
      <c r="B35" s="63"/>
      <c r="C35" s="77"/>
      <c r="D35" s="77"/>
      <c r="E35" s="77"/>
      <c r="F35" s="77"/>
      <c r="G35" s="77"/>
      <c r="H35" s="77"/>
      <c r="I35" s="77"/>
      <c r="J35" s="77"/>
      <c r="K35" s="77"/>
      <c r="L35" s="77"/>
      <c r="M35" s="77"/>
      <c r="N35" s="77"/>
      <c r="O35" s="42"/>
      <c r="P35" s="49"/>
      <c r="R35" s="88"/>
    </row>
    <row r="36" spans="1:18" s="56" customFormat="1" ht="27" customHeight="1" x14ac:dyDescent="0.2">
      <c r="A36" s="92"/>
      <c r="B36" s="63"/>
      <c r="C36" s="77"/>
      <c r="D36" s="77"/>
      <c r="E36" s="77"/>
      <c r="F36" s="77"/>
      <c r="G36" s="77"/>
      <c r="H36" s="77"/>
      <c r="I36" s="77"/>
      <c r="J36" s="77"/>
      <c r="K36" s="77"/>
      <c r="L36" s="77"/>
      <c r="M36" s="77"/>
      <c r="N36" s="77"/>
      <c r="O36" s="42"/>
      <c r="P36" s="49"/>
      <c r="R36" s="88"/>
    </row>
    <row r="37" spans="1:18" s="56" customFormat="1" ht="27" customHeight="1" x14ac:dyDescent="0.2">
      <c r="A37" s="92"/>
      <c r="B37" s="76"/>
      <c r="C37" s="45"/>
      <c r="D37" s="45"/>
      <c r="E37" s="45"/>
      <c r="F37" s="45"/>
      <c r="G37" s="45"/>
      <c r="H37" s="45"/>
      <c r="I37" s="45"/>
      <c r="J37" s="45"/>
      <c r="K37" s="45"/>
      <c r="L37" s="45"/>
      <c r="M37" s="45"/>
      <c r="N37" s="45"/>
      <c r="O37" s="69"/>
      <c r="P37" s="49"/>
      <c r="R37" s="88"/>
    </row>
    <row r="38" spans="1:18" s="56" customFormat="1" ht="27" customHeight="1" x14ac:dyDescent="0.2">
      <c r="A38" s="92"/>
      <c r="B38" s="76"/>
      <c r="C38" s="45"/>
      <c r="D38" s="45"/>
      <c r="E38" s="45"/>
      <c r="F38" s="45"/>
      <c r="G38" s="45"/>
      <c r="H38" s="45"/>
      <c r="I38" s="45"/>
      <c r="J38" s="45"/>
      <c r="K38" s="45"/>
      <c r="L38" s="45"/>
      <c r="M38" s="45"/>
      <c r="N38" s="45"/>
      <c r="O38" s="69"/>
      <c r="P38" s="49"/>
      <c r="R38" s="88"/>
    </row>
    <row r="39" spans="1:18" s="56" customFormat="1" ht="27" customHeight="1" x14ac:dyDescent="0.2">
      <c r="A39" s="92"/>
      <c r="B39" s="76"/>
      <c r="C39" s="45"/>
      <c r="D39" s="45"/>
      <c r="E39" s="45"/>
      <c r="F39" s="45"/>
      <c r="G39" s="45"/>
      <c r="H39" s="45"/>
      <c r="I39" s="45"/>
      <c r="J39" s="45"/>
      <c r="K39" s="45"/>
      <c r="L39" s="45"/>
      <c r="M39" s="45"/>
      <c r="N39" s="45"/>
      <c r="O39" s="69"/>
      <c r="P39" s="49"/>
      <c r="R39" s="88"/>
    </row>
    <row r="40" spans="1:18" s="56" customFormat="1" ht="27" customHeight="1" x14ac:dyDescent="0.2">
      <c r="A40" s="92"/>
      <c r="B40" s="76"/>
      <c r="C40" s="45"/>
      <c r="D40" s="45"/>
      <c r="E40" s="45"/>
      <c r="F40" s="45"/>
      <c r="G40" s="45"/>
      <c r="H40" s="45"/>
      <c r="I40" s="45"/>
      <c r="J40" s="45"/>
      <c r="K40" s="45"/>
      <c r="L40" s="45"/>
      <c r="M40" s="45"/>
      <c r="N40" s="45"/>
      <c r="O40" s="69"/>
      <c r="P40" s="49"/>
      <c r="R40" s="88"/>
    </row>
    <row r="41" spans="1:18" s="65" customFormat="1" ht="27" customHeight="1" x14ac:dyDescent="0.2">
      <c r="A41" s="92"/>
      <c r="B41" s="76"/>
      <c r="C41" s="45"/>
      <c r="D41" s="82"/>
      <c r="E41" s="82"/>
      <c r="F41" s="82"/>
      <c r="G41" s="82"/>
      <c r="H41" s="82"/>
      <c r="I41" s="82"/>
      <c r="J41" s="82"/>
      <c r="K41" s="82"/>
      <c r="L41" s="82"/>
      <c r="M41" s="82"/>
      <c r="N41" s="82"/>
      <c r="O41" s="82"/>
    </row>
    <row r="42" spans="1:18" s="56" customFormat="1" ht="27" customHeight="1" x14ac:dyDescent="0.2">
      <c r="A42" s="92"/>
      <c r="B42" s="76"/>
      <c r="C42" s="45"/>
      <c r="D42" s="45"/>
      <c r="E42" s="45"/>
      <c r="F42" s="45"/>
      <c r="G42" s="45"/>
      <c r="H42" s="45"/>
      <c r="I42" s="45"/>
      <c r="J42" s="45"/>
      <c r="K42" s="45"/>
      <c r="L42" s="45"/>
      <c r="M42" s="45"/>
      <c r="N42" s="45"/>
      <c r="O42" s="69"/>
      <c r="P42" s="49"/>
      <c r="R42" s="88"/>
    </row>
    <row r="43" spans="1:18" s="56" customFormat="1" ht="27" customHeight="1" x14ac:dyDescent="0.2">
      <c r="A43" s="92"/>
      <c r="B43" s="76"/>
      <c r="C43" s="45"/>
      <c r="D43" s="45"/>
      <c r="E43" s="45"/>
      <c r="F43" s="45"/>
      <c r="G43" s="45"/>
      <c r="H43" s="45"/>
      <c r="I43" s="45"/>
      <c r="J43" s="45"/>
      <c r="K43" s="45"/>
      <c r="L43" s="45"/>
      <c r="M43" s="45"/>
      <c r="N43" s="45"/>
      <c r="O43" s="69"/>
      <c r="P43" s="49"/>
      <c r="R43" s="65"/>
    </row>
    <row r="44" spans="1:18" s="56" customFormat="1" ht="27" customHeight="1" x14ac:dyDescent="0.2">
      <c r="A44" s="92"/>
      <c r="B44" s="76"/>
      <c r="C44" s="45"/>
      <c r="D44" s="76"/>
      <c r="E44" s="76"/>
      <c r="F44" s="76"/>
      <c r="G44" s="76"/>
      <c r="H44" s="76"/>
      <c r="I44" s="76"/>
      <c r="J44" s="76"/>
      <c r="K44" s="76"/>
      <c r="L44" s="76"/>
      <c r="M44" s="76"/>
      <c r="N44" s="45"/>
      <c r="O44" s="69"/>
      <c r="R44" s="88"/>
    </row>
    <row r="45" spans="1:18" s="40" customFormat="1" ht="15" x14ac:dyDescent="0.2">
      <c r="A45" s="92"/>
      <c r="B45" s="76"/>
      <c r="C45" s="77"/>
      <c r="D45" s="45"/>
      <c r="E45" s="45"/>
      <c r="F45" s="45"/>
      <c r="G45" s="45"/>
      <c r="H45" s="45"/>
      <c r="I45" s="45"/>
      <c r="J45" s="45"/>
      <c r="K45" s="45"/>
      <c r="L45" s="45"/>
      <c r="M45" s="45"/>
      <c r="N45" s="45"/>
      <c r="O45" s="45"/>
      <c r="P45" s="46"/>
      <c r="R45" s="46"/>
    </row>
    <row r="46" spans="1:18" s="40" customFormat="1" ht="15.75" customHeight="1" x14ac:dyDescent="0.2">
      <c r="A46" s="92"/>
      <c r="B46" s="76"/>
      <c r="C46" s="77"/>
      <c r="D46" s="45"/>
      <c r="E46" s="45"/>
      <c r="F46" s="45"/>
      <c r="G46" s="45"/>
      <c r="H46" s="45"/>
      <c r="I46" s="45"/>
      <c r="J46" s="45"/>
      <c r="K46" s="45"/>
      <c r="L46" s="45"/>
      <c r="M46" s="45"/>
      <c r="N46" s="45"/>
      <c r="O46" s="45"/>
      <c r="P46" s="46"/>
      <c r="R46" s="46"/>
    </row>
    <row r="47" spans="1:18" s="40" customFormat="1" ht="15.75" customHeight="1" x14ac:dyDescent="0.2">
      <c r="A47" s="92"/>
      <c r="B47" s="76"/>
      <c r="C47" s="77"/>
      <c r="D47" s="45"/>
      <c r="E47" s="45"/>
      <c r="F47" s="45"/>
      <c r="G47" s="45"/>
      <c r="H47" s="45"/>
      <c r="I47" s="45"/>
      <c r="J47" s="45"/>
      <c r="K47" s="45"/>
      <c r="L47" s="45"/>
      <c r="M47" s="45"/>
      <c r="N47" s="45"/>
      <c r="O47" s="45"/>
      <c r="P47" s="46"/>
      <c r="R47" s="46"/>
    </row>
    <row r="48" spans="1:18" s="40" customFormat="1" ht="15.75" customHeight="1" x14ac:dyDescent="0.2">
      <c r="A48" s="92"/>
      <c r="B48" s="76"/>
      <c r="C48" s="77"/>
      <c r="D48" s="45"/>
      <c r="E48" s="45"/>
      <c r="F48" s="45"/>
      <c r="G48" s="45"/>
      <c r="H48" s="45"/>
      <c r="I48" s="45"/>
      <c r="J48" s="45"/>
      <c r="K48" s="45"/>
      <c r="L48" s="45"/>
      <c r="M48" s="45"/>
      <c r="N48" s="45"/>
      <c r="O48" s="45"/>
      <c r="P48" s="43"/>
      <c r="R48" s="46"/>
    </row>
    <row r="49" spans="1:18" s="40" customFormat="1" ht="15.75" customHeight="1" x14ac:dyDescent="0.2">
      <c r="A49" s="92"/>
      <c r="B49" s="76"/>
      <c r="C49" s="77"/>
      <c r="D49" s="45"/>
      <c r="E49" s="45"/>
      <c r="F49" s="45"/>
      <c r="G49" s="45"/>
      <c r="H49" s="45"/>
      <c r="I49" s="45"/>
      <c r="J49" s="45"/>
      <c r="K49" s="45"/>
      <c r="L49" s="45"/>
      <c r="M49" s="45"/>
      <c r="N49" s="45"/>
      <c r="O49" s="45"/>
      <c r="P49" s="43"/>
      <c r="R49" s="46"/>
    </row>
    <row r="50" spans="1:18" s="40" customFormat="1" ht="15.75" customHeight="1" x14ac:dyDescent="0.2">
      <c r="A50" s="92"/>
      <c r="B50" s="76"/>
      <c r="C50" s="77"/>
      <c r="D50" s="45"/>
      <c r="E50" s="45"/>
      <c r="F50" s="45"/>
      <c r="G50" s="45"/>
      <c r="H50" s="45"/>
      <c r="I50" s="45"/>
      <c r="J50" s="45"/>
      <c r="K50" s="45"/>
      <c r="L50" s="45"/>
      <c r="M50" s="45"/>
      <c r="N50" s="45"/>
      <c r="O50" s="45"/>
      <c r="P50" s="46"/>
      <c r="R50" s="46"/>
    </row>
    <row r="51" spans="1:18" s="40" customFormat="1" ht="15.75" customHeight="1" x14ac:dyDescent="0.2">
      <c r="A51" s="92"/>
      <c r="B51" s="76"/>
      <c r="C51" s="77"/>
      <c r="D51" s="45"/>
      <c r="E51" s="45"/>
      <c r="F51" s="45"/>
      <c r="G51" s="45"/>
      <c r="H51" s="45"/>
      <c r="I51" s="45"/>
      <c r="J51" s="45"/>
      <c r="K51" s="45"/>
      <c r="L51" s="45"/>
      <c r="M51" s="45"/>
      <c r="N51" s="45"/>
      <c r="O51" s="45"/>
      <c r="P51" s="43"/>
      <c r="R51" s="46"/>
    </row>
    <row r="52" spans="1:18" s="40" customFormat="1" ht="15.75" customHeight="1" x14ac:dyDescent="0.2">
      <c r="A52" s="92"/>
      <c r="B52" s="76"/>
      <c r="C52" s="77"/>
      <c r="D52" s="45"/>
      <c r="E52" s="45"/>
      <c r="F52" s="45"/>
      <c r="G52" s="45"/>
      <c r="H52" s="45"/>
      <c r="I52" s="45"/>
      <c r="J52" s="45"/>
      <c r="K52" s="45"/>
      <c r="L52" s="45"/>
      <c r="M52" s="45"/>
      <c r="N52" s="45"/>
      <c r="O52" s="45"/>
      <c r="P52" s="43"/>
      <c r="R52" s="46"/>
    </row>
    <row r="53" spans="1:18" s="40" customFormat="1" ht="15.75" customHeight="1" x14ac:dyDescent="0.2">
      <c r="A53" s="92"/>
      <c r="B53" s="76"/>
      <c r="C53" s="77"/>
      <c r="D53" s="45"/>
      <c r="E53" s="45"/>
      <c r="F53" s="45"/>
      <c r="G53" s="45"/>
      <c r="H53" s="45"/>
      <c r="I53" s="45"/>
      <c r="J53" s="45"/>
      <c r="K53" s="45"/>
      <c r="L53" s="45"/>
      <c r="M53" s="45"/>
      <c r="N53" s="45"/>
      <c r="O53" s="45"/>
      <c r="P53" s="43"/>
      <c r="R53" s="46"/>
    </row>
    <row r="54" spans="1:18" s="40" customFormat="1" ht="15.75" customHeight="1" x14ac:dyDescent="0.2">
      <c r="A54" s="92"/>
      <c r="B54" s="76"/>
      <c r="C54" s="77"/>
      <c r="D54" s="45"/>
      <c r="E54" s="45"/>
      <c r="F54" s="45"/>
      <c r="G54" s="45"/>
      <c r="H54" s="45"/>
      <c r="I54" s="45"/>
      <c r="J54" s="45"/>
      <c r="K54" s="45"/>
      <c r="L54" s="45"/>
      <c r="M54" s="45"/>
      <c r="N54" s="45"/>
      <c r="O54" s="45"/>
      <c r="P54" s="43"/>
      <c r="R54" s="46"/>
    </row>
    <row r="55" spans="1:18" s="40" customFormat="1" ht="15.75" customHeight="1" x14ac:dyDescent="0.2">
      <c r="A55" s="92"/>
      <c r="B55" s="76"/>
      <c r="C55" s="77"/>
      <c r="D55" s="45"/>
      <c r="E55" s="45"/>
      <c r="F55" s="45"/>
      <c r="G55" s="45"/>
      <c r="H55" s="45"/>
      <c r="I55" s="45"/>
      <c r="J55" s="45"/>
      <c r="K55" s="45"/>
      <c r="L55" s="45"/>
      <c r="M55" s="45"/>
      <c r="N55" s="45"/>
      <c r="O55" s="45"/>
      <c r="P55" s="43"/>
      <c r="R55" s="46"/>
    </row>
    <row r="56" spans="1:18" s="40" customFormat="1" ht="15" x14ac:dyDescent="0.2">
      <c r="A56" s="92"/>
      <c r="B56" s="76"/>
      <c r="C56" s="77"/>
      <c r="D56" s="45"/>
      <c r="E56" s="45"/>
      <c r="F56" s="45"/>
      <c r="G56" s="45"/>
      <c r="H56" s="45"/>
      <c r="I56" s="45"/>
      <c r="J56" s="45"/>
      <c r="K56" s="45"/>
      <c r="L56" s="45"/>
      <c r="M56" s="45"/>
      <c r="N56" s="45"/>
      <c r="O56" s="45"/>
      <c r="P56" s="46"/>
      <c r="R56" s="46"/>
    </row>
    <row r="57" spans="1:18" s="40" customFormat="1" ht="15.75" customHeight="1" x14ac:dyDescent="0.2">
      <c r="A57" s="92"/>
      <c r="B57" s="76"/>
      <c r="C57" s="77"/>
      <c r="D57" s="45"/>
      <c r="E57" s="45"/>
      <c r="F57" s="45"/>
      <c r="G57" s="45"/>
      <c r="H57" s="45"/>
      <c r="I57" s="45"/>
      <c r="J57" s="45"/>
      <c r="K57" s="45"/>
      <c r="L57" s="45"/>
      <c r="M57" s="45"/>
      <c r="N57" s="45"/>
      <c r="O57" s="45"/>
      <c r="P57" s="46"/>
      <c r="R57" s="46"/>
    </row>
    <row r="58" spans="1:18" s="40" customFormat="1" ht="15.75" customHeight="1" x14ac:dyDescent="0.2">
      <c r="A58" s="92"/>
      <c r="B58" s="76"/>
      <c r="C58" s="77"/>
      <c r="D58" s="45"/>
      <c r="E58" s="45"/>
      <c r="F58" s="45"/>
      <c r="G58" s="45"/>
      <c r="H58" s="45"/>
      <c r="I58" s="45"/>
      <c r="J58" s="45"/>
      <c r="K58" s="45"/>
      <c r="L58" s="45"/>
      <c r="M58" s="45"/>
      <c r="N58" s="45"/>
      <c r="O58" s="45"/>
      <c r="P58" s="43"/>
      <c r="R58" s="46"/>
    </row>
    <row r="59" spans="1:18" s="40" customFormat="1" ht="15" x14ac:dyDescent="0.2">
      <c r="A59" s="92"/>
      <c r="B59" s="76"/>
      <c r="C59" s="77"/>
      <c r="D59" s="45"/>
      <c r="E59" s="45"/>
      <c r="F59" s="45"/>
      <c r="G59" s="45"/>
      <c r="H59" s="45"/>
      <c r="I59" s="45"/>
      <c r="J59" s="45"/>
      <c r="K59" s="45"/>
      <c r="L59" s="45"/>
      <c r="M59" s="45"/>
      <c r="N59" s="45"/>
      <c r="O59" s="45"/>
      <c r="P59" s="46"/>
      <c r="R59" s="46"/>
    </row>
    <row r="60" spans="1:18" s="40" customFormat="1" ht="15.75" customHeight="1" x14ac:dyDescent="0.2">
      <c r="A60" s="92"/>
      <c r="B60" s="76"/>
      <c r="C60" s="52"/>
      <c r="D60" s="45"/>
      <c r="E60" s="45"/>
      <c r="F60" s="45"/>
      <c r="G60" s="45"/>
      <c r="H60" s="45"/>
      <c r="I60" s="45"/>
      <c r="J60" s="45"/>
      <c r="K60" s="45"/>
      <c r="L60" s="45"/>
      <c r="M60" s="45"/>
      <c r="N60" s="45"/>
      <c r="O60" s="45"/>
      <c r="P60" s="46"/>
      <c r="R60" s="46"/>
    </row>
    <row r="61" spans="1:18" s="40" customFormat="1" ht="15" x14ac:dyDescent="0.2">
      <c r="A61" s="92"/>
      <c r="B61" s="76"/>
      <c r="C61" s="77"/>
      <c r="D61" s="45"/>
      <c r="E61" s="45"/>
      <c r="F61" s="45"/>
      <c r="G61" s="45"/>
      <c r="H61" s="45"/>
      <c r="I61" s="45"/>
      <c r="J61" s="45"/>
      <c r="K61" s="45"/>
      <c r="L61" s="45"/>
      <c r="M61" s="45"/>
      <c r="N61" s="45"/>
      <c r="O61" s="45"/>
      <c r="P61" s="46"/>
      <c r="R61" s="46"/>
    </row>
    <row r="62" spans="1:18" s="40" customFormat="1" ht="15" x14ac:dyDescent="0.2">
      <c r="A62" s="92"/>
      <c r="B62" s="76"/>
      <c r="C62" s="77"/>
      <c r="D62" s="45"/>
      <c r="E62" s="45"/>
      <c r="F62" s="45"/>
      <c r="G62" s="45"/>
      <c r="H62" s="45"/>
      <c r="I62" s="45"/>
      <c r="J62" s="45"/>
      <c r="K62" s="45"/>
      <c r="L62" s="45"/>
      <c r="M62" s="45"/>
      <c r="N62" s="45"/>
      <c r="O62" s="45"/>
      <c r="P62" s="46"/>
      <c r="R62" s="46"/>
    </row>
    <row r="63" spans="1:18" s="40" customFormat="1" ht="15.75" customHeight="1" x14ac:dyDescent="0.2">
      <c r="A63" s="92"/>
      <c r="B63" s="76"/>
      <c r="C63" s="77"/>
      <c r="D63" s="45"/>
      <c r="E63" s="45"/>
      <c r="F63" s="45"/>
      <c r="G63" s="45"/>
      <c r="H63" s="45"/>
      <c r="I63" s="45"/>
      <c r="J63" s="45"/>
      <c r="K63" s="45"/>
      <c r="L63" s="45"/>
      <c r="M63" s="45"/>
      <c r="N63" s="45"/>
      <c r="O63" s="45"/>
      <c r="P63" s="46"/>
      <c r="R63" s="46"/>
    </row>
    <row r="64" spans="1:18" s="40" customFormat="1" ht="15.75" customHeight="1" x14ac:dyDescent="0.2">
      <c r="A64" s="92"/>
      <c r="B64" s="76"/>
      <c r="C64" s="77"/>
      <c r="D64" s="45"/>
      <c r="E64" s="45"/>
      <c r="F64" s="45"/>
      <c r="G64" s="45"/>
      <c r="H64" s="45"/>
      <c r="I64" s="45"/>
      <c r="J64" s="45"/>
      <c r="K64" s="45"/>
      <c r="L64" s="45"/>
      <c r="M64" s="45"/>
      <c r="N64" s="45"/>
      <c r="O64" s="45"/>
      <c r="P64" s="43"/>
      <c r="R64" s="46"/>
    </row>
    <row r="65" spans="1:18" s="40" customFormat="1" ht="15.75" customHeight="1" x14ac:dyDescent="0.2">
      <c r="A65" s="92"/>
      <c r="B65" s="76"/>
      <c r="C65" s="77"/>
      <c r="D65" s="45"/>
      <c r="E65" s="45"/>
      <c r="F65" s="45"/>
      <c r="G65" s="45"/>
      <c r="H65" s="45"/>
      <c r="I65" s="45"/>
      <c r="J65" s="45"/>
      <c r="K65" s="45"/>
      <c r="L65" s="45"/>
      <c r="M65" s="45"/>
      <c r="N65" s="45"/>
      <c r="O65" s="45"/>
      <c r="P65" s="43"/>
      <c r="R65" s="46"/>
    </row>
    <row r="66" spans="1:18" s="40" customFormat="1" ht="15.75" customHeight="1" x14ac:dyDescent="0.2">
      <c r="A66" s="92"/>
      <c r="B66" s="76"/>
      <c r="C66" s="45"/>
      <c r="D66" s="45"/>
      <c r="E66" s="45"/>
      <c r="F66" s="45"/>
      <c r="G66" s="45"/>
      <c r="H66" s="45"/>
      <c r="I66" s="45"/>
      <c r="J66" s="45"/>
      <c r="K66" s="45"/>
      <c r="L66" s="45"/>
      <c r="M66" s="45"/>
      <c r="N66" s="45"/>
      <c r="O66" s="45"/>
      <c r="P66" s="43"/>
      <c r="R66" s="46"/>
    </row>
    <row r="67" spans="1:18" s="56" customFormat="1" ht="27" customHeight="1" x14ac:dyDescent="0.2">
      <c r="A67" s="92"/>
      <c r="B67" s="76"/>
      <c r="C67" s="45"/>
      <c r="D67" s="76"/>
      <c r="E67" s="76"/>
      <c r="F67" s="76"/>
      <c r="G67" s="76"/>
      <c r="H67" s="76"/>
      <c r="I67" s="76"/>
      <c r="J67" s="76"/>
      <c r="K67" s="76"/>
      <c r="L67" s="76"/>
      <c r="M67" s="76"/>
      <c r="N67" s="45"/>
      <c r="O67" s="69"/>
      <c r="R67" s="46"/>
    </row>
    <row r="68" spans="1:18" s="56" customFormat="1" ht="27" customHeight="1" x14ac:dyDescent="0.2">
      <c r="A68" s="92"/>
      <c r="B68" s="76"/>
      <c r="C68" s="45"/>
      <c r="D68" s="76"/>
      <c r="E68" s="76"/>
      <c r="F68" s="76"/>
      <c r="G68" s="76"/>
      <c r="H68" s="76"/>
      <c r="I68" s="76"/>
      <c r="J68" s="76"/>
      <c r="K68" s="76"/>
      <c r="L68" s="76"/>
      <c r="M68" s="76"/>
      <c r="N68" s="45"/>
      <c r="O68" s="69"/>
      <c r="R68" s="46"/>
    </row>
    <row r="69" spans="1:18" s="56" customFormat="1" ht="27" customHeight="1" x14ac:dyDescent="0.2">
      <c r="A69" s="92"/>
      <c r="B69" s="76"/>
      <c r="C69" s="45"/>
      <c r="D69" s="45"/>
      <c r="E69" s="45"/>
      <c r="F69" s="45"/>
      <c r="G69" s="45"/>
      <c r="H69" s="45"/>
      <c r="I69" s="45"/>
      <c r="J69" s="45"/>
      <c r="K69" s="45"/>
      <c r="L69" s="45"/>
      <c r="M69" s="45"/>
      <c r="N69" s="45"/>
      <c r="O69" s="69"/>
      <c r="R69" s="46"/>
    </row>
    <row r="70" spans="1:18" s="56" customFormat="1" ht="27" customHeight="1" x14ac:dyDescent="0.2">
      <c r="A70" s="92"/>
      <c r="B70" s="76"/>
      <c r="C70" s="45"/>
      <c r="D70" s="76"/>
      <c r="E70" s="45"/>
      <c r="F70" s="45"/>
      <c r="G70" s="45"/>
      <c r="H70" s="45"/>
      <c r="I70" s="45"/>
      <c r="J70" s="45"/>
      <c r="K70" s="45"/>
      <c r="L70" s="45"/>
      <c r="M70" s="45"/>
      <c r="N70" s="45"/>
      <c r="O70" s="69"/>
      <c r="R70" s="88"/>
    </row>
    <row r="71" spans="1:18" s="56" customFormat="1" ht="27" customHeight="1" x14ac:dyDescent="0.2">
      <c r="A71" s="92"/>
      <c r="B71" s="76"/>
      <c r="C71" s="45"/>
      <c r="D71" s="45"/>
      <c r="E71" s="45"/>
      <c r="F71" s="45"/>
      <c r="G71" s="45"/>
      <c r="H71" s="45"/>
      <c r="I71" s="45"/>
      <c r="J71" s="45"/>
      <c r="K71" s="45"/>
      <c r="L71" s="45"/>
      <c r="M71" s="45"/>
      <c r="N71" s="45"/>
      <c r="O71" s="69"/>
      <c r="R71" s="88"/>
    </row>
    <row r="72" spans="1:18" s="56" customFormat="1" ht="27" customHeight="1" x14ac:dyDescent="0.2">
      <c r="A72" s="92"/>
      <c r="B72" s="76"/>
      <c r="C72" s="45"/>
      <c r="D72" s="45"/>
      <c r="E72" s="45"/>
      <c r="F72" s="45"/>
      <c r="G72" s="45"/>
      <c r="H72" s="45"/>
      <c r="I72" s="45"/>
      <c r="J72" s="45"/>
      <c r="K72" s="45"/>
      <c r="L72" s="45"/>
      <c r="M72" s="45"/>
      <c r="N72" s="45"/>
      <c r="O72" s="69"/>
      <c r="R72" s="88"/>
    </row>
    <row r="73" spans="1:18" s="56" customFormat="1" ht="27" customHeight="1" x14ac:dyDescent="0.2">
      <c r="A73" s="92"/>
      <c r="B73" s="76"/>
      <c r="C73" s="45"/>
      <c r="D73" s="45"/>
      <c r="E73" s="45"/>
      <c r="F73" s="45"/>
      <c r="G73" s="45"/>
      <c r="H73" s="45"/>
      <c r="I73" s="45"/>
      <c r="J73" s="45"/>
      <c r="K73" s="45"/>
      <c r="L73" s="45"/>
      <c r="M73" s="45"/>
      <c r="N73" s="45"/>
      <c r="O73" s="69"/>
      <c r="R73" s="88"/>
    </row>
    <row r="74" spans="1:18" s="56" customFormat="1" ht="27" customHeight="1" x14ac:dyDescent="0.2">
      <c r="A74" s="92"/>
      <c r="B74" s="63"/>
      <c r="C74" s="77"/>
      <c r="D74" s="77"/>
      <c r="E74" s="77"/>
      <c r="F74" s="77"/>
      <c r="G74" s="77"/>
      <c r="H74" s="77"/>
      <c r="I74" s="77"/>
      <c r="J74" s="77"/>
      <c r="K74" s="77"/>
      <c r="L74" s="77"/>
      <c r="M74" s="77"/>
      <c r="N74" s="77"/>
      <c r="O74" s="42"/>
      <c r="R74" s="88"/>
    </row>
    <row r="75" spans="1:18" s="56" customFormat="1" ht="15" x14ac:dyDescent="0.2">
      <c r="A75" s="92"/>
      <c r="B75" s="63"/>
      <c r="C75" s="77"/>
      <c r="D75" s="77"/>
      <c r="E75" s="77"/>
      <c r="F75" s="77"/>
      <c r="G75" s="77"/>
      <c r="H75" s="77"/>
      <c r="I75" s="77"/>
      <c r="J75" s="77"/>
      <c r="K75" s="77"/>
      <c r="L75" s="77"/>
      <c r="M75" s="77"/>
      <c r="N75" s="77"/>
      <c r="O75" s="42"/>
      <c r="R75" s="88"/>
    </row>
    <row r="76" spans="1:18" s="56" customFormat="1" ht="15.75" customHeight="1" x14ac:dyDescent="0.2">
      <c r="A76" s="92"/>
      <c r="B76" s="63"/>
      <c r="C76" s="77"/>
      <c r="D76" s="63"/>
      <c r="E76" s="63"/>
      <c r="F76" s="63"/>
      <c r="G76" s="63"/>
      <c r="H76" s="63"/>
      <c r="I76" s="63"/>
      <c r="J76" s="63"/>
      <c r="K76" s="63"/>
      <c r="L76" s="63"/>
      <c r="M76" s="63"/>
      <c r="N76" s="77"/>
      <c r="O76" s="42"/>
      <c r="R76" s="88"/>
    </row>
    <row r="77" spans="1:18" s="56" customFormat="1" ht="15.75" customHeight="1" x14ac:dyDescent="0.2">
      <c r="A77" s="92"/>
      <c r="B77" s="63"/>
      <c r="C77" s="77"/>
      <c r="D77" s="77"/>
      <c r="E77" s="77"/>
      <c r="F77" s="77"/>
      <c r="G77" s="77"/>
      <c r="H77" s="77"/>
      <c r="I77" s="77"/>
      <c r="J77" s="77"/>
      <c r="K77" s="77"/>
      <c r="L77" s="77"/>
      <c r="M77" s="77"/>
      <c r="N77" s="77"/>
      <c r="O77" s="42"/>
      <c r="R77" s="46"/>
    </row>
    <row r="78" spans="1:18" s="56" customFormat="1" ht="15.75" customHeight="1" x14ac:dyDescent="0.2">
      <c r="A78" s="92"/>
      <c r="B78" s="63"/>
      <c r="C78" s="77"/>
      <c r="D78" s="77"/>
      <c r="E78" s="77"/>
      <c r="F78" s="77"/>
      <c r="G78" s="77"/>
      <c r="H78" s="77"/>
      <c r="I78" s="77"/>
      <c r="J78" s="77"/>
      <c r="K78" s="77"/>
      <c r="L78" s="77"/>
      <c r="M78" s="77"/>
      <c r="N78" s="77"/>
      <c r="O78" s="42"/>
      <c r="R78" s="88"/>
    </row>
    <row r="79" spans="1:18" s="56" customFormat="1" ht="15.75" customHeight="1" x14ac:dyDescent="0.2">
      <c r="A79" s="92"/>
      <c r="B79" s="63"/>
      <c r="C79" s="77"/>
      <c r="D79" s="77"/>
      <c r="E79" s="77"/>
      <c r="F79" s="77"/>
      <c r="G79" s="77"/>
      <c r="H79" s="77"/>
      <c r="I79" s="77"/>
      <c r="J79" s="77"/>
      <c r="K79" s="77"/>
      <c r="L79" s="77"/>
      <c r="M79" s="77"/>
      <c r="N79" s="77"/>
      <c r="O79" s="42"/>
      <c r="R79" s="88"/>
    </row>
    <row r="80" spans="1:18" s="56" customFormat="1" ht="15.75" customHeight="1" x14ac:dyDescent="0.2">
      <c r="A80" s="92"/>
      <c r="B80" s="54"/>
      <c r="C80" s="49"/>
      <c r="D80" s="49"/>
      <c r="E80" s="49"/>
      <c r="F80" s="49"/>
      <c r="G80" s="49"/>
      <c r="H80" s="49"/>
      <c r="I80" s="49"/>
      <c r="J80" s="49"/>
      <c r="K80" s="49"/>
      <c r="L80" s="49"/>
      <c r="M80" s="49"/>
      <c r="N80" s="77"/>
      <c r="O80" s="77"/>
      <c r="R80" s="57"/>
    </row>
    <row r="81" spans="1:18" s="56" customFormat="1" ht="15.75" customHeight="1" x14ac:dyDescent="0.2">
      <c r="A81" s="92"/>
      <c r="B81" s="63"/>
      <c r="C81" s="77"/>
      <c r="D81" s="77"/>
      <c r="E81" s="77"/>
      <c r="F81" s="77"/>
      <c r="G81" s="77"/>
      <c r="H81" s="77"/>
      <c r="I81" s="77"/>
      <c r="J81" s="77"/>
      <c r="K81" s="77"/>
      <c r="L81" s="77"/>
      <c r="M81" s="77"/>
      <c r="N81" s="77"/>
      <c r="O81" s="77"/>
      <c r="R81" s="88"/>
    </row>
    <row r="82" spans="1:18" s="56" customFormat="1" ht="15.75" customHeight="1" x14ac:dyDescent="0.2">
      <c r="A82" s="92"/>
      <c r="B82" s="63"/>
      <c r="C82" s="77"/>
      <c r="D82" s="77"/>
      <c r="E82" s="77"/>
      <c r="F82" s="77"/>
      <c r="G82" s="77"/>
      <c r="H82" s="77"/>
      <c r="I82" s="77"/>
      <c r="J82" s="77"/>
      <c r="K82" s="77"/>
      <c r="L82" s="77"/>
      <c r="M82" s="77"/>
      <c r="N82" s="77"/>
      <c r="O82" s="77"/>
      <c r="P82" s="49"/>
      <c r="R82" s="88"/>
    </row>
    <row r="83" spans="1:18" s="56" customFormat="1" ht="15.75" customHeight="1" x14ac:dyDescent="0.2">
      <c r="A83" s="92"/>
      <c r="B83" s="63"/>
      <c r="C83" s="77"/>
      <c r="D83" s="77"/>
      <c r="E83" s="77"/>
      <c r="F83" s="77"/>
      <c r="G83" s="77"/>
      <c r="H83" s="77"/>
      <c r="I83" s="77"/>
      <c r="J83" s="77"/>
      <c r="K83" s="77"/>
      <c r="L83" s="77"/>
      <c r="M83" s="77"/>
      <c r="N83" s="77"/>
      <c r="O83" s="77"/>
      <c r="P83" s="49"/>
      <c r="R83" s="88"/>
    </row>
    <row r="84" spans="1:18" s="56" customFormat="1" ht="15.75" customHeight="1" x14ac:dyDescent="0.2">
      <c r="A84" s="92"/>
      <c r="B84" s="63"/>
      <c r="C84" s="77"/>
      <c r="D84" s="77"/>
      <c r="E84" s="77"/>
      <c r="F84" s="77"/>
      <c r="G84" s="77"/>
      <c r="H84" s="77"/>
      <c r="I84" s="77"/>
      <c r="J84" s="77"/>
      <c r="K84" s="77"/>
      <c r="L84" s="77"/>
      <c r="M84" s="77"/>
      <c r="N84" s="77"/>
      <c r="O84" s="77"/>
      <c r="P84" s="49"/>
      <c r="R84" s="81"/>
    </row>
    <row r="85" spans="1:18" s="56" customFormat="1" ht="15.75" customHeight="1" x14ac:dyDescent="0.2">
      <c r="A85" s="92"/>
      <c r="B85" s="63"/>
      <c r="C85" s="77"/>
      <c r="D85" s="78"/>
      <c r="E85" s="77"/>
      <c r="F85" s="77"/>
      <c r="G85" s="77"/>
      <c r="H85" s="77"/>
      <c r="I85" s="67"/>
      <c r="J85" s="77"/>
      <c r="K85" s="77"/>
      <c r="L85" s="77"/>
      <c r="M85" s="77"/>
      <c r="N85" s="77"/>
      <c r="O85" s="77"/>
      <c r="P85" s="49"/>
      <c r="R85" s="88"/>
    </row>
    <row r="86" spans="1:18" s="56" customFormat="1" ht="15.75" customHeight="1" x14ac:dyDescent="0.2">
      <c r="A86" s="92"/>
      <c r="B86" s="63"/>
      <c r="C86" s="77"/>
      <c r="D86" s="78"/>
      <c r="E86" s="77"/>
      <c r="F86" s="77"/>
      <c r="G86" s="77"/>
      <c r="H86" s="77"/>
      <c r="I86" s="77"/>
      <c r="J86" s="77"/>
      <c r="K86" s="77"/>
      <c r="L86" s="77"/>
      <c r="M86" s="77"/>
      <c r="N86" s="77"/>
      <c r="O86" s="77"/>
      <c r="P86" s="49"/>
      <c r="R86" s="46"/>
    </row>
    <row r="87" spans="1:18" s="56" customFormat="1" ht="15" x14ac:dyDescent="0.2">
      <c r="A87" s="92"/>
      <c r="B87" s="63"/>
      <c r="C87" s="77"/>
      <c r="D87" s="77"/>
      <c r="E87" s="77"/>
      <c r="F87" s="77"/>
      <c r="G87" s="77"/>
      <c r="H87" s="77"/>
      <c r="I87" s="77"/>
      <c r="J87" s="77"/>
      <c r="K87" s="77"/>
      <c r="L87" s="77"/>
      <c r="M87" s="77"/>
      <c r="N87" s="77"/>
      <c r="O87" s="77"/>
      <c r="P87" s="49"/>
      <c r="R87" s="46"/>
    </row>
    <row r="88" spans="1:18" s="56" customFormat="1" ht="15" x14ac:dyDescent="0.2">
      <c r="A88" s="92"/>
      <c r="B88" s="63"/>
      <c r="C88" s="77"/>
      <c r="D88" s="77"/>
      <c r="E88" s="77"/>
      <c r="F88" s="77"/>
      <c r="G88" s="77"/>
      <c r="H88" s="77"/>
      <c r="I88" s="77"/>
      <c r="J88" s="77"/>
      <c r="K88" s="77"/>
      <c r="L88" s="77"/>
      <c r="M88" s="77"/>
      <c r="N88" s="77"/>
      <c r="O88" s="77"/>
      <c r="P88" s="46"/>
      <c r="R88" s="46"/>
    </row>
    <row r="89" spans="1:18" s="56" customFormat="1" ht="15.75" customHeight="1" x14ac:dyDescent="0.2">
      <c r="A89" s="92"/>
      <c r="B89" s="63"/>
      <c r="C89" s="77"/>
      <c r="D89" s="77"/>
      <c r="E89" s="77"/>
      <c r="F89" s="77"/>
      <c r="G89" s="77"/>
      <c r="H89" s="77"/>
      <c r="I89" s="77"/>
      <c r="J89" s="77"/>
      <c r="K89" s="77"/>
      <c r="L89" s="77"/>
      <c r="M89" s="77"/>
      <c r="N89" s="77"/>
      <c r="O89" s="77"/>
      <c r="P89" s="46"/>
      <c r="R89" s="88"/>
    </row>
    <row r="90" spans="1:18" s="56" customFormat="1" ht="15.75" customHeight="1" x14ac:dyDescent="0.2">
      <c r="A90" s="92"/>
      <c r="B90" s="63"/>
      <c r="C90" s="78"/>
      <c r="D90" s="77"/>
      <c r="E90" s="77"/>
      <c r="F90" s="77"/>
      <c r="G90" s="77"/>
      <c r="H90" s="77"/>
      <c r="I90" s="77"/>
      <c r="J90" s="77"/>
      <c r="K90" s="77"/>
      <c r="L90" s="77"/>
      <c r="M90" s="77"/>
      <c r="N90" s="77"/>
      <c r="O90" s="77"/>
      <c r="P90" s="46"/>
      <c r="R90" s="88"/>
    </row>
    <row r="91" spans="1:18" s="56" customFormat="1" ht="26.65" customHeight="1" x14ac:dyDescent="0.2">
      <c r="A91" s="92"/>
      <c r="B91" s="63"/>
      <c r="C91" s="78"/>
      <c r="D91" s="77"/>
      <c r="E91" s="77"/>
      <c r="F91" s="77"/>
      <c r="G91" s="77"/>
      <c r="H91" s="77"/>
      <c r="I91" s="77"/>
      <c r="J91" s="77"/>
      <c r="K91" s="77"/>
      <c r="L91" s="77"/>
      <c r="M91" s="77"/>
      <c r="N91" s="77"/>
      <c r="O91" s="77"/>
      <c r="P91" s="46"/>
      <c r="R91" s="88"/>
    </row>
    <row r="92" spans="1:18" s="56" customFormat="1" ht="15.75" customHeight="1" x14ac:dyDescent="0.2">
      <c r="A92" s="92"/>
      <c r="B92" s="63"/>
      <c r="C92" s="78"/>
      <c r="D92" s="77"/>
      <c r="E92" s="77"/>
      <c r="F92" s="77"/>
      <c r="G92" s="77"/>
      <c r="H92" s="77"/>
      <c r="I92" s="77"/>
      <c r="J92" s="77"/>
      <c r="K92" s="77"/>
      <c r="L92" s="77"/>
      <c r="M92" s="77"/>
      <c r="N92" s="77"/>
      <c r="O92" s="77"/>
      <c r="P92" s="46"/>
      <c r="R92" s="88"/>
    </row>
    <row r="93" spans="1:18" s="56" customFormat="1" ht="15.75" customHeight="1" x14ac:dyDescent="0.2">
      <c r="A93" s="92"/>
      <c r="B93" s="63"/>
      <c r="C93" s="78"/>
      <c r="D93" s="77"/>
      <c r="E93" s="77"/>
      <c r="F93" s="77"/>
      <c r="G93" s="77"/>
      <c r="H93" s="77"/>
      <c r="I93" s="77"/>
      <c r="J93" s="77"/>
      <c r="K93" s="77"/>
      <c r="L93" s="77"/>
      <c r="M93" s="77"/>
      <c r="N93" s="77"/>
      <c r="O93" s="77"/>
      <c r="P93" s="46"/>
      <c r="R93" s="88"/>
    </row>
    <row r="94" spans="1:18" s="56" customFormat="1" ht="15.75" customHeight="1" x14ac:dyDescent="0.2">
      <c r="A94" s="92"/>
      <c r="B94" s="63"/>
      <c r="C94" s="78"/>
      <c r="D94" s="77"/>
      <c r="E94" s="77"/>
      <c r="F94" s="77"/>
      <c r="G94" s="77"/>
      <c r="H94" s="77"/>
      <c r="I94" s="77"/>
      <c r="J94" s="77"/>
      <c r="K94" s="77"/>
      <c r="L94" s="77"/>
      <c r="M94" s="77"/>
      <c r="N94" s="77"/>
      <c r="O94" s="77"/>
      <c r="P94" s="49"/>
      <c r="R94" s="88"/>
    </row>
    <row r="95" spans="1:18" s="56" customFormat="1" ht="15.75" customHeight="1" x14ac:dyDescent="0.2">
      <c r="A95" s="92"/>
      <c r="B95" s="63"/>
      <c r="C95" s="78"/>
      <c r="D95" s="77"/>
      <c r="E95" s="77"/>
      <c r="F95" s="77"/>
      <c r="G95" s="77"/>
      <c r="H95" s="77"/>
      <c r="I95" s="77"/>
      <c r="J95" s="77"/>
      <c r="K95" s="77"/>
      <c r="L95" s="77"/>
      <c r="M95" s="77"/>
      <c r="N95" s="77"/>
      <c r="O95" s="77"/>
      <c r="P95" s="49"/>
      <c r="R95" s="46"/>
    </row>
    <row r="96" spans="1:18" s="56" customFormat="1" ht="15.75" customHeight="1" x14ac:dyDescent="0.2">
      <c r="A96" s="92"/>
      <c r="B96" s="63"/>
      <c r="C96" s="78"/>
      <c r="D96" s="77"/>
      <c r="E96" s="77"/>
      <c r="F96" s="77"/>
      <c r="G96" s="77"/>
      <c r="H96" s="77"/>
      <c r="I96" s="77"/>
      <c r="J96" s="77"/>
      <c r="K96" s="77"/>
      <c r="L96" s="77"/>
      <c r="M96" s="77"/>
      <c r="N96" s="77"/>
      <c r="O96" s="77"/>
      <c r="P96" s="49"/>
      <c r="R96" s="88"/>
    </row>
    <row r="97" spans="1:18" s="56" customFormat="1" ht="15.75" customHeight="1" x14ac:dyDescent="0.2">
      <c r="A97" s="92"/>
      <c r="B97" s="63"/>
      <c r="C97" s="78"/>
      <c r="D97" s="77"/>
      <c r="E97" s="77"/>
      <c r="F97" s="77"/>
      <c r="G97" s="77"/>
      <c r="H97" s="77"/>
      <c r="I97" s="77"/>
      <c r="J97" s="77"/>
      <c r="K97" s="77"/>
      <c r="L97" s="77"/>
      <c r="M97" s="77"/>
      <c r="N97" s="77"/>
      <c r="O97" s="77"/>
      <c r="P97" s="49"/>
      <c r="R97" s="88"/>
    </row>
    <row r="98" spans="1:18" s="56" customFormat="1" ht="15.75" customHeight="1" x14ac:dyDescent="0.2">
      <c r="A98" s="92"/>
      <c r="B98" s="63"/>
      <c r="C98" s="78"/>
      <c r="D98" s="77"/>
      <c r="E98" s="77"/>
      <c r="F98" s="77"/>
      <c r="G98" s="77"/>
      <c r="H98" s="77"/>
      <c r="I98" s="77"/>
      <c r="J98" s="77"/>
      <c r="K98" s="77"/>
      <c r="L98" s="77"/>
      <c r="M98" s="77"/>
      <c r="N98" s="77"/>
      <c r="O98" s="77"/>
      <c r="P98" s="49"/>
      <c r="R98" s="88"/>
    </row>
    <row r="99" spans="1:18" s="56" customFormat="1" ht="15.75" customHeight="1" x14ac:dyDescent="0.2">
      <c r="A99" s="92"/>
      <c r="B99" s="63"/>
      <c r="C99" s="78"/>
      <c r="D99" s="77"/>
      <c r="E99" s="77"/>
      <c r="F99" s="77"/>
      <c r="G99" s="77"/>
      <c r="H99" s="77"/>
      <c r="I99" s="77"/>
      <c r="J99" s="77"/>
      <c r="K99" s="77"/>
      <c r="L99" s="77"/>
      <c r="M99" s="77"/>
      <c r="N99" s="77"/>
      <c r="O99" s="77"/>
      <c r="P99" s="49"/>
      <c r="R99" s="88"/>
    </row>
    <row r="100" spans="1:18" s="56" customFormat="1" ht="15.75" customHeight="1" x14ac:dyDescent="0.2">
      <c r="A100" s="92"/>
      <c r="B100" s="63"/>
      <c r="C100" s="78"/>
      <c r="D100" s="77"/>
      <c r="E100" s="77"/>
      <c r="F100" s="77"/>
      <c r="G100" s="77"/>
      <c r="H100" s="77"/>
      <c r="I100" s="77"/>
      <c r="J100" s="77"/>
      <c r="K100" s="77"/>
      <c r="L100" s="77"/>
      <c r="M100" s="77"/>
      <c r="N100" s="77"/>
      <c r="O100" s="77"/>
      <c r="P100" s="49"/>
      <c r="R100" s="88"/>
    </row>
    <row r="101" spans="1:18" s="56" customFormat="1" ht="15.75" customHeight="1" x14ac:dyDescent="0.2">
      <c r="A101" s="92"/>
      <c r="B101" s="63"/>
      <c r="C101" s="78"/>
      <c r="D101" s="77"/>
      <c r="E101" s="77"/>
      <c r="F101" s="77"/>
      <c r="G101" s="77"/>
      <c r="H101" s="77"/>
      <c r="I101" s="77"/>
      <c r="J101" s="77"/>
      <c r="K101" s="77"/>
      <c r="L101" s="77"/>
      <c r="M101" s="77"/>
      <c r="N101" s="77"/>
      <c r="O101" s="77"/>
      <c r="P101" s="49"/>
      <c r="R101" s="88"/>
    </row>
    <row r="102" spans="1:18" s="56" customFormat="1" ht="15.75" customHeight="1" x14ac:dyDescent="0.2">
      <c r="A102" s="92"/>
      <c r="B102" s="63"/>
      <c r="C102" s="78"/>
      <c r="D102" s="77"/>
      <c r="E102" s="77"/>
      <c r="F102" s="77"/>
      <c r="G102" s="77"/>
      <c r="H102" s="77"/>
      <c r="I102" s="77"/>
      <c r="J102" s="77"/>
      <c r="K102" s="77"/>
      <c r="L102" s="77"/>
      <c r="M102" s="77"/>
      <c r="N102" s="77"/>
      <c r="O102" s="77"/>
      <c r="P102" s="49"/>
      <c r="R102" s="88"/>
    </row>
    <row r="103" spans="1:18" s="56" customFormat="1" ht="15.75" customHeight="1" x14ac:dyDescent="0.2">
      <c r="A103" s="92"/>
      <c r="B103" s="63"/>
      <c r="C103" s="78"/>
      <c r="D103" s="77"/>
      <c r="E103" s="77"/>
      <c r="F103" s="77"/>
      <c r="G103" s="77"/>
      <c r="H103" s="77"/>
      <c r="I103" s="77"/>
      <c r="J103" s="77"/>
      <c r="K103" s="77"/>
      <c r="L103" s="77"/>
      <c r="M103" s="77"/>
      <c r="N103" s="77"/>
      <c r="O103" s="77"/>
      <c r="P103" s="49"/>
      <c r="R103" s="88"/>
    </row>
    <row r="104" spans="1:18" s="56" customFormat="1" ht="99.75" customHeight="1" x14ac:dyDescent="0.2">
      <c r="A104" s="92"/>
      <c r="B104" s="63"/>
      <c r="C104" s="76"/>
      <c r="D104" s="76"/>
      <c r="E104" s="76"/>
      <c r="F104" s="76"/>
      <c r="G104" s="76"/>
      <c r="H104" s="76"/>
      <c r="I104" s="76"/>
      <c r="J104" s="76"/>
      <c r="K104" s="76"/>
      <c r="L104" s="76"/>
      <c r="M104" s="76"/>
      <c r="N104" s="76"/>
      <c r="O104" s="63"/>
      <c r="P104" s="49"/>
      <c r="R104" s="57"/>
    </row>
    <row r="105" spans="1:18" s="56" customFormat="1" ht="47.25" customHeight="1" x14ac:dyDescent="0.2">
      <c r="A105" s="92"/>
      <c r="B105" s="63"/>
      <c r="C105" s="63"/>
      <c r="D105" s="63"/>
      <c r="E105" s="63"/>
      <c r="F105" s="63"/>
      <c r="G105" s="63"/>
      <c r="H105" s="63"/>
      <c r="I105" s="63"/>
      <c r="J105" s="63"/>
      <c r="K105" s="63"/>
      <c r="L105" s="63"/>
      <c r="M105" s="63"/>
      <c r="N105" s="63"/>
      <c r="O105" s="87"/>
      <c r="P105" s="87"/>
      <c r="R105" s="88"/>
    </row>
    <row r="106" spans="1:18" s="44" customFormat="1" ht="15" x14ac:dyDescent="0.2">
      <c r="A106" s="92"/>
    </row>
    <row r="107" spans="1:18" s="44" customFormat="1" ht="15" x14ac:dyDescent="0.2">
      <c r="A107" s="92"/>
    </row>
    <row r="108" spans="1:18" s="44" customFormat="1" ht="15" x14ac:dyDescent="0.2">
      <c r="A108" s="92"/>
    </row>
    <row r="109" spans="1:18" s="44" customFormat="1" ht="15" x14ac:dyDescent="0.2">
      <c r="A109" s="92"/>
    </row>
    <row r="110" spans="1:18" s="44" customFormat="1" ht="15" x14ac:dyDescent="0.2">
      <c r="A110" s="92"/>
    </row>
    <row r="111" spans="1:18" s="44" customFormat="1" ht="15" x14ac:dyDescent="0.2">
      <c r="A111" s="92"/>
    </row>
    <row r="112" spans="1:18" s="44" customFormat="1" ht="15" x14ac:dyDescent="0.2">
      <c r="A112" s="92"/>
    </row>
    <row r="113" spans="1:1" s="44" customFormat="1" ht="15" x14ac:dyDescent="0.2">
      <c r="A113" s="92"/>
    </row>
    <row r="114" spans="1:1" s="44" customFormat="1" ht="15" x14ac:dyDescent="0.2">
      <c r="A114" s="92"/>
    </row>
    <row r="115" spans="1:1" s="44" customFormat="1" ht="15" x14ac:dyDescent="0.2">
      <c r="A115" s="92"/>
    </row>
    <row r="116" spans="1:1" s="44" customFormat="1" ht="15" x14ac:dyDescent="0.2">
      <c r="A116" s="92"/>
    </row>
    <row r="117" spans="1:1" s="44" customFormat="1" ht="15" x14ac:dyDescent="0.2">
      <c r="A117" s="92"/>
    </row>
    <row r="118" spans="1:1" s="44" customFormat="1" ht="15" x14ac:dyDescent="0.2">
      <c r="A118" s="92"/>
    </row>
    <row r="119" spans="1:1" s="44" customFormat="1" ht="15" x14ac:dyDescent="0.2">
      <c r="A119" s="92"/>
    </row>
    <row r="120" spans="1:1" s="44" customFormat="1" ht="15" x14ac:dyDescent="0.2">
      <c r="A120" s="92"/>
    </row>
  </sheetData>
  <sheetProtection sheet="1" objects="1" scenarios="1"/>
  <hyperlinks>
    <hyperlink ref="B4" r:id="rId1" xr:uid="{34F33343-EC94-4D40-8197-FE100CDEB6AB}"/>
    <hyperlink ref="B7" r:id="rId2" xr:uid="{ED08806A-BC34-47F3-85C2-C0D126BF10B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4DFFA-C065-4577-9709-FFAE3165AAC1}">
  <dimension ref="A3:E17"/>
  <sheetViews>
    <sheetView workbookViewId="0">
      <selection activeCell="B6" sqref="B6"/>
    </sheetView>
  </sheetViews>
  <sheetFormatPr defaultColWidth="8.85546875" defaultRowHeight="12.75" x14ac:dyDescent="0.2"/>
  <cols>
    <col min="1" max="1" width="29" style="92" customWidth="1"/>
    <col min="2" max="2" width="28.28515625" style="92" bestFit="1" customWidth="1"/>
    <col min="3" max="3" width="26.7109375" style="92" customWidth="1"/>
    <col min="4" max="16384" width="8.85546875" style="92"/>
  </cols>
  <sheetData>
    <row r="3" spans="1:5" x14ac:dyDescent="0.2">
      <c r="C3" s="92" t="s">
        <v>83</v>
      </c>
    </row>
    <row r="4" spans="1:5" ht="15" x14ac:dyDescent="0.2">
      <c r="A4" s="118" t="s">
        <v>5</v>
      </c>
      <c r="B4" s="119">
        <v>44246</v>
      </c>
      <c r="C4" s="92" t="s">
        <v>84</v>
      </c>
    </row>
    <row r="5" spans="1:5" ht="15" x14ac:dyDescent="0.2">
      <c r="A5" s="118" t="s">
        <v>85</v>
      </c>
      <c r="B5" s="120">
        <v>43868</v>
      </c>
      <c r="C5" s="92" t="s">
        <v>86</v>
      </c>
    </row>
    <row r="6" spans="1:5" s="125" customFormat="1" ht="15" x14ac:dyDescent="0.2">
      <c r="A6" s="123"/>
      <c r="B6" s="124"/>
    </row>
    <row r="7" spans="1:5" ht="15" x14ac:dyDescent="0.2">
      <c r="A7" s="118"/>
    </row>
    <row r="9" spans="1:5" x14ac:dyDescent="0.2">
      <c r="B9" s="138" t="s">
        <v>87</v>
      </c>
      <c r="C9" s="138"/>
      <c r="D9" s="138"/>
      <c r="E9" s="138"/>
    </row>
    <row r="10" spans="1:5" x14ac:dyDescent="0.2">
      <c r="B10" s="138"/>
      <c r="C10" s="138"/>
      <c r="D10" s="138"/>
      <c r="E10" s="138"/>
    </row>
    <row r="11" spans="1:5" ht="15" customHeight="1" x14ac:dyDescent="0.2">
      <c r="A11" s="118" t="s">
        <v>88</v>
      </c>
      <c r="B11" s="138"/>
      <c r="C11" s="138"/>
      <c r="D11" s="138"/>
      <c r="E11" s="138"/>
    </row>
    <row r="12" spans="1:5" ht="15" x14ac:dyDescent="0.2">
      <c r="A12" s="121">
        <v>1281</v>
      </c>
      <c r="B12" s="138"/>
      <c r="C12" s="138"/>
      <c r="D12" s="138"/>
      <c r="E12" s="138"/>
    </row>
    <row r="13" spans="1:5" ht="13.15" customHeight="1" x14ac:dyDescent="0.2">
      <c r="B13" s="138"/>
      <c r="C13" s="138"/>
      <c r="D13" s="138"/>
      <c r="E13" s="138"/>
    </row>
    <row r="14" spans="1:5" ht="13.15" customHeight="1" x14ac:dyDescent="0.2">
      <c r="B14" s="138"/>
      <c r="C14" s="138"/>
      <c r="D14" s="138"/>
      <c r="E14" s="138"/>
    </row>
    <row r="15" spans="1:5" ht="13.15" customHeight="1" x14ac:dyDescent="0.2"/>
    <row r="16" spans="1:5" ht="13.15" customHeight="1" x14ac:dyDescent="0.2"/>
    <row r="17" spans="4:5" ht="19.5" x14ac:dyDescent="0.2">
      <c r="D17" s="122"/>
      <c r="E17" s="122"/>
    </row>
  </sheetData>
  <mergeCells count="1">
    <mergeCell ref="B9:E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B4C71-1814-4C9C-9E21-ACA8AE5319C8}">
  <dimension ref="A1:H164"/>
  <sheetViews>
    <sheetView showGridLines="0" workbookViewId="0">
      <selection activeCell="F14" sqref="F14"/>
    </sheetView>
  </sheetViews>
  <sheetFormatPr defaultRowHeight="12.75" x14ac:dyDescent="0.2"/>
  <cols>
    <col min="1" max="1" width="35.140625" style="4" bestFit="1" customWidth="1"/>
    <col min="2" max="2" width="16.42578125" style="4" bestFit="1" customWidth="1"/>
    <col min="3" max="3" width="8.140625" style="4" bestFit="1" customWidth="1"/>
    <col min="4" max="4" width="10.85546875" style="4" bestFit="1" customWidth="1"/>
    <col min="5" max="5" width="7.42578125" style="4" bestFit="1" customWidth="1"/>
    <col min="6" max="6" width="7.5703125" style="4" bestFit="1" customWidth="1"/>
    <col min="7" max="7" width="4.5703125" style="4" bestFit="1" customWidth="1"/>
    <col min="8" max="8" width="11.5703125" bestFit="1" customWidth="1"/>
  </cols>
  <sheetData>
    <row r="1" spans="1:8" x14ac:dyDescent="0.2">
      <c r="A1" s="1" t="s">
        <v>89</v>
      </c>
      <c r="H1" s="92"/>
    </row>
    <row r="2" spans="1:8" x14ac:dyDescent="0.2">
      <c r="A2" s="8"/>
      <c r="H2" s="92"/>
    </row>
    <row r="3" spans="1:8" x14ac:dyDescent="0.2">
      <c r="A3" s="7" t="s">
        <v>90</v>
      </c>
      <c r="B3" s="7" t="s">
        <v>91</v>
      </c>
      <c r="C3"/>
      <c r="D3"/>
      <c r="E3"/>
      <c r="F3"/>
      <c r="G3"/>
    </row>
    <row r="4" spans="1:8" x14ac:dyDescent="0.2">
      <c r="A4" s="7" t="s">
        <v>92</v>
      </c>
      <c r="B4" s="92" t="s">
        <v>93</v>
      </c>
      <c r="C4" s="92" t="s">
        <v>94</v>
      </c>
      <c r="D4" s="92" t="s">
        <v>95</v>
      </c>
      <c r="E4" s="92" t="s">
        <v>96</v>
      </c>
      <c r="F4" s="92" t="s">
        <v>97</v>
      </c>
      <c r="G4" s="92" t="s">
        <v>98</v>
      </c>
      <c r="H4" s="92" t="s">
        <v>99</v>
      </c>
    </row>
    <row r="5" spans="1:8" x14ac:dyDescent="0.2">
      <c r="A5" s="3" t="s">
        <v>100</v>
      </c>
      <c r="B5" s="6"/>
      <c r="C5" s="6">
        <v>87</v>
      </c>
      <c r="D5" s="6">
        <v>27</v>
      </c>
      <c r="E5" s="6">
        <v>5</v>
      </c>
      <c r="F5" s="6"/>
      <c r="G5" s="6">
        <v>1</v>
      </c>
      <c r="H5" s="6">
        <v>120</v>
      </c>
    </row>
    <row r="6" spans="1:8" x14ac:dyDescent="0.2">
      <c r="A6" s="2" t="s">
        <v>101</v>
      </c>
      <c r="B6" s="6"/>
      <c r="C6" s="6">
        <v>20</v>
      </c>
      <c r="D6" s="6">
        <v>3</v>
      </c>
      <c r="E6" s="6">
        <v>1</v>
      </c>
      <c r="F6" s="6"/>
      <c r="G6" s="6"/>
      <c r="H6" s="6">
        <v>24</v>
      </c>
    </row>
    <row r="7" spans="1:8" x14ac:dyDescent="0.2">
      <c r="A7" s="2" t="s">
        <v>102</v>
      </c>
      <c r="B7" s="6"/>
      <c r="C7" s="6">
        <v>3</v>
      </c>
      <c r="D7" s="6">
        <v>3</v>
      </c>
      <c r="E7" s="6">
        <v>1</v>
      </c>
      <c r="F7" s="6"/>
      <c r="G7" s="6"/>
      <c r="H7" s="6">
        <v>7</v>
      </c>
    </row>
    <row r="8" spans="1:8" x14ac:dyDescent="0.2">
      <c r="A8" s="2" t="s">
        <v>103</v>
      </c>
      <c r="B8" s="6"/>
      <c r="C8" s="6">
        <v>2</v>
      </c>
      <c r="D8" s="6">
        <v>1</v>
      </c>
      <c r="E8" s="6"/>
      <c r="F8" s="6"/>
      <c r="G8" s="6"/>
      <c r="H8" s="6">
        <v>3</v>
      </c>
    </row>
    <row r="9" spans="1:8" x14ac:dyDescent="0.2">
      <c r="A9" s="2" t="s">
        <v>104</v>
      </c>
      <c r="B9" s="6"/>
      <c r="C9" s="6">
        <v>17</v>
      </c>
      <c r="D9" s="6">
        <v>4</v>
      </c>
      <c r="E9" s="6"/>
      <c r="F9" s="6"/>
      <c r="G9" s="6"/>
      <c r="H9" s="6">
        <v>21</v>
      </c>
    </row>
    <row r="10" spans="1:8" x14ac:dyDescent="0.2">
      <c r="A10" s="2" t="s">
        <v>105</v>
      </c>
      <c r="B10" s="6"/>
      <c r="C10" s="6">
        <v>9</v>
      </c>
      <c r="D10" s="6">
        <v>5</v>
      </c>
      <c r="E10" s="6">
        <v>2</v>
      </c>
      <c r="F10" s="6"/>
      <c r="G10" s="6"/>
      <c r="H10" s="6">
        <v>16</v>
      </c>
    </row>
    <row r="11" spans="1:8" x14ac:dyDescent="0.2">
      <c r="A11" s="2" t="s">
        <v>106</v>
      </c>
      <c r="B11" s="6"/>
      <c r="C11" s="6">
        <v>5</v>
      </c>
      <c r="D11" s="6">
        <v>3</v>
      </c>
      <c r="E11" s="6"/>
      <c r="F11" s="6"/>
      <c r="G11" s="6"/>
      <c r="H11" s="6">
        <v>8</v>
      </c>
    </row>
    <row r="12" spans="1:8" x14ac:dyDescent="0.2">
      <c r="A12" s="2" t="s">
        <v>107</v>
      </c>
      <c r="B12" s="6"/>
      <c r="C12" s="6">
        <v>15</v>
      </c>
      <c r="D12" s="6">
        <v>4</v>
      </c>
      <c r="E12" s="6">
        <v>1</v>
      </c>
      <c r="F12" s="6"/>
      <c r="G12" s="6">
        <v>1</v>
      </c>
      <c r="H12" s="6">
        <v>21</v>
      </c>
    </row>
    <row r="13" spans="1:8" x14ac:dyDescent="0.2">
      <c r="A13" s="2" t="s">
        <v>108</v>
      </c>
      <c r="B13" s="6"/>
      <c r="C13" s="6">
        <v>12</v>
      </c>
      <c r="D13" s="6">
        <v>3</v>
      </c>
      <c r="E13" s="6"/>
      <c r="F13" s="6"/>
      <c r="G13" s="6"/>
      <c r="H13" s="6">
        <v>15</v>
      </c>
    </row>
    <row r="14" spans="1:8" x14ac:dyDescent="0.2">
      <c r="A14" s="2" t="s">
        <v>109</v>
      </c>
      <c r="B14" s="6"/>
      <c r="C14" s="6">
        <v>4</v>
      </c>
      <c r="D14" s="6">
        <v>1</v>
      </c>
      <c r="E14" s="6"/>
      <c r="F14" s="6"/>
      <c r="G14" s="6"/>
      <c r="H14" s="6">
        <v>5</v>
      </c>
    </row>
    <row r="15" spans="1:8" x14ac:dyDescent="0.2">
      <c r="A15" s="3" t="s">
        <v>110</v>
      </c>
      <c r="B15" s="6"/>
      <c r="C15" s="6">
        <v>124</v>
      </c>
      <c r="D15" s="6">
        <v>33</v>
      </c>
      <c r="E15" s="6">
        <v>12</v>
      </c>
      <c r="F15" s="6"/>
      <c r="G15" s="6">
        <v>4</v>
      </c>
      <c r="H15" s="6">
        <v>173</v>
      </c>
    </row>
    <row r="16" spans="1:8" x14ac:dyDescent="0.2">
      <c r="A16" s="2" t="s">
        <v>111</v>
      </c>
      <c r="B16" s="6"/>
      <c r="C16" s="6">
        <v>8</v>
      </c>
      <c r="D16" s="6">
        <v>1</v>
      </c>
      <c r="E16" s="6">
        <v>1</v>
      </c>
      <c r="F16" s="6"/>
      <c r="G16" s="6"/>
      <c r="H16" s="6">
        <v>10</v>
      </c>
    </row>
    <row r="17" spans="1:8" x14ac:dyDescent="0.2">
      <c r="A17" s="2" t="s">
        <v>112</v>
      </c>
      <c r="B17" s="6"/>
      <c r="C17" s="6">
        <v>17</v>
      </c>
      <c r="D17" s="6">
        <v>4</v>
      </c>
      <c r="E17" s="6">
        <v>3</v>
      </c>
      <c r="F17" s="6"/>
      <c r="G17" s="6"/>
      <c r="H17" s="6">
        <v>24</v>
      </c>
    </row>
    <row r="18" spans="1:8" x14ac:dyDescent="0.2">
      <c r="A18" s="2" t="s">
        <v>113</v>
      </c>
      <c r="B18" s="6"/>
      <c r="C18" s="6">
        <v>5</v>
      </c>
      <c r="D18" s="6">
        <v>4</v>
      </c>
      <c r="E18" s="6"/>
      <c r="F18" s="6"/>
      <c r="G18" s="6"/>
      <c r="H18" s="6">
        <v>9</v>
      </c>
    </row>
    <row r="19" spans="1:8" x14ac:dyDescent="0.2">
      <c r="A19" s="2" t="s">
        <v>114</v>
      </c>
      <c r="B19" s="6"/>
      <c r="C19" s="6">
        <v>15</v>
      </c>
      <c r="D19" s="6">
        <v>4</v>
      </c>
      <c r="E19" s="6">
        <v>1</v>
      </c>
      <c r="F19" s="6"/>
      <c r="G19" s="6">
        <v>3</v>
      </c>
      <c r="H19" s="6">
        <v>23</v>
      </c>
    </row>
    <row r="20" spans="1:8" x14ac:dyDescent="0.2">
      <c r="A20" s="2" t="s">
        <v>115</v>
      </c>
      <c r="B20" s="6"/>
      <c r="C20" s="6">
        <v>8</v>
      </c>
      <c r="D20" s="6"/>
      <c r="E20" s="6"/>
      <c r="F20" s="6"/>
      <c r="G20" s="6"/>
      <c r="H20" s="6">
        <v>8</v>
      </c>
    </row>
    <row r="21" spans="1:8" x14ac:dyDescent="0.2">
      <c r="A21" s="2" t="s">
        <v>116</v>
      </c>
      <c r="B21" s="6"/>
      <c r="C21" s="6">
        <v>6</v>
      </c>
      <c r="D21" s="6">
        <v>1</v>
      </c>
      <c r="E21" s="6">
        <v>1</v>
      </c>
      <c r="F21" s="6"/>
      <c r="G21" s="6"/>
      <c r="H21" s="6">
        <v>8</v>
      </c>
    </row>
    <row r="22" spans="1:8" x14ac:dyDescent="0.2">
      <c r="A22" s="2" t="s">
        <v>117</v>
      </c>
      <c r="B22" s="6"/>
      <c r="C22" s="6">
        <v>25</v>
      </c>
      <c r="D22" s="6">
        <v>4</v>
      </c>
      <c r="E22" s="6"/>
      <c r="F22" s="6"/>
      <c r="G22" s="6">
        <v>1</v>
      </c>
      <c r="H22" s="6">
        <v>30</v>
      </c>
    </row>
    <row r="23" spans="1:8" x14ac:dyDescent="0.2">
      <c r="A23" s="2" t="s">
        <v>118</v>
      </c>
      <c r="B23" s="6"/>
      <c r="C23" s="6">
        <v>14</v>
      </c>
      <c r="D23" s="6">
        <v>2</v>
      </c>
      <c r="E23" s="6">
        <v>4</v>
      </c>
      <c r="F23" s="6"/>
      <c r="G23" s="6"/>
      <c r="H23" s="6">
        <v>20</v>
      </c>
    </row>
    <row r="24" spans="1:8" x14ac:dyDescent="0.2">
      <c r="A24" s="2" t="s">
        <v>119</v>
      </c>
      <c r="B24" s="6"/>
      <c r="C24" s="6">
        <v>19</v>
      </c>
      <c r="D24" s="6">
        <v>8</v>
      </c>
      <c r="E24" s="6">
        <v>1</v>
      </c>
      <c r="F24" s="6"/>
      <c r="G24" s="6"/>
      <c r="H24" s="6">
        <v>28</v>
      </c>
    </row>
    <row r="25" spans="1:8" x14ac:dyDescent="0.2">
      <c r="A25" s="2" t="s">
        <v>120</v>
      </c>
      <c r="B25" s="6"/>
      <c r="C25" s="6">
        <v>5</v>
      </c>
      <c r="D25" s="6">
        <v>2</v>
      </c>
      <c r="E25" s="6">
        <v>1</v>
      </c>
      <c r="F25" s="6"/>
      <c r="G25" s="6"/>
      <c r="H25" s="6">
        <v>8</v>
      </c>
    </row>
    <row r="26" spans="1:8" x14ac:dyDescent="0.2">
      <c r="A26" s="2" t="s">
        <v>121</v>
      </c>
      <c r="B26" s="6"/>
      <c r="C26" s="6">
        <v>2</v>
      </c>
      <c r="D26" s="6">
        <v>3</v>
      </c>
      <c r="E26" s="6"/>
      <c r="F26" s="6"/>
      <c r="G26" s="6"/>
      <c r="H26" s="6">
        <v>5</v>
      </c>
    </row>
    <row r="27" spans="1:8" x14ac:dyDescent="0.2">
      <c r="A27" s="3" t="s">
        <v>122</v>
      </c>
      <c r="B27" s="6">
        <v>5</v>
      </c>
      <c r="C27" s="6">
        <v>90</v>
      </c>
      <c r="D27" s="6">
        <v>34</v>
      </c>
      <c r="E27" s="6">
        <v>10</v>
      </c>
      <c r="F27" s="6"/>
      <c r="G27" s="6">
        <v>2</v>
      </c>
      <c r="H27" s="6">
        <v>141</v>
      </c>
    </row>
    <row r="28" spans="1:8" x14ac:dyDescent="0.2">
      <c r="A28" s="2" t="s">
        <v>123</v>
      </c>
      <c r="B28" s="6"/>
      <c r="C28" s="6">
        <v>2</v>
      </c>
      <c r="D28" s="6">
        <v>2</v>
      </c>
      <c r="E28" s="6"/>
      <c r="F28" s="6"/>
      <c r="G28" s="6"/>
      <c r="H28" s="6">
        <v>4</v>
      </c>
    </row>
    <row r="29" spans="1:8" x14ac:dyDescent="0.2">
      <c r="A29" s="2" t="s">
        <v>124</v>
      </c>
      <c r="B29" s="6"/>
      <c r="C29" s="6">
        <v>1</v>
      </c>
      <c r="D29" s="6">
        <v>1</v>
      </c>
      <c r="E29" s="6">
        <v>1</v>
      </c>
      <c r="F29" s="6"/>
      <c r="G29" s="6"/>
      <c r="H29" s="6">
        <v>3</v>
      </c>
    </row>
    <row r="30" spans="1:8" x14ac:dyDescent="0.2">
      <c r="A30" s="2" t="s">
        <v>125</v>
      </c>
      <c r="B30" s="6"/>
      <c r="C30" s="6">
        <v>1</v>
      </c>
      <c r="D30" s="6">
        <v>1</v>
      </c>
      <c r="E30" s="6"/>
      <c r="F30" s="6"/>
      <c r="G30" s="6"/>
      <c r="H30" s="6">
        <v>2</v>
      </c>
    </row>
    <row r="31" spans="1:8" x14ac:dyDescent="0.2">
      <c r="A31" s="2" t="s">
        <v>126</v>
      </c>
      <c r="B31" s="6"/>
      <c r="C31" s="6">
        <v>4</v>
      </c>
      <c r="D31" s="6">
        <v>1</v>
      </c>
      <c r="E31" s="6"/>
      <c r="F31" s="6"/>
      <c r="G31" s="6"/>
      <c r="H31" s="6">
        <v>5</v>
      </c>
    </row>
    <row r="32" spans="1:8" x14ac:dyDescent="0.2">
      <c r="A32" s="2" t="s">
        <v>127</v>
      </c>
      <c r="B32" s="6"/>
      <c r="C32" s="6">
        <v>4</v>
      </c>
      <c r="D32" s="6"/>
      <c r="E32" s="6"/>
      <c r="F32" s="6"/>
      <c r="G32" s="6"/>
      <c r="H32" s="6">
        <v>4</v>
      </c>
    </row>
    <row r="33" spans="1:8" x14ac:dyDescent="0.2">
      <c r="A33" s="2" t="s">
        <v>128</v>
      </c>
      <c r="B33" s="6"/>
      <c r="C33" s="6">
        <v>3</v>
      </c>
      <c r="D33" s="6">
        <v>2</v>
      </c>
      <c r="E33" s="6"/>
      <c r="F33" s="6"/>
      <c r="G33" s="6"/>
      <c r="H33" s="6">
        <v>5</v>
      </c>
    </row>
    <row r="34" spans="1:8" x14ac:dyDescent="0.2">
      <c r="A34" s="2" t="s">
        <v>129</v>
      </c>
      <c r="B34" s="6"/>
      <c r="C34" s="6">
        <v>2</v>
      </c>
      <c r="D34" s="6">
        <v>1</v>
      </c>
      <c r="E34" s="6">
        <v>2</v>
      </c>
      <c r="F34" s="6"/>
      <c r="G34" s="6"/>
      <c r="H34" s="6">
        <v>5</v>
      </c>
    </row>
    <row r="35" spans="1:8" x14ac:dyDescent="0.2">
      <c r="A35" s="2" t="s">
        <v>130</v>
      </c>
      <c r="B35" s="6"/>
      <c r="C35" s="6">
        <v>3</v>
      </c>
      <c r="D35" s="6"/>
      <c r="E35" s="6"/>
      <c r="F35" s="6"/>
      <c r="G35" s="6"/>
      <c r="H35" s="6">
        <v>3</v>
      </c>
    </row>
    <row r="36" spans="1:8" x14ac:dyDescent="0.2">
      <c r="A36" s="2" t="s">
        <v>131</v>
      </c>
      <c r="B36" s="6"/>
      <c r="C36" s="6">
        <v>4</v>
      </c>
      <c r="D36" s="6"/>
      <c r="E36" s="6"/>
      <c r="F36" s="6"/>
      <c r="G36" s="6"/>
      <c r="H36" s="6">
        <v>4</v>
      </c>
    </row>
    <row r="37" spans="1:8" x14ac:dyDescent="0.2">
      <c r="A37" s="2" t="s">
        <v>132</v>
      </c>
      <c r="B37" s="6">
        <v>1</v>
      </c>
      <c r="C37" s="6">
        <v>3</v>
      </c>
      <c r="D37" s="6">
        <v>1</v>
      </c>
      <c r="E37" s="6"/>
      <c r="F37" s="6"/>
      <c r="G37" s="6"/>
      <c r="H37" s="6">
        <v>5</v>
      </c>
    </row>
    <row r="38" spans="1:8" x14ac:dyDescent="0.2">
      <c r="A38" s="2" t="s">
        <v>133</v>
      </c>
      <c r="B38" s="6"/>
      <c r="C38" s="6">
        <v>6</v>
      </c>
      <c r="D38" s="6">
        <v>2</v>
      </c>
      <c r="E38" s="6"/>
      <c r="F38" s="6"/>
      <c r="G38" s="6"/>
      <c r="H38" s="6">
        <v>8</v>
      </c>
    </row>
    <row r="39" spans="1:8" x14ac:dyDescent="0.2">
      <c r="A39" s="2" t="s">
        <v>134</v>
      </c>
      <c r="B39" s="6"/>
      <c r="C39" s="6">
        <v>4</v>
      </c>
      <c r="D39" s="6"/>
      <c r="E39" s="6"/>
      <c r="F39" s="6"/>
      <c r="G39" s="6"/>
      <c r="H39" s="6">
        <v>4</v>
      </c>
    </row>
    <row r="40" spans="1:8" x14ac:dyDescent="0.2">
      <c r="A40" s="2" t="s">
        <v>135</v>
      </c>
      <c r="B40" s="6"/>
      <c r="C40" s="6">
        <v>2</v>
      </c>
      <c r="D40" s="6">
        <v>1</v>
      </c>
      <c r="E40" s="6"/>
      <c r="F40" s="6"/>
      <c r="G40" s="6"/>
      <c r="H40" s="6">
        <v>3</v>
      </c>
    </row>
    <row r="41" spans="1:8" x14ac:dyDescent="0.2">
      <c r="A41" s="2" t="s">
        <v>136</v>
      </c>
      <c r="B41" s="6"/>
      <c r="C41" s="6">
        <v>3</v>
      </c>
      <c r="D41" s="6">
        <v>2</v>
      </c>
      <c r="E41" s="6"/>
      <c r="F41" s="6"/>
      <c r="G41" s="6"/>
      <c r="H41" s="6">
        <v>5</v>
      </c>
    </row>
    <row r="42" spans="1:8" x14ac:dyDescent="0.2">
      <c r="A42" s="2" t="s">
        <v>137</v>
      </c>
      <c r="B42" s="6">
        <v>1</v>
      </c>
      <c r="C42" s="6">
        <v>3</v>
      </c>
      <c r="D42" s="6">
        <v>1</v>
      </c>
      <c r="E42" s="6"/>
      <c r="F42" s="6"/>
      <c r="G42" s="6"/>
      <c r="H42" s="6">
        <v>5</v>
      </c>
    </row>
    <row r="43" spans="1:8" x14ac:dyDescent="0.2">
      <c r="A43" s="2" t="s">
        <v>138</v>
      </c>
      <c r="B43" s="6">
        <v>1</v>
      </c>
      <c r="C43" s="6">
        <v>3</v>
      </c>
      <c r="D43" s="6">
        <v>2</v>
      </c>
      <c r="E43" s="6"/>
      <c r="F43" s="6"/>
      <c r="G43" s="6"/>
      <c r="H43" s="6">
        <v>6</v>
      </c>
    </row>
    <row r="44" spans="1:8" x14ac:dyDescent="0.2">
      <c r="A44" s="2" t="s">
        <v>139</v>
      </c>
      <c r="B44" s="6"/>
      <c r="C44" s="6">
        <v>4</v>
      </c>
      <c r="D44" s="6">
        <v>2</v>
      </c>
      <c r="E44" s="6">
        <v>2</v>
      </c>
      <c r="F44" s="6"/>
      <c r="G44" s="6"/>
      <c r="H44" s="6">
        <v>8</v>
      </c>
    </row>
    <row r="45" spans="1:8" x14ac:dyDescent="0.2">
      <c r="A45" s="2" t="s">
        <v>140</v>
      </c>
      <c r="B45" s="6"/>
      <c r="C45" s="6">
        <v>1</v>
      </c>
      <c r="D45" s="6">
        <v>1</v>
      </c>
      <c r="E45" s="6"/>
      <c r="F45" s="6"/>
      <c r="G45" s="6"/>
      <c r="H45" s="6">
        <v>2</v>
      </c>
    </row>
    <row r="46" spans="1:8" x14ac:dyDescent="0.2">
      <c r="A46" s="2" t="s">
        <v>141</v>
      </c>
      <c r="B46" s="6">
        <v>1</v>
      </c>
      <c r="C46" s="6">
        <v>3</v>
      </c>
      <c r="D46" s="6">
        <v>3</v>
      </c>
      <c r="E46" s="6">
        <v>1</v>
      </c>
      <c r="F46" s="6"/>
      <c r="G46" s="6"/>
      <c r="H46" s="6">
        <v>8</v>
      </c>
    </row>
    <row r="47" spans="1:8" x14ac:dyDescent="0.2">
      <c r="A47" s="2" t="s">
        <v>142</v>
      </c>
      <c r="B47" s="6"/>
      <c r="C47" s="6">
        <v>4</v>
      </c>
      <c r="D47" s="6">
        <v>1</v>
      </c>
      <c r="E47" s="6"/>
      <c r="F47" s="6"/>
      <c r="G47" s="6"/>
      <c r="H47" s="6">
        <v>5</v>
      </c>
    </row>
    <row r="48" spans="1:8" x14ac:dyDescent="0.2">
      <c r="A48" s="2" t="s">
        <v>143</v>
      </c>
      <c r="B48" s="6"/>
      <c r="C48" s="6">
        <v>4</v>
      </c>
      <c r="D48" s="6">
        <v>1</v>
      </c>
      <c r="E48" s="6">
        <v>1</v>
      </c>
      <c r="F48" s="6"/>
      <c r="G48" s="6"/>
      <c r="H48" s="6">
        <v>6</v>
      </c>
    </row>
    <row r="49" spans="1:8" x14ac:dyDescent="0.2">
      <c r="A49" s="2" t="s">
        <v>144</v>
      </c>
      <c r="B49" s="6"/>
      <c r="C49" s="6">
        <v>7</v>
      </c>
      <c r="D49" s="6"/>
      <c r="E49" s="6"/>
      <c r="F49" s="6"/>
      <c r="G49" s="6"/>
      <c r="H49" s="6">
        <v>7</v>
      </c>
    </row>
    <row r="50" spans="1:8" x14ac:dyDescent="0.2">
      <c r="A50" s="2" t="s">
        <v>145</v>
      </c>
      <c r="B50" s="6"/>
      <c r="C50" s="6">
        <v>1</v>
      </c>
      <c r="D50" s="6">
        <v>2</v>
      </c>
      <c r="E50" s="6"/>
      <c r="F50" s="6"/>
      <c r="G50" s="6"/>
      <c r="H50" s="6">
        <v>3</v>
      </c>
    </row>
    <row r="51" spans="1:8" x14ac:dyDescent="0.2">
      <c r="A51" s="2" t="s">
        <v>146</v>
      </c>
      <c r="B51" s="6"/>
      <c r="C51" s="6">
        <v>4</v>
      </c>
      <c r="D51" s="6">
        <v>2</v>
      </c>
      <c r="E51" s="6"/>
      <c r="F51" s="6"/>
      <c r="G51" s="6"/>
      <c r="H51" s="6">
        <v>6</v>
      </c>
    </row>
    <row r="52" spans="1:8" x14ac:dyDescent="0.2">
      <c r="A52" s="2" t="s">
        <v>147</v>
      </c>
      <c r="B52" s="6"/>
      <c r="C52" s="6"/>
      <c r="D52" s="6"/>
      <c r="E52" s="6">
        <v>2</v>
      </c>
      <c r="F52" s="6"/>
      <c r="G52" s="6"/>
      <c r="H52" s="6">
        <v>2</v>
      </c>
    </row>
    <row r="53" spans="1:8" x14ac:dyDescent="0.2">
      <c r="A53" s="2" t="s">
        <v>148</v>
      </c>
      <c r="B53" s="6"/>
      <c r="C53" s="6">
        <v>3</v>
      </c>
      <c r="D53" s="6">
        <v>3</v>
      </c>
      <c r="E53" s="6"/>
      <c r="F53" s="6"/>
      <c r="G53" s="6"/>
      <c r="H53" s="6">
        <v>6</v>
      </c>
    </row>
    <row r="54" spans="1:8" x14ac:dyDescent="0.2">
      <c r="A54" s="2" t="s">
        <v>149</v>
      </c>
      <c r="B54" s="6"/>
      <c r="C54" s="6">
        <v>3</v>
      </c>
      <c r="D54" s="6">
        <v>1</v>
      </c>
      <c r="E54" s="6"/>
      <c r="F54" s="6"/>
      <c r="G54" s="6"/>
      <c r="H54" s="6">
        <v>4</v>
      </c>
    </row>
    <row r="55" spans="1:8" x14ac:dyDescent="0.2">
      <c r="A55" s="2" t="s">
        <v>150</v>
      </c>
      <c r="B55" s="6"/>
      <c r="C55" s="6">
        <v>3</v>
      </c>
      <c r="D55" s="6"/>
      <c r="E55" s="6"/>
      <c r="F55" s="6"/>
      <c r="G55" s="6"/>
      <c r="H55" s="6">
        <v>3</v>
      </c>
    </row>
    <row r="56" spans="1:8" x14ac:dyDescent="0.2">
      <c r="A56" s="2" t="s">
        <v>151</v>
      </c>
      <c r="B56" s="6">
        <v>1</v>
      </c>
      <c r="C56" s="6">
        <v>1</v>
      </c>
      <c r="D56" s="6"/>
      <c r="E56" s="6"/>
      <c r="F56" s="6"/>
      <c r="G56" s="6">
        <v>2</v>
      </c>
      <c r="H56" s="6">
        <v>4</v>
      </c>
    </row>
    <row r="57" spans="1:8" x14ac:dyDescent="0.2">
      <c r="A57" s="2" t="s">
        <v>152</v>
      </c>
      <c r="B57" s="6"/>
      <c r="C57" s="6">
        <v>1</v>
      </c>
      <c r="D57" s="6">
        <v>1</v>
      </c>
      <c r="E57" s="6">
        <v>1</v>
      </c>
      <c r="F57" s="6"/>
      <c r="G57" s="6"/>
      <c r="H57" s="6">
        <v>3</v>
      </c>
    </row>
    <row r="58" spans="1:8" x14ac:dyDescent="0.2">
      <c r="A58" s="2" t="s">
        <v>153</v>
      </c>
      <c r="B58" s="6"/>
      <c r="C58" s="6">
        <v>2</v>
      </c>
      <c r="D58" s="6"/>
      <c r="E58" s="6"/>
      <c r="F58" s="6"/>
      <c r="G58" s="6"/>
      <c r="H58" s="6">
        <v>2</v>
      </c>
    </row>
    <row r="59" spans="1:8" x14ac:dyDescent="0.2">
      <c r="A59" s="2" t="s">
        <v>154</v>
      </c>
      <c r="B59" s="6"/>
      <c r="C59" s="6">
        <v>1</v>
      </c>
      <c r="D59" s="6"/>
      <c r="E59" s="6"/>
      <c r="F59" s="6"/>
      <c r="G59" s="6"/>
      <c r="H59" s="6">
        <v>1</v>
      </c>
    </row>
    <row r="60" spans="1:8" x14ac:dyDescent="0.2">
      <c r="A60" s="3" t="s">
        <v>155</v>
      </c>
      <c r="B60" s="6">
        <v>2</v>
      </c>
      <c r="C60" s="6">
        <v>43</v>
      </c>
      <c r="D60" s="6">
        <v>20</v>
      </c>
      <c r="E60" s="6">
        <v>6</v>
      </c>
      <c r="F60" s="6"/>
      <c r="G60" s="6"/>
      <c r="H60" s="6">
        <v>71</v>
      </c>
    </row>
    <row r="61" spans="1:8" x14ac:dyDescent="0.2">
      <c r="A61" s="2" t="s">
        <v>156</v>
      </c>
      <c r="B61" s="6"/>
      <c r="C61" s="6">
        <v>3</v>
      </c>
      <c r="D61" s="6">
        <v>1</v>
      </c>
      <c r="E61" s="6">
        <v>1</v>
      </c>
      <c r="F61" s="6"/>
      <c r="G61" s="6"/>
      <c r="H61" s="6">
        <v>5</v>
      </c>
    </row>
    <row r="62" spans="1:8" x14ac:dyDescent="0.2">
      <c r="A62" s="2" t="s">
        <v>157</v>
      </c>
      <c r="B62" s="6">
        <v>1</v>
      </c>
      <c r="C62" s="6">
        <v>4</v>
      </c>
      <c r="D62" s="6"/>
      <c r="E62" s="6"/>
      <c r="F62" s="6"/>
      <c r="G62" s="6"/>
      <c r="H62" s="6">
        <v>5</v>
      </c>
    </row>
    <row r="63" spans="1:8" x14ac:dyDescent="0.2">
      <c r="A63" s="2" t="s">
        <v>158</v>
      </c>
      <c r="B63" s="6"/>
      <c r="C63" s="6">
        <v>6</v>
      </c>
      <c r="D63" s="6">
        <v>5</v>
      </c>
      <c r="E63" s="6">
        <v>1</v>
      </c>
      <c r="F63" s="6"/>
      <c r="G63" s="6"/>
      <c r="H63" s="6">
        <v>12</v>
      </c>
    </row>
    <row r="64" spans="1:8" x14ac:dyDescent="0.2">
      <c r="A64" s="2" t="s">
        <v>159</v>
      </c>
      <c r="B64" s="6"/>
      <c r="C64" s="6">
        <v>4</v>
      </c>
      <c r="D64" s="6">
        <v>2</v>
      </c>
      <c r="E64" s="6"/>
      <c r="F64" s="6"/>
      <c r="G64" s="6"/>
      <c r="H64" s="6">
        <v>6</v>
      </c>
    </row>
    <row r="65" spans="1:8" x14ac:dyDescent="0.2">
      <c r="A65" s="2" t="s">
        <v>160</v>
      </c>
      <c r="B65" s="6"/>
      <c r="C65" s="6">
        <v>4</v>
      </c>
      <c r="D65" s="6">
        <v>1</v>
      </c>
      <c r="E65" s="6">
        <v>1</v>
      </c>
      <c r="F65" s="6"/>
      <c r="G65" s="6"/>
      <c r="H65" s="6">
        <v>6</v>
      </c>
    </row>
    <row r="66" spans="1:8" x14ac:dyDescent="0.2">
      <c r="A66" s="2" t="s">
        <v>161</v>
      </c>
      <c r="B66" s="6"/>
      <c r="C66" s="6">
        <v>5</v>
      </c>
      <c r="D66" s="6">
        <v>2</v>
      </c>
      <c r="E66" s="6"/>
      <c r="F66" s="6"/>
      <c r="G66" s="6"/>
      <c r="H66" s="6">
        <v>7</v>
      </c>
    </row>
    <row r="67" spans="1:8" x14ac:dyDescent="0.2">
      <c r="A67" s="2" t="s">
        <v>162</v>
      </c>
      <c r="B67" s="6"/>
      <c r="C67" s="6">
        <v>3</v>
      </c>
      <c r="D67" s="6">
        <v>3</v>
      </c>
      <c r="E67" s="6"/>
      <c r="F67" s="6"/>
      <c r="G67" s="6"/>
      <c r="H67" s="6">
        <v>6</v>
      </c>
    </row>
    <row r="68" spans="1:8" x14ac:dyDescent="0.2">
      <c r="A68" s="2" t="s">
        <v>163</v>
      </c>
      <c r="B68" s="6"/>
      <c r="C68" s="6">
        <v>8</v>
      </c>
      <c r="D68" s="6"/>
      <c r="E68" s="6">
        <v>1</v>
      </c>
      <c r="F68" s="6"/>
      <c r="G68" s="6"/>
      <c r="H68" s="6">
        <v>9</v>
      </c>
    </row>
    <row r="69" spans="1:8" x14ac:dyDescent="0.2">
      <c r="A69" s="2" t="s">
        <v>164</v>
      </c>
      <c r="B69" s="6">
        <v>1</v>
      </c>
      <c r="C69" s="6">
        <v>3</v>
      </c>
      <c r="D69" s="6">
        <v>2</v>
      </c>
      <c r="E69" s="6"/>
      <c r="F69" s="6"/>
      <c r="G69" s="6"/>
      <c r="H69" s="6">
        <v>6</v>
      </c>
    </row>
    <row r="70" spans="1:8" x14ac:dyDescent="0.2">
      <c r="A70" s="2" t="s">
        <v>165</v>
      </c>
      <c r="B70" s="6"/>
      <c r="C70" s="6"/>
      <c r="D70" s="6">
        <v>2</v>
      </c>
      <c r="E70" s="6">
        <v>1</v>
      </c>
      <c r="F70" s="6"/>
      <c r="G70" s="6"/>
      <c r="H70" s="6">
        <v>3</v>
      </c>
    </row>
    <row r="71" spans="1:8" x14ac:dyDescent="0.2">
      <c r="A71" s="2" t="s">
        <v>166</v>
      </c>
      <c r="B71" s="6"/>
      <c r="C71" s="6">
        <v>1</v>
      </c>
      <c r="D71" s="6">
        <v>1</v>
      </c>
      <c r="E71" s="6">
        <v>1</v>
      </c>
      <c r="F71" s="6"/>
      <c r="G71" s="6"/>
      <c r="H71" s="6">
        <v>3</v>
      </c>
    </row>
    <row r="72" spans="1:8" x14ac:dyDescent="0.2">
      <c r="A72" s="2" t="s">
        <v>167</v>
      </c>
      <c r="B72" s="6"/>
      <c r="C72" s="6">
        <v>2</v>
      </c>
      <c r="D72" s="6">
        <v>1</v>
      </c>
      <c r="E72" s="6"/>
      <c r="F72" s="6"/>
      <c r="G72" s="6"/>
      <c r="H72" s="6">
        <v>3</v>
      </c>
    </row>
    <row r="73" spans="1:8" x14ac:dyDescent="0.2">
      <c r="A73" s="3" t="s">
        <v>168</v>
      </c>
      <c r="B73" s="6">
        <v>2</v>
      </c>
      <c r="C73" s="6">
        <v>143</v>
      </c>
      <c r="D73" s="6">
        <v>53</v>
      </c>
      <c r="E73" s="6">
        <v>6</v>
      </c>
      <c r="F73" s="6"/>
      <c r="G73" s="6">
        <v>1</v>
      </c>
      <c r="H73" s="6">
        <v>205</v>
      </c>
    </row>
    <row r="74" spans="1:8" x14ac:dyDescent="0.2">
      <c r="A74" s="2" t="s">
        <v>169</v>
      </c>
      <c r="B74" s="6">
        <v>1</v>
      </c>
      <c r="C74" s="6">
        <v>26</v>
      </c>
      <c r="D74" s="6">
        <v>10</v>
      </c>
      <c r="E74" s="6">
        <v>2</v>
      </c>
      <c r="F74" s="6"/>
      <c r="G74" s="6">
        <v>1</v>
      </c>
      <c r="H74" s="6">
        <v>40</v>
      </c>
    </row>
    <row r="75" spans="1:8" x14ac:dyDescent="0.2">
      <c r="A75" s="2" t="s">
        <v>170</v>
      </c>
      <c r="B75" s="6"/>
      <c r="C75" s="6">
        <v>8</v>
      </c>
      <c r="D75" s="6">
        <v>5</v>
      </c>
      <c r="E75" s="6">
        <v>1</v>
      </c>
      <c r="F75" s="6"/>
      <c r="G75" s="6"/>
      <c r="H75" s="6">
        <v>14</v>
      </c>
    </row>
    <row r="76" spans="1:8" x14ac:dyDescent="0.2">
      <c r="A76" s="2" t="s">
        <v>171</v>
      </c>
      <c r="B76" s="6">
        <v>1</v>
      </c>
      <c r="C76" s="6">
        <v>6</v>
      </c>
      <c r="D76" s="6">
        <v>5</v>
      </c>
      <c r="E76" s="6"/>
      <c r="F76" s="6"/>
      <c r="G76" s="6"/>
      <c r="H76" s="6">
        <v>12</v>
      </c>
    </row>
    <row r="77" spans="1:8" x14ac:dyDescent="0.2">
      <c r="A77" s="2" t="s">
        <v>172</v>
      </c>
      <c r="B77" s="6"/>
      <c r="C77" s="6">
        <v>1</v>
      </c>
      <c r="D77" s="6">
        <v>3</v>
      </c>
      <c r="E77" s="6"/>
      <c r="F77" s="6"/>
      <c r="G77" s="6"/>
      <c r="H77" s="6">
        <v>4</v>
      </c>
    </row>
    <row r="78" spans="1:8" x14ac:dyDescent="0.2">
      <c r="A78" s="2" t="s">
        <v>173</v>
      </c>
      <c r="B78" s="6"/>
      <c r="C78" s="6">
        <v>3</v>
      </c>
      <c r="D78" s="6">
        <v>1</v>
      </c>
      <c r="E78" s="6"/>
      <c r="F78" s="6"/>
      <c r="G78" s="6"/>
      <c r="H78" s="6">
        <v>4</v>
      </c>
    </row>
    <row r="79" spans="1:8" x14ac:dyDescent="0.2">
      <c r="A79" s="2" t="s">
        <v>174</v>
      </c>
      <c r="B79" s="6"/>
      <c r="C79" s="6">
        <v>5</v>
      </c>
      <c r="D79" s="6">
        <v>1</v>
      </c>
      <c r="E79" s="6"/>
      <c r="F79" s="6"/>
      <c r="G79" s="6"/>
      <c r="H79" s="6">
        <v>6</v>
      </c>
    </row>
    <row r="80" spans="1:8" x14ac:dyDescent="0.2">
      <c r="A80" s="2" t="s">
        <v>175</v>
      </c>
      <c r="B80" s="6"/>
      <c r="C80" s="6">
        <v>7</v>
      </c>
      <c r="D80" s="6">
        <v>3</v>
      </c>
      <c r="E80" s="6">
        <v>1</v>
      </c>
      <c r="F80" s="6"/>
      <c r="G80" s="6"/>
      <c r="H80" s="6">
        <v>11</v>
      </c>
    </row>
    <row r="81" spans="1:8" x14ac:dyDescent="0.2">
      <c r="A81" s="2" t="s">
        <v>176</v>
      </c>
      <c r="B81" s="6"/>
      <c r="C81" s="6">
        <v>15</v>
      </c>
      <c r="D81" s="6">
        <v>4</v>
      </c>
      <c r="E81" s="6"/>
      <c r="F81" s="6"/>
      <c r="G81" s="6"/>
      <c r="H81" s="6">
        <v>19</v>
      </c>
    </row>
    <row r="82" spans="1:8" x14ac:dyDescent="0.2">
      <c r="A82" s="2" t="s">
        <v>177</v>
      </c>
      <c r="B82" s="6"/>
      <c r="C82" s="6">
        <v>4</v>
      </c>
      <c r="D82" s="6">
        <v>1</v>
      </c>
      <c r="E82" s="6"/>
      <c r="F82" s="6"/>
      <c r="G82" s="6"/>
      <c r="H82" s="6">
        <v>5</v>
      </c>
    </row>
    <row r="83" spans="1:8" x14ac:dyDescent="0.2">
      <c r="A83" s="2" t="s">
        <v>178</v>
      </c>
      <c r="B83" s="6"/>
      <c r="C83" s="6">
        <v>6</v>
      </c>
      <c r="D83" s="6">
        <v>2</v>
      </c>
      <c r="E83" s="6"/>
      <c r="F83" s="6"/>
      <c r="G83" s="6"/>
      <c r="H83" s="6">
        <v>8</v>
      </c>
    </row>
    <row r="84" spans="1:8" x14ac:dyDescent="0.2">
      <c r="A84" s="2" t="s">
        <v>179</v>
      </c>
      <c r="B84" s="6"/>
      <c r="C84" s="6">
        <v>3</v>
      </c>
      <c r="D84" s="6"/>
      <c r="E84" s="6"/>
      <c r="F84" s="6"/>
      <c r="G84" s="6"/>
      <c r="H84" s="6">
        <v>3</v>
      </c>
    </row>
    <row r="85" spans="1:8" x14ac:dyDescent="0.2">
      <c r="A85" s="2" t="s">
        <v>180</v>
      </c>
      <c r="B85" s="6"/>
      <c r="C85" s="6">
        <v>8</v>
      </c>
      <c r="D85" s="6">
        <v>1</v>
      </c>
      <c r="E85" s="6"/>
      <c r="F85" s="6"/>
      <c r="G85" s="6"/>
      <c r="H85" s="6">
        <v>9</v>
      </c>
    </row>
    <row r="86" spans="1:8" x14ac:dyDescent="0.2">
      <c r="A86" s="2" t="s">
        <v>181</v>
      </c>
      <c r="B86" s="6"/>
      <c r="C86" s="6">
        <v>6</v>
      </c>
      <c r="D86" s="6">
        <v>1</v>
      </c>
      <c r="E86" s="6">
        <v>1</v>
      </c>
      <c r="F86" s="6"/>
      <c r="G86" s="6"/>
      <c r="H86" s="6">
        <v>8</v>
      </c>
    </row>
    <row r="87" spans="1:8" x14ac:dyDescent="0.2">
      <c r="A87" s="2" t="s">
        <v>182</v>
      </c>
      <c r="B87" s="6"/>
      <c r="C87" s="6">
        <v>2</v>
      </c>
      <c r="D87" s="6">
        <v>3</v>
      </c>
      <c r="E87" s="6"/>
      <c r="F87" s="6"/>
      <c r="G87" s="6"/>
      <c r="H87" s="6">
        <v>5</v>
      </c>
    </row>
    <row r="88" spans="1:8" x14ac:dyDescent="0.2">
      <c r="A88" s="2" t="s">
        <v>183</v>
      </c>
      <c r="B88" s="6"/>
      <c r="C88" s="6">
        <v>8</v>
      </c>
      <c r="D88" s="6">
        <v>4</v>
      </c>
      <c r="E88" s="6"/>
      <c r="F88" s="6"/>
      <c r="G88" s="6"/>
      <c r="H88" s="6">
        <v>12</v>
      </c>
    </row>
    <row r="89" spans="1:8" x14ac:dyDescent="0.2">
      <c r="A89" s="2" t="s">
        <v>184</v>
      </c>
      <c r="B89" s="6"/>
      <c r="C89" s="6">
        <v>6</v>
      </c>
      <c r="D89" s="6"/>
      <c r="E89" s="6"/>
      <c r="F89" s="6"/>
      <c r="G89" s="6"/>
      <c r="H89" s="6">
        <v>6</v>
      </c>
    </row>
    <row r="90" spans="1:8" x14ac:dyDescent="0.2">
      <c r="A90" s="2" t="s">
        <v>185</v>
      </c>
      <c r="B90" s="6"/>
      <c r="C90" s="6">
        <v>4</v>
      </c>
      <c r="D90" s="6"/>
      <c r="E90" s="6"/>
      <c r="F90" s="6"/>
      <c r="G90" s="6"/>
      <c r="H90" s="6">
        <v>4</v>
      </c>
    </row>
    <row r="91" spans="1:8" x14ac:dyDescent="0.2">
      <c r="A91" s="2" t="s">
        <v>186</v>
      </c>
      <c r="B91" s="6"/>
      <c r="C91" s="6">
        <v>3</v>
      </c>
      <c r="D91" s="6"/>
      <c r="E91" s="6">
        <v>1</v>
      </c>
      <c r="F91" s="6"/>
      <c r="G91" s="6"/>
      <c r="H91" s="6">
        <v>4</v>
      </c>
    </row>
    <row r="92" spans="1:8" x14ac:dyDescent="0.2">
      <c r="A92" s="2" t="s">
        <v>187</v>
      </c>
      <c r="B92" s="6"/>
      <c r="C92" s="6">
        <v>8</v>
      </c>
      <c r="D92" s="6"/>
      <c r="E92" s="6"/>
      <c r="F92" s="6"/>
      <c r="G92" s="6"/>
      <c r="H92" s="6">
        <v>8</v>
      </c>
    </row>
    <row r="93" spans="1:8" x14ac:dyDescent="0.2">
      <c r="A93" s="2" t="s">
        <v>188</v>
      </c>
      <c r="B93" s="6"/>
      <c r="C93" s="6">
        <v>5</v>
      </c>
      <c r="D93" s="6">
        <v>2</v>
      </c>
      <c r="E93" s="6"/>
      <c r="F93" s="6"/>
      <c r="G93" s="6"/>
      <c r="H93" s="6">
        <v>7</v>
      </c>
    </row>
    <row r="94" spans="1:8" x14ac:dyDescent="0.2">
      <c r="A94" s="2" t="s">
        <v>189</v>
      </c>
      <c r="B94" s="6"/>
      <c r="C94" s="6">
        <v>2</v>
      </c>
      <c r="D94" s="6">
        <v>2</v>
      </c>
      <c r="E94" s="6"/>
      <c r="F94" s="6"/>
      <c r="G94" s="6"/>
      <c r="H94" s="6">
        <v>4</v>
      </c>
    </row>
    <row r="95" spans="1:8" x14ac:dyDescent="0.2">
      <c r="A95" s="2" t="s">
        <v>190</v>
      </c>
      <c r="B95" s="6"/>
      <c r="C95" s="6">
        <v>1</v>
      </c>
      <c r="D95" s="6">
        <v>2</v>
      </c>
      <c r="E95" s="6"/>
      <c r="F95" s="6"/>
      <c r="G95" s="6"/>
      <c r="H95" s="6">
        <v>3</v>
      </c>
    </row>
    <row r="96" spans="1:8" x14ac:dyDescent="0.2">
      <c r="A96" s="2" t="s">
        <v>191</v>
      </c>
      <c r="B96" s="6"/>
      <c r="C96" s="6">
        <v>6</v>
      </c>
      <c r="D96" s="6">
        <v>3</v>
      </c>
      <c r="E96" s="6"/>
      <c r="F96" s="6"/>
      <c r="G96" s="6"/>
      <c r="H96" s="6">
        <v>9</v>
      </c>
    </row>
    <row r="97" spans="1:8" x14ac:dyDescent="0.2">
      <c r="A97" s="3" t="s">
        <v>192</v>
      </c>
      <c r="B97" s="6"/>
      <c r="C97" s="6">
        <v>118</v>
      </c>
      <c r="D97" s="6">
        <v>29</v>
      </c>
      <c r="E97" s="6">
        <v>4</v>
      </c>
      <c r="F97" s="6"/>
      <c r="G97" s="6">
        <v>1</v>
      </c>
      <c r="H97" s="6">
        <v>152</v>
      </c>
    </row>
    <row r="98" spans="1:8" x14ac:dyDescent="0.2">
      <c r="A98" s="2" t="s">
        <v>193</v>
      </c>
      <c r="B98" s="6"/>
      <c r="C98" s="6">
        <v>25</v>
      </c>
      <c r="D98" s="6">
        <v>6</v>
      </c>
      <c r="E98" s="6">
        <v>1</v>
      </c>
      <c r="F98" s="6"/>
      <c r="G98" s="6"/>
      <c r="H98" s="6">
        <v>32</v>
      </c>
    </row>
    <row r="99" spans="1:8" x14ac:dyDescent="0.2">
      <c r="A99" s="2" t="s">
        <v>194</v>
      </c>
      <c r="B99" s="6"/>
      <c r="C99" s="6">
        <v>30</v>
      </c>
      <c r="D99" s="6">
        <v>6</v>
      </c>
      <c r="E99" s="6"/>
      <c r="F99" s="6"/>
      <c r="G99" s="6"/>
      <c r="H99" s="6">
        <v>36</v>
      </c>
    </row>
    <row r="100" spans="1:8" x14ac:dyDescent="0.2">
      <c r="A100" s="2" t="s">
        <v>195</v>
      </c>
      <c r="B100" s="6"/>
      <c r="C100" s="6">
        <v>2</v>
      </c>
      <c r="D100" s="6"/>
      <c r="E100" s="6"/>
      <c r="F100" s="6"/>
      <c r="G100" s="6"/>
      <c r="H100" s="6">
        <v>2</v>
      </c>
    </row>
    <row r="101" spans="1:8" x14ac:dyDescent="0.2">
      <c r="A101" s="2" t="s">
        <v>196</v>
      </c>
      <c r="B101" s="6"/>
      <c r="C101" s="6">
        <v>6</v>
      </c>
      <c r="D101" s="6">
        <v>2</v>
      </c>
      <c r="E101" s="6"/>
      <c r="F101" s="6"/>
      <c r="G101" s="6"/>
      <c r="H101" s="6">
        <v>8</v>
      </c>
    </row>
    <row r="102" spans="1:8" x14ac:dyDescent="0.2">
      <c r="A102" s="2" t="s">
        <v>197</v>
      </c>
      <c r="B102" s="6"/>
      <c r="C102" s="6">
        <v>2</v>
      </c>
      <c r="D102" s="6"/>
      <c r="E102" s="6"/>
      <c r="F102" s="6"/>
      <c r="G102" s="6"/>
      <c r="H102" s="6">
        <v>2</v>
      </c>
    </row>
    <row r="103" spans="1:8" x14ac:dyDescent="0.2">
      <c r="A103" s="2" t="s">
        <v>198</v>
      </c>
      <c r="B103" s="6"/>
      <c r="C103" s="6">
        <v>11</v>
      </c>
      <c r="D103" s="6">
        <v>2</v>
      </c>
      <c r="E103" s="6">
        <v>1</v>
      </c>
      <c r="F103" s="6"/>
      <c r="G103" s="6"/>
      <c r="H103" s="6">
        <v>14</v>
      </c>
    </row>
    <row r="104" spans="1:8" x14ac:dyDescent="0.2">
      <c r="A104" s="2" t="s">
        <v>199</v>
      </c>
      <c r="B104" s="6"/>
      <c r="C104" s="6">
        <v>4</v>
      </c>
      <c r="D104" s="6"/>
      <c r="E104" s="6"/>
      <c r="F104" s="6"/>
      <c r="G104" s="6"/>
      <c r="H104" s="6">
        <v>4</v>
      </c>
    </row>
    <row r="105" spans="1:8" x14ac:dyDescent="0.2">
      <c r="A105" s="2" t="s">
        <v>200</v>
      </c>
      <c r="B105" s="6"/>
      <c r="C105" s="6">
        <v>9</v>
      </c>
      <c r="D105" s="6">
        <v>3</v>
      </c>
      <c r="E105" s="6"/>
      <c r="F105" s="6"/>
      <c r="G105" s="6">
        <v>1</v>
      </c>
      <c r="H105" s="6">
        <v>13</v>
      </c>
    </row>
    <row r="106" spans="1:8" x14ac:dyDescent="0.2">
      <c r="A106" s="2" t="s">
        <v>201</v>
      </c>
      <c r="B106" s="6"/>
      <c r="C106" s="6"/>
      <c r="D106" s="6">
        <v>1</v>
      </c>
      <c r="E106" s="6"/>
      <c r="F106" s="6"/>
      <c r="G106" s="6"/>
      <c r="H106" s="6">
        <v>1</v>
      </c>
    </row>
    <row r="107" spans="1:8" x14ac:dyDescent="0.2">
      <c r="A107" s="2" t="s">
        <v>202</v>
      </c>
      <c r="B107" s="6"/>
      <c r="C107" s="6">
        <v>6</v>
      </c>
      <c r="D107" s="6">
        <v>1</v>
      </c>
      <c r="E107" s="6"/>
      <c r="F107" s="6"/>
      <c r="G107" s="6"/>
      <c r="H107" s="6">
        <v>7</v>
      </c>
    </row>
    <row r="108" spans="1:8" x14ac:dyDescent="0.2">
      <c r="A108" s="2" t="s">
        <v>203</v>
      </c>
      <c r="B108" s="6"/>
      <c r="C108" s="6">
        <v>9</v>
      </c>
      <c r="D108" s="6">
        <v>1</v>
      </c>
      <c r="E108" s="6">
        <v>2</v>
      </c>
      <c r="F108" s="6"/>
      <c r="G108" s="6"/>
      <c r="H108" s="6">
        <v>12</v>
      </c>
    </row>
    <row r="109" spans="1:8" x14ac:dyDescent="0.2">
      <c r="A109" s="2" t="s">
        <v>204</v>
      </c>
      <c r="B109" s="6"/>
      <c r="C109" s="6">
        <v>4</v>
      </c>
      <c r="D109" s="6"/>
      <c r="E109" s="6"/>
      <c r="F109" s="6"/>
      <c r="G109" s="6"/>
      <c r="H109" s="6">
        <v>4</v>
      </c>
    </row>
    <row r="110" spans="1:8" x14ac:dyDescent="0.2">
      <c r="A110" s="2" t="s">
        <v>205</v>
      </c>
      <c r="B110" s="6"/>
      <c r="C110" s="6">
        <v>1</v>
      </c>
      <c r="D110" s="6">
        <v>3</v>
      </c>
      <c r="E110" s="6"/>
      <c r="F110" s="6"/>
      <c r="G110" s="6"/>
      <c r="H110" s="6">
        <v>4</v>
      </c>
    </row>
    <row r="111" spans="1:8" x14ac:dyDescent="0.2">
      <c r="A111" s="2" t="s">
        <v>206</v>
      </c>
      <c r="B111" s="6"/>
      <c r="C111" s="6">
        <v>3</v>
      </c>
      <c r="D111" s="6">
        <v>1</v>
      </c>
      <c r="E111" s="6"/>
      <c r="F111" s="6"/>
      <c r="G111" s="6"/>
      <c r="H111" s="6">
        <v>4</v>
      </c>
    </row>
    <row r="112" spans="1:8" x14ac:dyDescent="0.2">
      <c r="A112" s="2" t="s">
        <v>207</v>
      </c>
      <c r="B112" s="6"/>
      <c r="C112" s="6">
        <v>1</v>
      </c>
      <c r="D112" s="6">
        <v>1</v>
      </c>
      <c r="E112" s="6"/>
      <c r="F112" s="6"/>
      <c r="G112" s="6"/>
      <c r="H112" s="6">
        <v>2</v>
      </c>
    </row>
    <row r="113" spans="1:8" x14ac:dyDescent="0.2">
      <c r="A113" s="2" t="s">
        <v>208</v>
      </c>
      <c r="B113" s="6"/>
      <c r="C113" s="6">
        <v>1</v>
      </c>
      <c r="D113" s="6"/>
      <c r="E113" s="6"/>
      <c r="F113" s="6"/>
      <c r="G113" s="6"/>
      <c r="H113" s="6">
        <v>1</v>
      </c>
    </row>
    <row r="114" spans="1:8" x14ac:dyDescent="0.2">
      <c r="A114" s="2" t="s">
        <v>209</v>
      </c>
      <c r="B114" s="6"/>
      <c r="C114" s="6">
        <v>3</v>
      </c>
      <c r="D114" s="6">
        <v>1</v>
      </c>
      <c r="E114" s="6"/>
      <c r="F114" s="6"/>
      <c r="G114" s="6"/>
      <c r="H114" s="6">
        <v>4</v>
      </c>
    </row>
    <row r="115" spans="1:8" x14ac:dyDescent="0.2">
      <c r="A115" s="2" t="s">
        <v>210</v>
      </c>
      <c r="B115" s="6"/>
      <c r="C115" s="6">
        <v>1</v>
      </c>
      <c r="D115" s="6">
        <v>1</v>
      </c>
      <c r="E115" s="6"/>
      <c r="F115" s="6"/>
      <c r="G115" s="6"/>
      <c r="H115" s="6">
        <v>2</v>
      </c>
    </row>
    <row r="116" spans="1:8" x14ac:dyDescent="0.2">
      <c r="A116" s="3" t="s">
        <v>211</v>
      </c>
      <c r="B116" s="6">
        <v>3</v>
      </c>
      <c r="C116" s="6">
        <v>118</v>
      </c>
      <c r="D116" s="6">
        <v>19</v>
      </c>
      <c r="E116" s="6">
        <v>7</v>
      </c>
      <c r="F116" s="6"/>
      <c r="G116" s="6">
        <v>1</v>
      </c>
      <c r="H116" s="6">
        <v>148</v>
      </c>
    </row>
    <row r="117" spans="1:8" x14ac:dyDescent="0.2">
      <c r="A117" s="2" t="s">
        <v>212</v>
      </c>
      <c r="B117" s="6">
        <v>1</v>
      </c>
      <c r="C117" s="6">
        <v>7</v>
      </c>
      <c r="D117" s="6">
        <v>1</v>
      </c>
      <c r="E117" s="6">
        <v>1</v>
      </c>
      <c r="F117" s="6"/>
      <c r="G117" s="6"/>
      <c r="H117" s="6">
        <v>10</v>
      </c>
    </row>
    <row r="118" spans="1:8" x14ac:dyDescent="0.2">
      <c r="A118" s="2" t="s">
        <v>213</v>
      </c>
      <c r="B118" s="6"/>
      <c r="C118" s="6">
        <v>7</v>
      </c>
      <c r="D118" s="6">
        <v>1</v>
      </c>
      <c r="E118" s="6"/>
      <c r="F118" s="6"/>
      <c r="G118" s="6"/>
      <c r="H118" s="6">
        <v>8</v>
      </c>
    </row>
    <row r="119" spans="1:8" x14ac:dyDescent="0.2">
      <c r="A119" s="2" t="s">
        <v>214</v>
      </c>
      <c r="B119" s="6">
        <v>1</v>
      </c>
      <c r="C119" s="6">
        <v>7</v>
      </c>
      <c r="D119" s="6">
        <v>1</v>
      </c>
      <c r="E119" s="6">
        <v>1</v>
      </c>
      <c r="F119" s="6"/>
      <c r="G119" s="6"/>
      <c r="H119" s="6">
        <v>10</v>
      </c>
    </row>
    <row r="120" spans="1:8" x14ac:dyDescent="0.2">
      <c r="A120" s="2" t="s">
        <v>215</v>
      </c>
      <c r="B120" s="6"/>
      <c r="C120" s="6">
        <v>4</v>
      </c>
      <c r="D120" s="6">
        <v>1</v>
      </c>
      <c r="E120" s="6"/>
      <c r="F120" s="6"/>
      <c r="G120" s="6"/>
      <c r="H120" s="6">
        <v>5</v>
      </c>
    </row>
    <row r="121" spans="1:8" x14ac:dyDescent="0.2">
      <c r="A121" s="2" t="s">
        <v>216</v>
      </c>
      <c r="B121" s="6"/>
      <c r="C121" s="6">
        <v>2</v>
      </c>
      <c r="D121" s="6">
        <v>2</v>
      </c>
      <c r="E121" s="6">
        <v>1</v>
      </c>
      <c r="F121" s="6"/>
      <c r="G121" s="6"/>
      <c r="H121" s="6">
        <v>5</v>
      </c>
    </row>
    <row r="122" spans="1:8" x14ac:dyDescent="0.2">
      <c r="A122" s="2" t="s">
        <v>217</v>
      </c>
      <c r="B122" s="6"/>
      <c r="C122" s="6">
        <v>12</v>
      </c>
      <c r="D122" s="6">
        <v>3</v>
      </c>
      <c r="E122" s="6"/>
      <c r="F122" s="6"/>
      <c r="G122" s="6">
        <v>1</v>
      </c>
      <c r="H122" s="6">
        <v>16</v>
      </c>
    </row>
    <row r="123" spans="1:8" x14ac:dyDescent="0.2">
      <c r="A123" s="2" t="s">
        <v>218</v>
      </c>
      <c r="B123" s="6"/>
      <c r="C123" s="6">
        <v>17</v>
      </c>
      <c r="D123" s="6">
        <v>3</v>
      </c>
      <c r="E123" s="6"/>
      <c r="F123" s="6"/>
      <c r="G123" s="6"/>
      <c r="H123" s="6">
        <v>20</v>
      </c>
    </row>
    <row r="124" spans="1:8" x14ac:dyDescent="0.2">
      <c r="A124" s="2" t="s">
        <v>219</v>
      </c>
      <c r="B124" s="6"/>
      <c r="C124" s="6">
        <v>12</v>
      </c>
      <c r="D124" s="6">
        <v>3</v>
      </c>
      <c r="E124" s="6"/>
      <c r="F124" s="6"/>
      <c r="G124" s="6"/>
      <c r="H124" s="6">
        <v>15</v>
      </c>
    </row>
    <row r="125" spans="1:8" x14ac:dyDescent="0.2">
      <c r="A125" s="2" t="s">
        <v>220</v>
      </c>
      <c r="B125" s="6">
        <v>1</v>
      </c>
      <c r="C125" s="6">
        <v>20</v>
      </c>
      <c r="D125" s="6"/>
      <c r="E125" s="6">
        <v>3</v>
      </c>
      <c r="F125" s="6"/>
      <c r="G125" s="6"/>
      <c r="H125" s="6">
        <v>24</v>
      </c>
    </row>
    <row r="126" spans="1:8" x14ac:dyDescent="0.2">
      <c r="A126" s="2" t="s">
        <v>221</v>
      </c>
      <c r="B126" s="6"/>
      <c r="C126" s="6">
        <v>1</v>
      </c>
      <c r="D126" s="6"/>
      <c r="E126" s="6"/>
      <c r="F126" s="6"/>
      <c r="G126" s="6"/>
      <c r="H126" s="6">
        <v>1</v>
      </c>
    </row>
    <row r="127" spans="1:8" x14ac:dyDescent="0.2">
      <c r="A127" s="2" t="s">
        <v>222</v>
      </c>
      <c r="B127" s="6"/>
      <c r="C127" s="6">
        <v>8</v>
      </c>
      <c r="D127" s="6"/>
      <c r="E127" s="6">
        <v>1</v>
      </c>
      <c r="F127" s="6"/>
      <c r="G127" s="6"/>
      <c r="H127" s="6">
        <v>9</v>
      </c>
    </row>
    <row r="128" spans="1:8" x14ac:dyDescent="0.2">
      <c r="A128" s="2" t="s">
        <v>223</v>
      </c>
      <c r="B128" s="6"/>
      <c r="C128" s="6">
        <v>2</v>
      </c>
      <c r="D128" s="6">
        <v>3</v>
      </c>
      <c r="E128" s="6"/>
      <c r="F128" s="6"/>
      <c r="G128" s="6"/>
      <c r="H128" s="6">
        <v>5</v>
      </c>
    </row>
    <row r="129" spans="1:8" x14ac:dyDescent="0.2">
      <c r="A129" s="2" t="s">
        <v>224</v>
      </c>
      <c r="B129" s="6"/>
      <c r="C129" s="6">
        <v>3</v>
      </c>
      <c r="D129" s="6">
        <v>1</v>
      </c>
      <c r="E129" s="6"/>
      <c r="F129" s="6"/>
      <c r="G129" s="6"/>
      <c r="H129" s="6">
        <v>4</v>
      </c>
    </row>
    <row r="130" spans="1:8" x14ac:dyDescent="0.2">
      <c r="A130" s="2" t="s">
        <v>225</v>
      </c>
      <c r="B130" s="6"/>
      <c r="C130" s="6">
        <v>16</v>
      </c>
      <c r="D130" s="6"/>
      <c r="E130" s="6"/>
      <c r="F130" s="6"/>
      <c r="G130" s="6"/>
      <c r="H130" s="6">
        <v>16</v>
      </c>
    </row>
    <row r="131" spans="1:8" x14ac:dyDescent="0.2">
      <c r="A131" s="3" t="s">
        <v>226</v>
      </c>
      <c r="B131" s="6">
        <v>2</v>
      </c>
      <c r="C131" s="6">
        <v>110</v>
      </c>
      <c r="D131" s="6">
        <v>28</v>
      </c>
      <c r="E131" s="6">
        <v>14</v>
      </c>
      <c r="F131" s="6"/>
      <c r="G131" s="6">
        <v>4</v>
      </c>
      <c r="H131" s="6">
        <v>158</v>
      </c>
    </row>
    <row r="132" spans="1:8" x14ac:dyDescent="0.2">
      <c r="A132" s="2" t="s">
        <v>227</v>
      </c>
      <c r="B132" s="6"/>
      <c r="C132" s="6">
        <v>6</v>
      </c>
      <c r="D132" s="6">
        <v>1</v>
      </c>
      <c r="E132" s="6">
        <v>1</v>
      </c>
      <c r="F132" s="6"/>
      <c r="G132" s="6"/>
      <c r="H132" s="6">
        <v>8</v>
      </c>
    </row>
    <row r="133" spans="1:8" x14ac:dyDescent="0.2">
      <c r="A133" s="2" t="s">
        <v>228</v>
      </c>
      <c r="B133" s="6"/>
      <c r="C133" s="6">
        <v>9</v>
      </c>
      <c r="D133" s="6">
        <v>1</v>
      </c>
      <c r="E133" s="6"/>
      <c r="F133" s="6"/>
      <c r="G133" s="6"/>
      <c r="H133" s="6">
        <v>10</v>
      </c>
    </row>
    <row r="134" spans="1:8" x14ac:dyDescent="0.2">
      <c r="A134" s="2" t="s">
        <v>229</v>
      </c>
      <c r="B134" s="6"/>
      <c r="C134" s="6">
        <v>11</v>
      </c>
      <c r="D134" s="6">
        <v>2</v>
      </c>
      <c r="E134" s="6">
        <v>1</v>
      </c>
      <c r="F134" s="6"/>
      <c r="G134" s="6"/>
      <c r="H134" s="6">
        <v>14</v>
      </c>
    </row>
    <row r="135" spans="1:8" x14ac:dyDescent="0.2">
      <c r="A135" s="2" t="s">
        <v>230</v>
      </c>
      <c r="B135" s="6"/>
      <c r="C135" s="6">
        <v>10</v>
      </c>
      <c r="D135" s="6"/>
      <c r="E135" s="6">
        <v>1</v>
      </c>
      <c r="F135" s="6"/>
      <c r="G135" s="6">
        <v>1</v>
      </c>
      <c r="H135" s="6">
        <v>12</v>
      </c>
    </row>
    <row r="136" spans="1:8" x14ac:dyDescent="0.2">
      <c r="A136" s="2" t="s">
        <v>231</v>
      </c>
      <c r="B136" s="6">
        <v>1</v>
      </c>
      <c r="C136" s="6">
        <v>4</v>
      </c>
      <c r="D136" s="6">
        <v>4</v>
      </c>
      <c r="E136" s="6"/>
      <c r="F136" s="6"/>
      <c r="G136" s="6"/>
      <c r="H136" s="6">
        <v>9</v>
      </c>
    </row>
    <row r="137" spans="1:8" x14ac:dyDescent="0.2">
      <c r="A137" s="2" t="s">
        <v>232</v>
      </c>
      <c r="B137" s="6"/>
      <c r="C137" s="6">
        <v>16</v>
      </c>
      <c r="D137" s="6">
        <v>6</v>
      </c>
      <c r="E137" s="6">
        <v>6</v>
      </c>
      <c r="F137" s="6"/>
      <c r="G137" s="6">
        <v>1</v>
      </c>
      <c r="H137" s="6">
        <v>29</v>
      </c>
    </row>
    <row r="138" spans="1:8" x14ac:dyDescent="0.2">
      <c r="A138" s="2" t="s">
        <v>233</v>
      </c>
      <c r="B138" s="6"/>
      <c r="C138" s="6">
        <v>5</v>
      </c>
      <c r="D138" s="6">
        <v>3</v>
      </c>
      <c r="E138" s="6">
        <v>1</v>
      </c>
      <c r="F138" s="6"/>
      <c r="G138" s="6"/>
      <c r="H138" s="6">
        <v>9</v>
      </c>
    </row>
    <row r="139" spans="1:8" x14ac:dyDescent="0.2">
      <c r="A139" s="2" t="s">
        <v>234</v>
      </c>
      <c r="B139" s="6"/>
      <c r="C139" s="6">
        <v>6</v>
      </c>
      <c r="D139" s="6">
        <v>1</v>
      </c>
      <c r="E139" s="6"/>
      <c r="F139" s="6"/>
      <c r="G139" s="6"/>
      <c r="H139" s="6">
        <v>7</v>
      </c>
    </row>
    <row r="140" spans="1:8" x14ac:dyDescent="0.2">
      <c r="A140" s="2" t="s">
        <v>235</v>
      </c>
      <c r="B140" s="6"/>
      <c r="C140" s="6">
        <v>6</v>
      </c>
      <c r="D140" s="6">
        <v>5</v>
      </c>
      <c r="E140" s="6"/>
      <c r="F140" s="6"/>
      <c r="G140" s="6"/>
      <c r="H140" s="6">
        <v>11</v>
      </c>
    </row>
    <row r="141" spans="1:8" x14ac:dyDescent="0.2">
      <c r="A141" s="2" t="s">
        <v>236</v>
      </c>
      <c r="B141" s="6"/>
      <c r="C141" s="6">
        <v>4</v>
      </c>
      <c r="D141" s="6">
        <v>1</v>
      </c>
      <c r="E141" s="6">
        <v>1</v>
      </c>
      <c r="F141" s="6"/>
      <c r="G141" s="6"/>
      <c r="H141" s="6">
        <v>6</v>
      </c>
    </row>
    <row r="142" spans="1:8" x14ac:dyDescent="0.2">
      <c r="A142" s="2" t="s">
        <v>237</v>
      </c>
      <c r="B142" s="6"/>
      <c r="C142" s="6">
        <v>7</v>
      </c>
      <c r="D142" s="6"/>
      <c r="E142" s="6">
        <v>1</v>
      </c>
      <c r="F142" s="6"/>
      <c r="G142" s="6"/>
      <c r="H142" s="6">
        <v>8</v>
      </c>
    </row>
    <row r="143" spans="1:8" x14ac:dyDescent="0.2">
      <c r="A143" s="2" t="s">
        <v>238</v>
      </c>
      <c r="B143" s="6"/>
      <c r="C143" s="6">
        <v>12</v>
      </c>
      <c r="D143" s="6">
        <v>2</v>
      </c>
      <c r="E143" s="6">
        <v>2</v>
      </c>
      <c r="F143" s="6"/>
      <c r="G143" s="6">
        <v>1</v>
      </c>
      <c r="H143" s="6">
        <v>17</v>
      </c>
    </row>
    <row r="144" spans="1:8" x14ac:dyDescent="0.2">
      <c r="A144" s="2" t="s">
        <v>239</v>
      </c>
      <c r="B144" s="6"/>
      <c r="C144" s="6">
        <v>7</v>
      </c>
      <c r="D144" s="6"/>
      <c r="E144" s="6"/>
      <c r="F144" s="6"/>
      <c r="G144" s="6"/>
      <c r="H144" s="6">
        <v>7</v>
      </c>
    </row>
    <row r="145" spans="1:8" x14ac:dyDescent="0.2">
      <c r="A145" s="2" t="s">
        <v>240</v>
      </c>
      <c r="B145" s="6">
        <v>1</v>
      </c>
      <c r="C145" s="6">
        <v>7</v>
      </c>
      <c r="D145" s="6">
        <v>2</v>
      </c>
      <c r="E145" s="6"/>
      <c r="F145" s="6"/>
      <c r="G145" s="6">
        <v>1</v>
      </c>
      <c r="H145" s="6">
        <v>11</v>
      </c>
    </row>
    <row r="146" spans="1:8" x14ac:dyDescent="0.2">
      <c r="A146" s="3" t="s">
        <v>97</v>
      </c>
      <c r="B146" s="6"/>
      <c r="C146" s="6"/>
      <c r="D146" s="6"/>
      <c r="E146" s="6"/>
      <c r="F146" s="6"/>
      <c r="G146" s="6"/>
      <c r="H146" s="6"/>
    </row>
    <row r="147" spans="1:8" x14ac:dyDescent="0.2">
      <c r="A147" s="2" t="s">
        <v>97</v>
      </c>
      <c r="B147" s="6"/>
      <c r="C147" s="6"/>
      <c r="D147" s="6"/>
      <c r="E147" s="6"/>
      <c r="F147" s="6"/>
      <c r="G147" s="6"/>
      <c r="H147" s="6"/>
    </row>
    <row r="148" spans="1:8" x14ac:dyDescent="0.2">
      <c r="A148" s="3" t="s">
        <v>241</v>
      </c>
      <c r="B148" s="6"/>
      <c r="C148" s="6">
        <v>84</v>
      </c>
      <c r="D148" s="6">
        <v>22</v>
      </c>
      <c r="E148" s="6">
        <v>3</v>
      </c>
      <c r="F148" s="6"/>
      <c r="G148" s="6">
        <v>4</v>
      </c>
      <c r="H148" s="6">
        <v>113</v>
      </c>
    </row>
    <row r="149" spans="1:8" x14ac:dyDescent="0.2">
      <c r="A149" s="2" t="s">
        <v>242</v>
      </c>
      <c r="B149" s="6"/>
      <c r="C149" s="6">
        <v>10</v>
      </c>
      <c r="D149" s="6">
        <v>1</v>
      </c>
      <c r="E149" s="6"/>
      <c r="F149" s="6"/>
      <c r="G149" s="6"/>
      <c r="H149" s="6">
        <v>11</v>
      </c>
    </row>
    <row r="150" spans="1:8" x14ac:dyDescent="0.2">
      <c r="A150" s="2" t="s">
        <v>243</v>
      </c>
      <c r="B150" s="6"/>
      <c r="C150" s="6">
        <v>6</v>
      </c>
      <c r="D150" s="6">
        <v>2</v>
      </c>
      <c r="E150" s="6"/>
      <c r="F150" s="6"/>
      <c r="G150" s="6"/>
      <c r="H150" s="6">
        <v>8</v>
      </c>
    </row>
    <row r="151" spans="1:8" x14ac:dyDescent="0.2">
      <c r="A151" s="2" t="s">
        <v>244</v>
      </c>
      <c r="B151" s="6"/>
      <c r="C151" s="6">
        <v>9</v>
      </c>
      <c r="D151" s="6">
        <v>3</v>
      </c>
      <c r="E151" s="6">
        <v>1</v>
      </c>
      <c r="F151" s="6"/>
      <c r="G151" s="6"/>
      <c r="H151" s="6">
        <v>13</v>
      </c>
    </row>
    <row r="152" spans="1:8" x14ac:dyDescent="0.2">
      <c r="A152" s="2" t="s">
        <v>245</v>
      </c>
      <c r="B152" s="6"/>
      <c r="C152" s="6">
        <v>3</v>
      </c>
      <c r="D152" s="6"/>
      <c r="E152" s="6"/>
      <c r="F152" s="6"/>
      <c r="G152" s="6">
        <v>1</v>
      </c>
      <c r="H152" s="6">
        <v>4</v>
      </c>
    </row>
    <row r="153" spans="1:8" x14ac:dyDescent="0.2">
      <c r="A153" s="2" t="s">
        <v>246</v>
      </c>
      <c r="B153" s="6"/>
      <c r="C153" s="6">
        <v>5</v>
      </c>
      <c r="D153" s="6">
        <v>1</v>
      </c>
      <c r="E153" s="6"/>
      <c r="F153" s="6"/>
      <c r="G153" s="6">
        <v>1</v>
      </c>
      <c r="H153" s="6">
        <v>7</v>
      </c>
    </row>
    <row r="154" spans="1:8" x14ac:dyDescent="0.2">
      <c r="A154" s="2" t="s">
        <v>247</v>
      </c>
      <c r="B154" s="6"/>
      <c r="C154" s="6">
        <v>20</v>
      </c>
      <c r="D154" s="6">
        <v>1</v>
      </c>
      <c r="E154" s="6">
        <v>1</v>
      </c>
      <c r="F154" s="6"/>
      <c r="G154" s="6"/>
      <c r="H154" s="6">
        <v>22</v>
      </c>
    </row>
    <row r="155" spans="1:8" x14ac:dyDescent="0.2">
      <c r="A155" s="2" t="s">
        <v>248</v>
      </c>
      <c r="B155" s="6"/>
      <c r="C155" s="6">
        <v>5</v>
      </c>
      <c r="D155" s="6">
        <v>1</v>
      </c>
      <c r="E155" s="6"/>
      <c r="F155" s="6"/>
      <c r="G155" s="6"/>
      <c r="H155" s="6">
        <v>6</v>
      </c>
    </row>
    <row r="156" spans="1:8" x14ac:dyDescent="0.2">
      <c r="A156" s="2" t="s">
        <v>249</v>
      </c>
      <c r="B156" s="6"/>
      <c r="C156" s="6">
        <v>4</v>
      </c>
      <c r="D156" s="6">
        <v>1</v>
      </c>
      <c r="E156" s="6">
        <v>1</v>
      </c>
      <c r="F156" s="6"/>
      <c r="G156" s="6">
        <v>1</v>
      </c>
      <c r="H156" s="6">
        <v>7</v>
      </c>
    </row>
    <row r="157" spans="1:8" x14ac:dyDescent="0.2">
      <c r="A157" s="2" t="s">
        <v>250</v>
      </c>
      <c r="B157" s="6"/>
      <c r="C157" s="6">
        <v>8</v>
      </c>
      <c r="D157" s="6">
        <v>6</v>
      </c>
      <c r="E157" s="6"/>
      <c r="F157" s="6"/>
      <c r="G157" s="6"/>
      <c r="H157" s="6">
        <v>14</v>
      </c>
    </row>
    <row r="158" spans="1:8" x14ac:dyDescent="0.2">
      <c r="A158" s="2" t="s">
        <v>251</v>
      </c>
      <c r="B158" s="6"/>
      <c r="C158" s="6">
        <v>3</v>
      </c>
      <c r="D158" s="6">
        <v>3</v>
      </c>
      <c r="E158" s="6"/>
      <c r="F158" s="6"/>
      <c r="G158" s="6"/>
      <c r="H158" s="6">
        <v>6</v>
      </c>
    </row>
    <row r="159" spans="1:8" x14ac:dyDescent="0.2">
      <c r="A159" s="2" t="s">
        <v>252</v>
      </c>
      <c r="B159" s="6"/>
      <c r="C159" s="6">
        <v>4</v>
      </c>
      <c r="D159" s="6"/>
      <c r="E159" s="6"/>
      <c r="F159" s="6"/>
      <c r="G159" s="6"/>
      <c r="H159" s="6">
        <v>4</v>
      </c>
    </row>
    <row r="160" spans="1:8" x14ac:dyDescent="0.2">
      <c r="A160" s="2" t="s">
        <v>253</v>
      </c>
      <c r="B160" s="6"/>
      <c r="C160" s="6">
        <v>3</v>
      </c>
      <c r="D160" s="6">
        <v>1</v>
      </c>
      <c r="E160" s="6"/>
      <c r="F160" s="6"/>
      <c r="G160" s="6">
        <v>1</v>
      </c>
      <c r="H160" s="6">
        <v>5</v>
      </c>
    </row>
    <row r="161" spans="1:8" x14ac:dyDescent="0.2">
      <c r="A161" s="2" t="s">
        <v>254</v>
      </c>
      <c r="B161" s="6"/>
      <c r="C161" s="6">
        <v>2</v>
      </c>
      <c r="D161" s="6"/>
      <c r="E161" s="6"/>
      <c r="F161" s="6"/>
      <c r="G161" s="6"/>
      <c r="H161" s="6">
        <v>2</v>
      </c>
    </row>
    <row r="162" spans="1:8" x14ac:dyDescent="0.2">
      <c r="A162" s="2" t="s">
        <v>255</v>
      </c>
      <c r="B162" s="6"/>
      <c r="C162" s="6">
        <v>1</v>
      </c>
      <c r="D162" s="6"/>
      <c r="E162" s="6"/>
      <c r="F162" s="6"/>
      <c r="G162" s="6"/>
      <c r="H162" s="6">
        <v>1</v>
      </c>
    </row>
    <row r="163" spans="1:8" x14ac:dyDescent="0.2">
      <c r="A163" s="2" t="s">
        <v>256</v>
      </c>
      <c r="B163" s="6"/>
      <c r="C163" s="6">
        <v>1</v>
      </c>
      <c r="D163" s="6">
        <v>2</v>
      </c>
      <c r="E163" s="6"/>
      <c r="F163" s="6"/>
      <c r="G163" s="6"/>
      <c r="H163" s="6">
        <v>3</v>
      </c>
    </row>
    <row r="164" spans="1:8" x14ac:dyDescent="0.2">
      <c r="A164" s="3" t="s">
        <v>99</v>
      </c>
      <c r="B164" s="6">
        <v>14</v>
      </c>
      <c r="C164" s="6">
        <v>917</v>
      </c>
      <c r="D164" s="6">
        <v>265</v>
      </c>
      <c r="E164" s="6">
        <v>67</v>
      </c>
      <c r="F164" s="6"/>
      <c r="G164" s="6">
        <v>18</v>
      </c>
      <c r="H164" s="6">
        <v>1281</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53E4-CD04-4B1D-8ED0-142C48742839}">
  <dimension ref="A1:I172"/>
  <sheetViews>
    <sheetView showGridLines="0" workbookViewId="0">
      <pane ySplit="6" topLeftCell="A7" activePane="bottomLeft" state="frozen"/>
      <selection pane="bottomLeft"/>
    </sheetView>
  </sheetViews>
  <sheetFormatPr defaultRowHeight="12.75" x14ac:dyDescent="0.2"/>
  <cols>
    <col min="1" max="1" width="9.140625" customWidth="1"/>
    <col min="2" max="2" width="37.140625" customWidth="1"/>
    <col min="3" max="3" width="10.7109375" bestFit="1" customWidth="1"/>
    <col min="4" max="9" width="12" style="12" customWidth="1"/>
  </cols>
  <sheetData>
    <row r="1" spans="1:9" x14ac:dyDescent="0.2">
      <c r="A1" s="92" t="s">
        <v>257</v>
      </c>
      <c r="B1" s="92"/>
      <c r="C1" s="92"/>
      <c r="D1" s="92"/>
      <c r="E1" s="92"/>
      <c r="F1" s="92"/>
      <c r="G1" s="92"/>
      <c r="H1" s="92"/>
      <c r="I1" s="92"/>
    </row>
    <row r="2" spans="1:9" ht="14.25" x14ac:dyDescent="0.2">
      <c r="A2" s="92"/>
      <c r="B2" s="14" t="s">
        <v>258</v>
      </c>
      <c r="C2" s="13"/>
      <c r="D2" s="92"/>
      <c r="E2" s="92"/>
      <c r="F2" s="92"/>
      <c r="G2" s="92"/>
      <c r="H2" s="92"/>
      <c r="I2" s="92"/>
    </row>
    <row r="3" spans="1:9" ht="6" customHeight="1" x14ac:dyDescent="0.2">
      <c r="A3" s="92"/>
      <c r="B3" s="20"/>
      <c r="C3" s="13"/>
      <c r="D3" s="92"/>
      <c r="E3" s="92"/>
      <c r="F3" s="92"/>
      <c r="G3" s="92"/>
      <c r="H3" s="92"/>
      <c r="I3" s="92"/>
    </row>
    <row r="4" spans="1:9" x14ac:dyDescent="0.2">
      <c r="A4" s="92"/>
      <c r="B4" s="20"/>
      <c r="C4" s="13"/>
      <c r="D4" s="92"/>
      <c r="E4" s="92"/>
      <c r="F4" s="92"/>
      <c r="G4" s="92"/>
      <c r="H4" s="92"/>
      <c r="I4" s="92"/>
    </row>
    <row r="5" spans="1:9" s="33" customFormat="1" x14ac:dyDescent="0.2">
      <c r="B5" s="34"/>
      <c r="C5" s="35"/>
      <c r="D5" s="36"/>
      <c r="E5" s="36"/>
      <c r="F5" s="36"/>
      <c r="G5" s="36"/>
      <c r="H5" s="36"/>
      <c r="I5" s="36"/>
    </row>
    <row r="6" spans="1:9" x14ac:dyDescent="0.2">
      <c r="A6" s="92"/>
      <c r="B6" s="21" t="s">
        <v>259</v>
      </c>
      <c r="C6" s="22"/>
      <c r="D6" s="11" t="s">
        <v>93</v>
      </c>
      <c r="E6" s="11" t="s">
        <v>94</v>
      </c>
      <c r="F6" s="11" t="s">
        <v>95</v>
      </c>
      <c r="G6" s="11" t="s">
        <v>96</v>
      </c>
      <c r="H6" s="11" t="s">
        <v>98</v>
      </c>
      <c r="I6" s="11" t="s">
        <v>260</v>
      </c>
    </row>
    <row r="7" spans="1:9" x14ac:dyDescent="0.2">
      <c r="A7" s="92"/>
      <c r="B7" s="23"/>
      <c r="C7" s="16"/>
      <c r="D7" s="24"/>
      <c r="E7" s="24"/>
      <c r="F7" s="24"/>
      <c r="G7" s="24"/>
      <c r="H7" s="24"/>
      <c r="I7" s="24"/>
    </row>
    <row r="8" spans="1:9" x14ac:dyDescent="0.2">
      <c r="A8" s="92"/>
      <c r="B8" s="17" t="s">
        <v>7</v>
      </c>
      <c r="C8" s="17"/>
      <c r="D8" s="25">
        <f>D9+D39+D63+D73+D88+D100+D134+D154</f>
        <v>14</v>
      </c>
      <c r="E8" s="25">
        <f t="shared" ref="E8:I8" si="0">E9+E39+E63+E73+E88+E100+E134+E154</f>
        <v>917</v>
      </c>
      <c r="F8" s="25">
        <f t="shared" si="0"/>
        <v>265</v>
      </c>
      <c r="G8" s="25">
        <f t="shared" si="0"/>
        <v>67</v>
      </c>
      <c r="H8" s="25">
        <f t="shared" si="0"/>
        <v>18</v>
      </c>
      <c r="I8" s="25">
        <f t="shared" si="0"/>
        <v>1281</v>
      </c>
    </row>
    <row r="9" spans="1:9" x14ac:dyDescent="0.2">
      <c r="A9" s="92"/>
      <c r="B9" s="17" t="s">
        <v>261</v>
      </c>
      <c r="C9" s="17"/>
      <c r="D9" s="25">
        <f>D10+D23</f>
        <v>2</v>
      </c>
      <c r="E9" s="25">
        <f t="shared" ref="E9:H9" si="1">E10+E23</f>
        <v>127</v>
      </c>
      <c r="F9" s="25">
        <f t="shared" si="1"/>
        <v>42</v>
      </c>
      <c r="G9" s="25">
        <f t="shared" si="1"/>
        <v>9</v>
      </c>
      <c r="H9" s="25">
        <f t="shared" si="1"/>
        <v>4</v>
      </c>
      <c r="I9" s="25">
        <f t="shared" ref="I9:I39" si="2">SUM(D9:H9)</f>
        <v>184</v>
      </c>
    </row>
    <row r="10" spans="1:9" x14ac:dyDescent="0.2">
      <c r="A10" s="92"/>
      <c r="B10" s="17" t="s">
        <v>155</v>
      </c>
      <c r="C10" s="17"/>
      <c r="D10" s="25">
        <f>SUM(D11:D22)</f>
        <v>2</v>
      </c>
      <c r="E10" s="25">
        <f t="shared" ref="E10:I10" si="3">SUM(E11:E22)</f>
        <v>43</v>
      </c>
      <c r="F10" s="25">
        <f t="shared" si="3"/>
        <v>20</v>
      </c>
      <c r="G10" s="25">
        <f t="shared" si="3"/>
        <v>6</v>
      </c>
      <c r="H10" s="25">
        <f t="shared" si="3"/>
        <v>0</v>
      </c>
      <c r="I10" s="25">
        <f t="shared" si="3"/>
        <v>71</v>
      </c>
    </row>
    <row r="11" spans="1:9" x14ac:dyDescent="0.2">
      <c r="A11" s="92"/>
      <c r="B11" s="26" t="s">
        <v>160</v>
      </c>
      <c r="C11" s="26"/>
      <c r="D11" s="27">
        <f>IFERROR(VLOOKUP($B11,'Pivot '!$A:$G,MATCH(D$6,'Pivot '!$A$4:$G$4,0),FALSE),0)</f>
        <v>0</v>
      </c>
      <c r="E11" s="27">
        <f>IFERROR(VLOOKUP($B11,'Pivot '!$A:$G,MATCH(E$6,'Pivot '!$A$4:$G$4,0),FALSE),0)</f>
        <v>4</v>
      </c>
      <c r="F11" s="27">
        <f>IFERROR(VLOOKUP($B11,'Pivot '!$A:$G,MATCH(F$6,'Pivot '!$A$4:$G$4,0),FALSE),0)</f>
        <v>1</v>
      </c>
      <c r="G11" s="27">
        <f>IFERROR(VLOOKUP($B11,'Pivot '!$A:$G,MATCH(G$6,'Pivot '!$A$4:$G$4,0),FALSE),0)</f>
        <v>1</v>
      </c>
      <c r="H11" s="27">
        <f>IFERROR(VLOOKUP($B11,'Pivot '!$A:$G,MATCH(H$6,'Pivot '!$A$4:$G$4,0),FALSE),0)</f>
        <v>0</v>
      </c>
      <c r="I11" s="27">
        <f t="shared" si="2"/>
        <v>6</v>
      </c>
    </row>
    <row r="12" spans="1:9" x14ac:dyDescent="0.2">
      <c r="A12" s="92"/>
      <c r="B12" s="28" t="s">
        <v>163</v>
      </c>
      <c r="C12" s="28"/>
      <c r="D12" s="27">
        <f>IFERROR(VLOOKUP($B12,'Pivot '!$A:$G,MATCH(D$6,'Pivot '!$A$4:$G$4,0),FALSE),0)</f>
        <v>0</v>
      </c>
      <c r="E12" s="27">
        <f>IFERROR(VLOOKUP($B12,'Pivot '!$A:$G,MATCH(E$6,'Pivot '!$A$4:$G$4,0),FALSE),0)</f>
        <v>8</v>
      </c>
      <c r="F12" s="27">
        <f>IFERROR(VLOOKUP($B12,'Pivot '!$A:$G,MATCH(F$6,'Pivot '!$A$4:$G$4,0),FALSE),0)</f>
        <v>0</v>
      </c>
      <c r="G12" s="27">
        <f>IFERROR(VLOOKUP($B12,'Pivot '!$A:$G,MATCH(G$6,'Pivot '!$A$4:$G$4,0),FALSE),0)</f>
        <v>1</v>
      </c>
      <c r="H12" s="27">
        <f>IFERROR(VLOOKUP($B12,'Pivot '!$A:$G,MATCH(H$6,'Pivot '!$A$4:$G$4,0),FALSE),0)</f>
        <v>0</v>
      </c>
      <c r="I12" s="27">
        <f t="shared" si="2"/>
        <v>9</v>
      </c>
    </row>
    <row r="13" spans="1:9" x14ac:dyDescent="0.2">
      <c r="A13" s="92"/>
      <c r="B13" s="28" t="s">
        <v>166</v>
      </c>
      <c r="C13" s="28"/>
      <c r="D13" s="27">
        <f>IFERROR(VLOOKUP($B13,'Pivot '!$A:$G,MATCH(D$6,'Pivot '!$A$4:$G$4,0),FALSE),0)</f>
        <v>0</v>
      </c>
      <c r="E13" s="27">
        <f>IFERROR(VLOOKUP($B13,'Pivot '!$A:$G,MATCH(E$6,'Pivot '!$A$4:$G$4,0),FALSE),0)</f>
        <v>1</v>
      </c>
      <c r="F13" s="27">
        <f>IFERROR(VLOOKUP($B13,'Pivot '!$A:$G,MATCH(F$6,'Pivot '!$A$4:$G$4,0),FALSE),0)</f>
        <v>1</v>
      </c>
      <c r="G13" s="27">
        <f>IFERROR(VLOOKUP($B13,'Pivot '!$A:$G,MATCH(G$6,'Pivot '!$A$4:$G$4,0),FALSE),0)</f>
        <v>1</v>
      </c>
      <c r="H13" s="27">
        <f>IFERROR(VLOOKUP($B13,'Pivot '!$A:$G,MATCH(H$6,'Pivot '!$A$4:$G$4,0),FALSE),0)</f>
        <v>0</v>
      </c>
      <c r="I13" s="27">
        <f t="shared" si="2"/>
        <v>3</v>
      </c>
    </row>
    <row r="14" spans="1:9" x14ac:dyDescent="0.2">
      <c r="A14" s="92"/>
      <c r="B14" s="28" t="s">
        <v>167</v>
      </c>
      <c r="C14" s="28"/>
      <c r="D14" s="27">
        <f>IFERROR(VLOOKUP($B14,'Pivot '!$A:$G,MATCH(D$6,'Pivot '!$A$4:$G$4,0),FALSE),0)</f>
        <v>0</v>
      </c>
      <c r="E14" s="27">
        <f>IFERROR(VLOOKUP($B14,'Pivot '!$A:$G,MATCH(E$6,'Pivot '!$A$4:$G$4,0),FALSE),0)</f>
        <v>2</v>
      </c>
      <c r="F14" s="27">
        <f>IFERROR(VLOOKUP($B14,'Pivot '!$A:$G,MATCH(F$6,'Pivot '!$A$4:$G$4,0),FALSE),0)</f>
        <v>1</v>
      </c>
      <c r="G14" s="27">
        <f>IFERROR(VLOOKUP($B14,'Pivot '!$A:$G,MATCH(G$6,'Pivot '!$A$4:$G$4,0),FALSE),0)</f>
        <v>0</v>
      </c>
      <c r="H14" s="27">
        <f>IFERROR(VLOOKUP($B14,'Pivot '!$A:$G,MATCH(H$6,'Pivot '!$A$4:$G$4,0),FALSE),0)</f>
        <v>0</v>
      </c>
      <c r="I14" s="27">
        <f t="shared" si="2"/>
        <v>3</v>
      </c>
    </row>
    <row r="15" spans="1:9" x14ac:dyDescent="0.2">
      <c r="A15" s="92"/>
      <c r="B15" s="28" t="s">
        <v>162</v>
      </c>
      <c r="C15" s="28"/>
      <c r="D15" s="27">
        <f>IFERROR(VLOOKUP($B15,'Pivot '!$A:$G,MATCH(D$6,'Pivot '!$A$4:$G$4,0),FALSE),0)</f>
        <v>0</v>
      </c>
      <c r="E15" s="27">
        <f>IFERROR(VLOOKUP($B15,'Pivot '!$A:$G,MATCH(E$6,'Pivot '!$A$4:$G$4,0),FALSE),0)</f>
        <v>3</v>
      </c>
      <c r="F15" s="27">
        <f>IFERROR(VLOOKUP($B15,'Pivot '!$A:$G,MATCH(F$6,'Pivot '!$A$4:$G$4,0),FALSE),0)</f>
        <v>3</v>
      </c>
      <c r="G15" s="27">
        <f>IFERROR(VLOOKUP($B15,'Pivot '!$A:$G,MATCH(G$6,'Pivot '!$A$4:$G$4,0),FALSE),0)</f>
        <v>0</v>
      </c>
      <c r="H15" s="27">
        <f>IFERROR(VLOOKUP($B15,'Pivot '!$A:$G,MATCH(H$6,'Pivot '!$A$4:$G$4,0),FALSE),0)</f>
        <v>0</v>
      </c>
      <c r="I15" s="27">
        <f t="shared" si="2"/>
        <v>6</v>
      </c>
    </row>
    <row r="16" spans="1:9" x14ac:dyDescent="0.2">
      <c r="A16" s="92"/>
      <c r="B16" s="28" t="s">
        <v>156</v>
      </c>
      <c r="C16" s="28"/>
      <c r="D16" s="27">
        <f>IFERROR(VLOOKUP($B16,'Pivot '!$A:$G,MATCH(D$6,'Pivot '!$A$4:$G$4,0),FALSE),0)</f>
        <v>0</v>
      </c>
      <c r="E16" s="27">
        <f>IFERROR(VLOOKUP($B16,'Pivot '!$A:$G,MATCH(E$6,'Pivot '!$A$4:$G$4,0),FALSE),0)</f>
        <v>3</v>
      </c>
      <c r="F16" s="27">
        <f>IFERROR(VLOOKUP($B16,'Pivot '!$A:$G,MATCH(F$6,'Pivot '!$A$4:$G$4,0),FALSE),0)</f>
        <v>1</v>
      </c>
      <c r="G16" s="27">
        <f>IFERROR(VLOOKUP($B16,'Pivot '!$A:$G,MATCH(G$6,'Pivot '!$A$4:$G$4,0),FALSE),0)</f>
        <v>1</v>
      </c>
      <c r="H16" s="27">
        <f>IFERROR(VLOOKUP($B16,'Pivot '!$A:$G,MATCH(H$6,'Pivot '!$A$4:$G$4,0),FALSE),0)</f>
        <v>0</v>
      </c>
      <c r="I16" s="27">
        <f t="shared" si="2"/>
        <v>5</v>
      </c>
    </row>
    <row r="17" spans="2:9" x14ac:dyDescent="0.2">
      <c r="B17" s="28" t="s">
        <v>165</v>
      </c>
      <c r="C17" s="28"/>
      <c r="D17" s="27">
        <f>IFERROR(VLOOKUP($B17,'Pivot '!$A:$G,MATCH(D$6,'Pivot '!$A$4:$G$4,0),FALSE),0)</f>
        <v>0</v>
      </c>
      <c r="E17" s="27">
        <f>IFERROR(VLOOKUP($B17,'Pivot '!$A:$G,MATCH(E$6,'Pivot '!$A$4:$G$4,0),FALSE),0)</f>
        <v>0</v>
      </c>
      <c r="F17" s="27">
        <f>IFERROR(VLOOKUP($B17,'Pivot '!$A:$G,MATCH(F$6,'Pivot '!$A$4:$G$4,0),FALSE),0)</f>
        <v>2</v>
      </c>
      <c r="G17" s="27">
        <f>IFERROR(VLOOKUP($B17,'Pivot '!$A:$G,MATCH(G$6,'Pivot '!$A$4:$G$4,0),FALSE),0)</f>
        <v>1</v>
      </c>
      <c r="H17" s="27">
        <f>IFERROR(VLOOKUP($B17,'Pivot '!$A:$G,MATCH(H$6,'Pivot '!$A$4:$G$4,0),FALSE),0)</f>
        <v>0</v>
      </c>
      <c r="I17" s="27">
        <f t="shared" si="2"/>
        <v>3</v>
      </c>
    </row>
    <row r="18" spans="2:9" x14ac:dyDescent="0.2">
      <c r="B18" s="28" t="s">
        <v>158</v>
      </c>
      <c r="C18" s="28"/>
      <c r="D18" s="27">
        <f>IFERROR(VLOOKUP($B18,'Pivot '!$A:$G,MATCH(D$6,'Pivot '!$A$4:$G$4,0),FALSE),0)</f>
        <v>0</v>
      </c>
      <c r="E18" s="27">
        <f>IFERROR(VLOOKUP($B18,'Pivot '!$A:$G,MATCH(E$6,'Pivot '!$A$4:$G$4,0),FALSE),0)</f>
        <v>6</v>
      </c>
      <c r="F18" s="27">
        <f>IFERROR(VLOOKUP($B18,'Pivot '!$A:$G,MATCH(F$6,'Pivot '!$A$4:$G$4,0),FALSE),0)</f>
        <v>5</v>
      </c>
      <c r="G18" s="27">
        <f>IFERROR(VLOOKUP($B18,'Pivot '!$A:$G,MATCH(G$6,'Pivot '!$A$4:$G$4,0),FALSE),0)</f>
        <v>1</v>
      </c>
      <c r="H18" s="27">
        <f>IFERROR(VLOOKUP($B18,'Pivot '!$A:$G,MATCH(H$6,'Pivot '!$A$4:$G$4,0),FALSE),0)</f>
        <v>0</v>
      </c>
      <c r="I18" s="27">
        <f t="shared" si="2"/>
        <v>12</v>
      </c>
    </row>
    <row r="19" spans="2:9" x14ac:dyDescent="0.2">
      <c r="B19" s="28" t="s">
        <v>161</v>
      </c>
      <c r="C19" s="28"/>
      <c r="D19" s="27">
        <f>IFERROR(VLOOKUP($B19,'Pivot '!$A:$G,MATCH(D$6,'Pivot '!$A$4:$G$4,0),FALSE),0)</f>
        <v>0</v>
      </c>
      <c r="E19" s="27">
        <f>IFERROR(VLOOKUP($B19,'Pivot '!$A:$G,MATCH(E$6,'Pivot '!$A$4:$G$4,0),FALSE),0)</f>
        <v>5</v>
      </c>
      <c r="F19" s="27">
        <f>IFERROR(VLOOKUP($B19,'Pivot '!$A:$G,MATCH(F$6,'Pivot '!$A$4:$G$4,0),FALSE),0)</f>
        <v>2</v>
      </c>
      <c r="G19" s="27">
        <f>IFERROR(VLOOKUP($B19,'Pivot '!$A:$G,MATCH(G$6,'Pivot '!$A$4:$G$4,0),FALSE),0)</f>
        <v>0</v>
      </c>
      <c r="H19" s="27">
        <f>IFERROR(VLOOKUP($B19,'Pivot '!$A:$G,MATCH(H$6,'Pivot '!$A$4:$G$4,0),FALSE),0)</f>
        <v>0</v>
      </c>
      <c r="I19" s="27">
        <f t="shared" si="2"/>
        <v>7</v>
      </c>
    </row>
    <row r="20" spans="2:9" x14ac:dyDescent="0.2">
      <c r="B20" s="28" t="s">
        <v>157</v>
      </c>
      <c r="C20" s="28"/>
      <c r="D20" s="27">
        <f>IFERROR(VLOOKUP($B20,'Pivot '!$A:$G,MATCH(D$6,'Pivot '!$A$4:$G$4,0),FALSE),0)</f>
        <v>1</v>
      </c>
      <c r="E20" s="27">
        <f>IFERROR(VLOOKUP($B20,'Pivot '!$A:$G,MATCH(E$6,'Pivot '!$A$4:$G$4,0),FALSE),0)</f>
        <v>4</v>
      </c>
      <c r="F20" s="27">
        <f>IFERROR(VLOOKUP($B20,'Pivot '!$A:$G,MATCH(F$6,'Pivot '!$A$4:$G$4,0),FALSE),0)</f>
        <v>0</v>
      </c>
      <c r="G20" s="27">
        <f>IFERROR(VLOOKUP($B20,'Pivot '!$A:$G,MATCH(G$6,'Pivot '!$A$4:$G$4,0),FALSE),0)</f>
        <v>0</v>
      </c>
      <c r="H20" s="27">
        <f>IFERROR(VLOOKUP($B20,'Pivot '!$A:$G,MATCH(H$6,'Pivot '!$A$4:$G$4,0),FALSE),0)</f>
        <v>0</v>
      </c>
      <c r="I20" s="27">
        <f t="shared" si="2"/>
        <v>5</v>
      </c>
    </row>
    <row r="21" spans="2:9" x14ac:dyDescent="0.2">
      <c r="B21" s="28" t="s">
        <v>159</v>
      </c>
      <c r="C21" s="28"/>
      <c r="D21" s="27">
        <f>IFERROR(VLOOKUP($B21,'Pivot '!$A:$G,MATCH(D$6,'Pivot '!$A$4:$G$4,0),FALSE),0)</f>
        <v>0</v>
      </c>
      <c r="E21" s="27">
        <f>IFERROR(VLOOKUP($B21,'Pivot '!$A:$G,MATCH(E$6,'Pivot '!$A$4:$G$4,0),FALSE),0)</f>
        <v>4</v>
      </c>
      <c r="F21" s="27">
        <f>IFERROR(VLOOKUP($B21,'Pivot '!$A:$G,MATCH(F$6,'Pivot '!$A$4:$G$4,0),FALSE),0)</f>
        <v>2</v>
      </c>
      <c r="G21" s="27">
        <f>IFERROR(VLOOKUP($B21,'Pivot '!$A:$G,MATCH(G$6,'Pivot '!$A$4:$G$4,0),FALSE),0)</f>
        <v>0</v>
      </c>
      <c r="H21" s="27">
        <f>IFERROR(VLOOKUP($B21,'Pivot '!$A:$G,MATCH(H$6,'Pivot '!$A$4:$G$4,0),FALSE),0)</f>
        <v>0</v>
      </c>
      <c r="I21" s="27">
        <f t="shared" si="2"/>
        <v>6</v>
      </c>
    </row>
    <row r="22" spans="2:9" x14ac:dyDescent="0.2">
      <c r="B22" s="28" t="s">
        <v>164</v>
      </c>
      <c r="C22" s="28"/>
      <c r="D22" s="27">
        <f>IFERROR(VLOOKUP($B22,'Pivot '!$A:$G,MATCH(D$6,'Pivot '!$A$4:$G$4,0),FALSE),0)</f>
        <v>1</v>
      </c>
      <c r="E22" s="27">
        <f>IFERROR(VLOOKUP($B22,'Pivot '!$A:$G,MATCH(E$6,'Pivot '!$A$4:$G$4,0),FALSE),0)</f>
        <v>3</v>
      </c>
      <c r="F22" s="27">
        <f>IFERROR(VLOOKUP($B22,'Pivot '!$A:$G,MATCH(F$6,'Pivot '!$A$4:$G$4,0),FALSE),0)</f>
        <v>2</v>
      </c>
      <c r="G22" s="27">
        <f>IFERROR(VLOOKUP($B22,'Pivot '!$A:$G,MATCH(G$6,'Pivot '!$A$4:$G$4,0),FALSE),0)</f>
        <v>0</v>
      </c>
      <c r="H22" s="27">
        <f>IFERROR(VLOOKUP($B22,'Pivot '!$A:$G,MATCH(H$6,'Pivot '!$A$4:$G$4,0),FALSE),0)</f>
        <v>0</v>
      </c>
      <c r="I22" s="27">
        <f t="shared" si="2"/>
        <v>6</v>
      </c>
    </row>
    <row r="23" spans="2:9" x14ac:dyDescent="0.2">
      <c r="B23" s="17" t="s">
        <v>241</v>
      </c>
      <c r="C23" s="17"/>
      <c r="D23" s="25">
        <f>SUM(D24:D38)</f>
        <v>0</v>
      </c>
      <c r="E23" s="25">
        <f t="shared" ref="E23:I23" si="4">SUM(E24:E38)</f>
        <v>84</v>
      </c>
      <c r="F23" s="25">
        <f t="shared" si="4"/>
        <v>22</v>
      </c>
      <c r="G23" s="25">
        <f t="shared" si="4"/>
        <v>3</v>
      </c>
      <c r="H23" s="25">
        <f t="shared" si="4"/>
        <v>4</v>
      </c>
      <c r="I23" s="25">
        <f t="shared" si="4"/>
        <v>113</v>
      </c>
    </row>
    <row r="24" spans="2:9" x14ac:dyDescent="0.2">
      <c r="B24" s="29" t="s">
        <v>255</v>
      </c>
      <c r="C24" s="29"/>
      <c r="D24" s="27">
        <f>IFERROR(VLOOKUP($B24,'Pivot '!$A:$G,MATCH(D$6,'Pivot '!$A$4:$G$4,0),FALSE),0)</f>
        <v>0</v>
      </c>
      <c r="E24" s="27">
        <f>IFERROR(VLOOKUP($B24,'Pivot '!$A:$G,MATCH(E$6,'Pivot '!$A$4:$G$4,0),FALSE),0)</f>
        <v>1</v>
      </c>
      <c r="F24" s="27">
        <f>IFERROR(VLOOKUP($B24,'Pivot '!$A:$G,MATCH(F$6,'Pivot '!$A$4:$G$4,0),FALSE),0)</f>
        <v>0</v>
      </c>
      <c r="G24" s="27">
        <f>IFERROR(VLOOKUP($B24,'Pivot '!$A:$G,MATCH(G$6,'Pivot '!$A$4:$G$4,0),FALSE),0)</f>
        <v>0</v>
      </c>
      <c r="H24" s="27">
        <f>IFERROR(VLOOKUP($B24,'Pivot '!$A:$G,MATCH(H$6,'Pivot '!$A$4:$G$4,0),FALSE),0)</f>
        <v>0</v>
      </c>
      <c r="I24" s="27">
        <f t="shared" ref="I24:I38" si="5">SUM(D24:H24)</f>
        <v>1</v>
      </c>
    </row>
    <row r="25" spans="2:9" x14ac:dyDescent="0.2">
      <c r="B25" s="29" t="s">
        <v>250</v>
      </c>
      <c r="C25" s="29"/>
      <c r="D25" s="27">
        <f>IFERROR(VLOOKUP($B25,'Pivot '!$A:$G,MATCH(D$6,'Pivot '!$A$4:$G$4,0),FALSE),0)</f>
        <v>0</v>
      </c>
      <c r="E25" s="27">
        <f>IFERROR(VLOOKUP($B25,'Pivot '!$A:$G,MATCH(E$6,'Pivot '!$A$4:$G$4,0),FALSE),0)</f>
        <v>8</v>
      </c>
      <c r="F25" s="27">
        <f>IFERROR(VLOOKUP($B25,'Pivot '!$A:$G,MATCH(F$6,'Pivot '!$A$4:$G$4,0),FALSE),0)</f>
        <v>6</v>
      </c>
      <c r="G25" s="27">
        <f>IFERROR(VLOOKUP($B25,'Pivot '!$A:$G,MATCH(G$6,'Pivot '!$A$4:$G$4,0),FALSE),0)</f>
        <v>0</v>
      </c>
      <c r="H25" s="27">
        <f>IFERROR(VLOOKUP($B25,'Pivot '!$A:$G,MATCH(H$6,'Pivot '!$A$4:$G$4,0),FALSE),0)</f>
        <v>0</v>
      </c>
      <c r="I25" s="27">
        <f t="shared" si="5"/>
        <v>14</v>
      </c>
    </row>
    <row r="26" spans="2:9" x14ac:dyDescent="0.2">
      <c r="B26" s="29" t="s">
        <v>256</v>
      </c>
      <c r="C26" s="29"/>
      <c r="D26" s="27">
        <f>IFERROR(VLOOKUP($B26,'Pivot '!$A:$G,MATCH(D$6,'Pivot '!$A$4:$G$4,0),FALSE),0)</f>
        <v>0</v>
      </c>
      <c r="E26" s="27">
        <f>IFERROR(VLOOKUP($B26,'Pivot '!$A:$G,MATCH(E$6,'Pivot '!$A$4:$G$4,0),FALSE),0)</f>
        <v>1</v>
      </c>
      <c r="F26" s="27">
        <f>IFERROR(VLOOKUP($B26,'Pivot '!$A:$G,MATCH(F$6,'Pivot '!$A$4:$G$4,0),FALSE),0)</f>
        <v>2</v>
      </c>
      <c r="G26" s="27">
        <f>IFERROR(VLOOKUP($B26,'Pivot '!$A:$G,MATCH(G$6,'Pivot '!$A$4:$G$4,0),FALSE),0)</f>
        <v>0</v>
      </c>
      <c r="H26" s="27">
        <f>IFERROR(VLOOKUP($B26,'Pivot '!$A:$G,MATCH(H$6,'Pivot '!$A$4:$G$4,0),FALSE),0)</f>
        <v>0</v>
      </c>
      <c r="I26" s="27">
        <f t="shared" si="5"/>
        <v>3</v>
      </c>
    </row>
    <row r="27" spans="2:9" x14ac:dyDescent="0.2">
      <c r="B27" s="29" t="s">
        <v>248</v>
      </c>
      <c r="C27" s="29"/>
      <c r="D27" s="27">
        <f>IFERROR(VLOOKUP($B27,'Pivot '!$A:$G,MATCH(D$6,'Pivot '!$A$4:$G$4,0),FALSE),0)</f>
        <v>0</v>
      </c>
      <c r="E27" s="27">
        <f>IFERROR(VLOOKUP($B27,'Pivot '!$A:$G,MATCH(E$6,'Pivot '!$A$4:$G$4,0),FALSE),0)</f>
        <v>5</v>
      </c>
      <c r="F27" s="27">
        <f>IFERROR(VLOOKUP($B27,'Pivot '!$A:$G,MATCH(F$6,'Pivot '!$A$4:$G$4,0),FALSE),0)</f>
        <v>1</v>
      </c>
      <c r="G27" s="27">
        <f>IFERROR(VLOOKUP($B27,'Pivot '!$A:$G,MATCH(G$6,'Pivot '!$A$4:$G$4,0),FALSE),0)</f>
        <v>0</v>
      </c>
      <c r="H27" s="27">
        <f>IFERROR(VLOOKUP($B27,'Pivot '!$A:$G,MATCH(H$6,'Pivot '!$A$4:$G$4,0),FALSE),0)</f>
        <v>0</v>
      </c>
      <c r="I27" s="27">
        <f t="shared" si="5"/>
        <v>6</v>
      </c>
    </row>
    <row r="28" spans="2:9" x14ac:dyDescent="0.2">
      <c r="B28" s="29" t="s">
        <v>243</v>
      </c>
      <c r="C28" s="29"/>
      <c r="D28" s="27">
        <f>IFERROR(VLOOKUP($B28,'Pivot '!$A:$G,MATCH(D$6,'Pivot '!$A$4:$G$4,0),FALSE),0)</f>
        <v>0</v>
      </c>
      <c r="E28" s="27">
        <f>IFERROR(VLOOKUP($B28,'Pivot '!$A:$G,MATCH(E$6,'Pivot '!$A$4:$G$4,0),FALSE),0)</f>
        <v>6</v>
      </c>
      <c r="F28" s="27">
        <f>IFERROR(VLOOKUP($B28,'Pivot '!$A:$G,MATCH(F$6,'Pivot '!$A$4:$G$4,0),FALSE),0)</f>
        <v>2</v>
      </c>
      <c r="G28" s="27">
        <f>IFERROR(VLOOKUP($B28,'Pivot '!$A:$G,MATCH(G$6,'Pivot '!$A$4:$G$4,0),FALSE),0)</f>
        <v>0</v>
      </c>
      <c r="H28" s="27">
        <f>IFERROR(VLOOKUP($B28,'Pivot '!$A:$G,MATCH(H$6,'Pivot '!$A$4:$G$4,0),FALSE),0)</f>
        <v>0</v>
      </c>
      <c r="I28" s="27">
        <f t="shared" si="5"/>
        <v>8</v>
      </c>
    </row>
    <row r="29" spans="2:9" x14ac:dyDescent="0.2">
      <c r="B29" s="29" t="s">
        <v>253</v>
      </c>
      <c r="C29" s="29"/>
      <c r="D29" s="27">
        <f>IFERROR(VLOOKUP($B29,'Pivot '!$A:$G,MATCH(D$6,'Pivot '!$A$4:$G$4,0),FALSE),0)</f>
        <v>0</v>
      </c>
      <c r="E29" s="27">
        <f>IFERROR(VLOOKUP($B29,'Pivot '!$A:$G,MATCH(E$6,'Pivot '!$A$4:$G$4,0),FALSE),0)</f>
        <v>3</v>
      </c>
      <c r="F29" s="27">
        <f>IFERROR(VLOOKUP($B29,'Pivot '!$A:$G,MATCH(F$6,'Pivot '!$A$4:$G$4,0),FALSE),0)</f>
        <v>1</v>
      </c>
      <c r="G29" s="27">
        <f>IFERROR(VLOOKUP($B29,'Pivot '!$A:$G,MATCH(G$6,'Pivot '!$A$4:$G$4,0),FALSE),0)</f>
        <v>0</v>
      </c>
      <c r="H29" s="27">
        <f>IFERROR(VLOOKUP($B29,'Pivot '!$A:$G,MATCH(H$6,'Pivot '!$A$4:$G$4,0),FALSE),0)</f>
        <v>1</v>
      </c>
      <c r="I29" s="27">
        <f t="shared" si="5"/>
        <v>5</v>
      </c>
    </row>
    <row r="30" spans="2:9" x14ac:dyDescent="0.2">
      <c r="B30" s="29" t="s">
        <v>251</v>
      </c>
      <c r="C30" s="29"/>
      <c r="D30" s="27">
        <f>IFERROR(VLOOKUP($B30,'Pivot '!$A:$G,MATCH(D$6,'Pivot '!$A$4:$G$4,0),FALSE),0)</f>
        <v>0</v>
      </c>
      <c r="E30" s="27">
        <f>IFERROR(VLOOKUP($B30,'Pivot '!$A:$G,MATCH(E$6,'Pivot '!$A$4:$G$4,0),FALSE),0)</f>
        <v>3</v>
      </c>
      <c r="F30" s="27">
        <f>IFERROR(VLOOKUP($B30,'Pivot '!$A:$G,MATCH(F$6,'Pivot '!$A$4:$G$4,0),FALSE),0)</f>
        <v>3</v>
      </c>
      <c r="G30" s="27">
        <f>IFERROR(VLOOKUP($B30,'Pivot '!$A:$G,MATCH(G$6,'Pivot '!$A$4:$G$4,0),FALSE),0)</f>
        <v>0</v>
      </c>
      <c r="H30" s="27">
        <f>IFERROR(VLOOKUP($B30,'Pivot '!$A:$G,MATCH(H$6,'Pivot '!$A$4:$G$4,0),FALSE),0)</f>
        <v>0</v>
      </c>
      <c r="I30" s="27">
        <f t="shared" si="5"/>
        <v>6</v>
      </c>
    </row>
    <row r="31" spans="2:9" x14ac:dyDescent="0.2">
      <c r="B31" s="29" t="s">
        <v>244</v>
      </c>
      <c r="C31" s="29"/>
      <c r="D31" s="27">
        <f>IFERROR(VLOOKUP($B31,'Pivot '!$A:$G,MATCH(D$6,'Pivot '!$A$4:$G$4,0),FALSE),0)</f>
        <v>0</v>
      </c>
      <c r="E31" s="27">
        <f>IFERROR(VLOOKUP($B31,'Pivot '!$A:$G,MATCH(E$6,'Pivot '!$A$4:$G$4,0),FALSE),0)</f>
        <v>9</v>
      </c>
      <c r="F31" s="27">
        <f>IFERROR(VLOOKUP($B31,'Pivot '!$A:$G,MATCH(F$6,'Pivot '!$A$4:$G$4,0),FALSE),0)</f>
        <v>3</v>
      </c>
      <c r="G31" s="27">
        <f>IFERROR(VLOOKUP($B31,'Pivot '!$A:$G,MATCH(G$6,'Pivot '!$A$4:$G$4,0),FALSE),0)</f>
        <v>1</v>
      </c>
      <c r="H31" s="27">
        <f>IFERROR(VLOOKUP($B31,'Pivot '!$A:$G,MATCH(H$6,'Pivot '!$A$4:$G$4,0),FALSE),0)</f>
        <v>0</v>
      </c>
      <c r="I31" s="27">
        <f t="shared" si="5"/>
        <v>13</v>
      </c>
    </row>
    <row r="32" spans="2:9" x14ac:dyDescent="0.2">
      <c r="B32" s="29" t="s">
        <v>254</v>
      </c>
      <c r="C32" s="29"/>
      <c r="D32" s="27">
        <f>IFERROR(VLOOKUP($B32,'Pivot '!$A:$G,MATCH(D$6,'Pivot '!$A$4:$G$4,0),FALSE),0)</f>
        <v>0</v>
      </c>
      <c r="E32" s="27">
        <f>IFERROR(VLOOKUP($B32,'Pivot '!$A:$G,MATCH(E$6,'Pivot '!$A$4:$G$4,0),FALSE),0)</f>
        <v>2</v>
      </c>
      <c r="F32" s="27">
        <f>IFERROR(VLOOKUP($B32,'Pivot '!$A:$G,MATCH(F$6,'Pivot '!$A$4:$G$4,0),FALSE),0)</f>
        <v>0</v>
      </c>
      <c r="G32" s="27">
        <f>IFERROR(VLOOKUP($B32,'Pivot '!$A:$G,MATCH(G$6,'Pivot '!$A$4:$G$4,0),FALSE),0)</f>
        <v>0</v>
      </c>
      <c r="H32" s="27">
        <f>IFERROR(VLOOKUP($B32,'Pivot '!$A:$G,MATCH(H$6,'Pivot '!$A$4:$G$4,0),FALSE),0)</f>
        <v>0</v>
      </c>
      <c r="I32" s="27">
        <f t="shared" si="5"/>
        <v>2</v>
      </c>
    </row>
    <row r="33" spans="2:9" x14ac:dyDescent="0.2">
      <c r="B33" s="29" t="s">
        <v>252</v>
      </c>
      <c r="C33" s="29"/>
      <c r="D33" s="27">
        <f>IFERROR(VLOOKUP($B33,'Pivot '!$A:$G,MATCH(D$6,'Pivot '!$A$4:$G$4,0),FALSE),0)</f>
        <v>0</v>
      </c>
      <c r="E33" s="27">
        <f>IFERROR(VLOOKUP($B33,'Pivot '!$A:$G,MATCH(E$6,'Pivot '!$A$4:$G$4,0),FALSE),0)</f>
        <v>4</v>
      </c>
      <c r="F33" s="27">
        <f>IFERROR(VLOOKUP($B33,'Pivot '!$A:$G,MATCH(F$6,'Pivot '!$A$4:$G$4,0),FALSE),0)</f>
        <v>0</v>
      </c>
      <c r="G33" s="27">
        <f>IFERROR(VLOOKUP($B33,'Pivot '!$A:$G,MATCH(G$6,'Pivot '!$A$4:$G$4,0),FALSE),0)</f>
        <v>0</v>
      </c>
      <c r="H33" s="27">
        <f>IFERROR(VLOOKUP($B33,'Pivot '!$A:$G,MATCH(H$6,'Pivot '!$A$4:$G$4,0),FALSE),0)</f>
        <v>0</v>
      </c>
      <c r="I33" s="27">
        <f t="shared" si="5"/>
        <v>4</v>
      </c>
    </row>
    <row r="34" spans="2:9" x14ac:dyDescent="0.2">
      <c r="B34" s="29" t="s">
        <v>247</v>
      </c>
      <c r="C34" s="29"/>
      <c r="D34" s="27">
        <f>IFERROR(VLOOKUP($B34,'Pivot '!$A:$G,MATCH(D$6,'Pivot '!$A$4:$G$4,0),FALSE),0)</f>
        <v>0</v>
      </c>
      <c r="E34" s="27">
        <f>IFERROR(VLOOKUP($B34,'Pivot '!$A:$G,MATCH(E$6,'Pivot '!$A$4:$G$4,0),FALSE),0)</f>
        <v>20</v>
      </c>
      <c r="F34" s="27">
        <f>IFERROR(VLOOKUP($B34,'Pivot '!$A:$G,MATCH(F$6,'Pivot '!$A$4:$G$4,0),FALSE),0)</f>
        <v>1</v>
      </c>
      <c r="G34" s="27">
        <f>IFERROR(VLOOKUP($B34,'Pivot '!$A:$G,MATCH(G$6,'Pivot '!$A$4:$G$4,0),FALSE),0)</f>
        <v>1</v>
      </c>
      <c r="H34" s="27">
        <f>IFERROR(VLOOKUP($B34,'Pivot '!$A:$G,MATCH(H$6,'Pivot '!$A$4:$G$4,0),FALSE),0)</f>
        <v>0</v>
      </c>
      <c r="I34" s="27">
        <f t="shared" si="5"/>
        <v>22</v>
      </c>
    </row>
    <row r="35" spans="2:9" x14ac:dyDescent="0.2">
      <c r="B35" s="29" t="s">
        <v>242</v>
      </c>
      <c r="C35" s="29"/>
      <c r="D35" s="27">
        <f>IFERROR(VLOOKUP($B35,'Pivot '!$A:$G,MATCH(D$6,'Pivot '!$A$4:$G$4,0),FALSE),0)</f>
        <v>0</v>
      </c>
      <c r="E35" s="27">
        <f>IFERROR(VLOOKUP($B35,'Pivot '!$A:$G,MATCH(E$6,'Pivot '!$A$4:$G$4,0),FALSE),0)</f>
        <v>10</v>
      </c>
      <c r="F35" s="27">
        <f>IFERROR(VLOOKUP($B35,'Pivot '!$A:$G,MATCH(F$6,'Pivot '!$A$4:$G$4,0),FALSE),0)</f>
        <v>1</v>
      </c>
      <c r="G35" s="27">
        <f>IFERROR(VLOOKUP($B35,'Pivot '!$A:$G,MATCH(G$6,'Pivot '!$A$4:$G$4,0),FALSE),0)</f>
        <v>0</v>
      </c>
      <c r="H35" s="27">
        <f>IFERROR(VLOOKUP($B35,'Pivot '!$A:$G,MATCH(H$6,'Pivot '!$A$4:$G$4,0),FALSE),0)</f>
        <v>0</v>
      </c>
      <c r="I35" s="27">
        <f t="shared" si="5"/>
        <v>11</v>
      </c>
    </row>
    <row r="36" spans="2:9" x14ac:dyDescent="0.2">
      <c r="B36" s="29" t="s">
        <v>249</v>
      </c>
      <c r="C36" s="29"/>
      <c r="D36" s="27">
        <f>IFERROR(VLOOKUP($B36,'Pivot '!$A:$G,MATCH(D$6,'Pivot '!$A$4:$G$4,0),FALSE),0)</f>
        <v>0</v>
      </c>
      <c r="E36" s="27">
        <f>IFERROR(VLOOKUP($B36,'Pivot '!$A:$G,MATCH(E$6,'Pivot '!$A$4:$G$4,0),FALSE),0)</f>
        <v>4</v>
      </c>
      <c r="F36" s="27">
        <f>IFERROR(VLOOKUP($B36,'Pivot '!$A:$G,MATCH(F$6,'Pivot '!$A$4:$G$4,0),FALSE),0)</f>
        <v>1</v>
      </c>
      <c r="G36" s="27">
        <f>IFERROR(VLOOKUP($B36,'Pivot '!$A:$G,MATCH(G$6,'Pivot '!$A$4:$G$4,0),FALSE),0)</f>
        <v>1</v>
      </c>
      <c r="H36" s="27">
        <f>IFERROR(VLOOKUP($B36,'Pivot '!$A:$G,MATCH(H$6,'Pivot '!$A$4:$G$4,0),FALSE),0)</f>
        <v>1</v>
      </c>
      <c r="I36" s="27">
        <f t="shared" si="5"/>
        <v>7</v>
      </c>
    </row>
    <row r="37" spans="2:9" x14ac:dyDescent="0.2">
      <c r="B37" s="29" t="s">
        <v>246</v>
      </c>
      <c r="C37" s="29"/>
      <c r="D37" s="27">
        <f>IFERROR(VLOOKUP($B37,'Pivot '!$A:$G,MATCH(D$6,'Pivot '!$A$4:$G$4,0),FALSE),0)</f>
        <v>0</v>
      </c>
      <c r="E37" s="27">
        <f>IFERROR(VLOOKUP($B37,'Pivot '!$A:$G,MATCH(E$6,'Pivot '!$A$4:$G$4,0),FALSE),0)</f>
        <v>5</v>
      </c>
      <c r="F37" s="27">
        <f>IFERROR(VLOOKUP($B37,'Pivot '!$A:$G,MATCH(F$6,'Pivot '!$A$4:$G$4,0),FALSE),0)</f>
        <v>1</v>
      </c>
      <c r="G37" s="27">
        <f>IFERROR(VLOOKUP($B37,'Pivot '!$A:$G,MATCH(G$6,'Pivot '!$A$4:$G$4,0),FALSE),0)</f>
        <v>0</v>
      </c>
      <c r="H37" s="27">
        <f>IFERROR(VLOOKUP($B37,'Pivot '!$A:$G,MATCH(H$6,'Pivot '!$A$4:$G$4,0),FALSE),0)</f>
        <v>1</v>
      </c>
      <c r="I37" s="27">
        <f t="shared" si="5"/>
        <v>7</v>
      </c>
    </row>
    <row r="38" spans="2:9" x14ac:dyDescent="0.2">
      <c r="B38" s="29" t="s">
        <v>245</v>
      </c>
      <c r="C38" s="29"/>
      <c r="D38" s="27">
        <f>IFERROR(VLOOKUP($B38,'Pivot '!$A:$G,MATCH(D$6,'Pivot '!$A$4:$G$4,0),FALSE),0)</f>
        <v>0</v>
      </c>
      <c r="E38" s="27">
        <f>IFERROR(VLOOKUP($B38,'Pivot '!$A:$G,MATCH(E$6,'Pivot '!$A$4:$G$4,0),FALSE),0)</f>
        <v>3</v>
      </c>
      <c r="F38" s="27">
        <f>IFERROR(VLOOKUP($B38,'Pivot '!$A:$G,MATCH(F$6,'Pivot '!$A$4:$G$4,0),FALSE),0)</f>
        <v>0</v>
      </c>
      <c r="G38" s="27">
        <f>IFERROR(VLOOKUP($B38,'Pivot '!$A:$G,MATCH(G$6,'Pivot '!$A$4:$G$4,0),FALSE),0)</f>
        <v>0</v>
      </c>
      <c r="H38" s="27">
        <f>IFERROR(VLOOKUP($B38,'Pivot '!$A:$G,MATCH(H$6,'Pivot '!$A$4:$G$4,0),FALSE),0)</f>
        <v>1</v>
      </c>
      <c r="I38" s="27">
        <f t="shared" si="5"/>
        <v>4</v>
      </c>
    </row>
    <row r="39" spans="2:9" x14ac:dyDescent="0.2">
      <c r="B39" s="17" t="s">
        <v>168</v>
      </c>
      <c r="C39" s="17"/>
      <c r="D39" s="25">
        <f>SUM(D40:D62)</f>
        <v>2</v>
      </c>
      <c r="E39" s="25">
        <f t="shared" ref="E39:H39" si="6">SUM(E40:E62)</f>
        <v>143</v>
      </c>
      <c r="F39" s="25">
        <f t="shared" si="6"/>
        <v>53</v>
      </c>
      <c r="G39" s="25">
        <f t="shared" si="6"/>
        <v>6</v>
      </c>
      <c r="H39" s="25">
        <f t="shared" si="6"/>
        <v>1</v>
      </c>
      <c r="I39" s="25">
        <f t="shared" si="2"/>
        <v>205</v>
      </c>
    </row>
    <row r="40" spans="2:9" x14ac:dyDescent="0.2">
      <c r="B40" s="29" t="s">
        <v>179</v>
      </c>
      <c r="C40" s="29"/>
      <c r="D40" s="27">
        <f>IFERROR(VLOOKUP($B40,'Pivot '!$A:$G,MATCH(D$6,'Pivot '!$A$4:$G$4,0),FALSE),0)</f>
        <v>0</v>
      </c>
      <c r="E40" s="27">
        <f>IFERROR(VLOOKUP($B40,'Pivot '!$A:$G,MATCH(E$6,'Pivot '!$A$4:$G$4,0),FALSE),0)</f>
        <v>3</v>
      </c>
      <c r="F40" s="27">
        <f>IFERROR(VLOOKUP($B40,'Pivot '!$A:$G,MATCH(F$6,'Pivot '!$A$4:$G$4,0),FALSE),0)</f>
        <v>0</v>
      </c>
      <c r="G40" s="27">
        <f>IFERROR(VLOOKUP($B40,'Pivot '!$A:$G,MATCH(G$6,'Pivot '!$A$4:$G$4,0),FALSE),0)</f>
        <v>0</v>
      </c>
      <c r="H40" s="27">
        <f>IFERROR(VLOOKUP($B40,'Pivot '!$A:$G,MATCH(H$6,'Pivot '!$A$4:$G$4,0),FALSE),0)</f>
        <v>0</v>
      </c>
      <c r="I40" s="27">
        <f t="shared" ref="I40:I62" si="7">SUM(D40:H40)</f>
        <v>3</v>
      </c>
    </row>
    <row r="41" spans="2:9" x14ac:dyDescent="0.2">
      <c r="B41" s="29" t="s">
        <v>177</v>
      </c>
      <c r="C41" s="29"/>
      <c r="D41" s="27">
        <f>IFERROR(VLOOKUP($B41,'Pivot '!$A:$G,MATCH(D$6,'Pivot '!$A$4:$G$4,0),FALSE),0)</f>
        <v>0</v>
      </c>
      <c r="E41" s="27">
        <f>IFERROR(VLOOKUP($B41,'Pivot '!$A:$G,MATCH(E$6,'Pivot '!$A$4:$G$4,0),FALSE),0)</f>
        <v>4</v>
      </c>
      <c r="F41" s="27">
        <f>IFERROR(VLOOKUP($B41,'Pivot '!$A:$G,MATCH(F$6,'Pivot '!$A$4:$G$4,0),FALSE),0)</f>
        <v>1</v>
      </c>
      <c r="G41" s="27">
        <f>IFERROR(VLOOKUP($B41,'Pivot '!$A:$G,MATCH(G$6,'Pivot '!$A$4:$G$4,0),FALSE),0)</f>
        <v>0</v>
      </c>
      <c r="H41" s="27">
        <f>IFERROR(VLOOKUP($B41,'Pivot '!$A:$G,MATCH(H$6,'Pivot '!$A$4:$G$4,0),FALSE),0)</f>
        <v>0</v>
      </c>
      <c r="I41" s="27">
        <f t="shared" si="7"/>
        <v>5</v>
      </c>
    </row>
    <row r="42" spans="2:9" x14ac:dyDescent="0.2">
      <c r="B42" s="29" t="s">
        <v>187</v>
      </c>
      <c r="C42" s="29"/>
      <c r="D42" s="27">
        <f>IFERROR(VLOOKUP($B42,'Pivot '!$A:$G,MATCH(D$6,'Pivot '!$A$4:$G$4,0),FALSE),0)</f>
        <v>0</v>
      </c>
      <c r="E42" s="27">
        <f>IFERROR(VLOOKUP($B42,'Pivot '!$A:$G,MATCH(E$6,'Pivot '!$A$4:$G$4,0),FALSE),0)</f>
        <v>8</v>
      </c>
      <c r="F42" s="27">
        <f>IFERROR(VLOOKUP($B42,'Pivot '!$A:$G,MATCH(F$6,'Pivot '!$A$4:$G$4,0),FALSE),0)</f>
        <v>0</v>
      </c>
      <c r="G42" s="27">
        <f>IFERROR(VLOOKUP($B42,'Pivot '!$A:$G,MATCH(G$6,'Pivot '!$A$4:$G$4,0),FALSE),0)</f>
        <v>0</v>
      </c>
      <c r="H42" s="27">
        <f>IFERROR(VLOOKUP($B42,'Pivot '!$A:$G,MATCH(H$6,'Pivot '!$A$4:$G$4,0),FALSE),0)</f>
        <v>0</v>
      </c>
      <c r="I42" s="27">
        <f t="shared" si="7"/>
        <v>8</v>
      </c>
    </row>
    <row r="43" spans="2:9" x14ac:dyDescent="0.2">
      <c r="B43" s="29" t="s">
        <v>184</v>
      </c>
      <c r="C43" s="29"/>
      <c r="D43" s="27">
        <f>IFERROR(VLOOKUP($B43,'Pivot '!$A:$G,MATCH(D$6,'Pivot '!$A$4:$G$4,0),FALSE),0)</f>
        <v>0</v>
      </c>
      <c r="E43" s="27">
        <f>IFERROR(VLOOKUP($B43,'Pivot '!$A:$G,MATCH(E$6,'Pivot '!$A$4:$G$4,0),FALSE),0)</f>
        <v>6</v>
      </c>
      <c r="F43" s="27">
        <f>IFERROR(VLOOKUP($B43,'Pivot '!$A:$G,MATCH(F$6,'Pivot '!$A$4:$G$4,0),FALSE),0)</f>
        <v>0</v>
      </c>
      <c r="G43" s="27">
        <f>IFERROR(VLOOKUP($B43,'Pivot '!$A:$G,MATCH(G$6,'Pivot '!$A$4:$G$4,0),FALSE),0)</f>
        <v>0</v>
      </c>
      <c r="H43" s="27">
        <f>IFERROR(VLOOKUP($B43,'Pivot '!$A:$G,MATCH(H$6,'Pivot '!$A$4:$G$4,0),FALSE),0)</f>
        <v>0</v>
      </c>
      <c r="I43" s="27">
        <f t="shared" si="7"/>
        <v>6</v>
      </c>
    </row>
    <row r="44" spans="2:9" x14ac:dyDescent="0.2">
      <c r="B44" s="29" t="s">
        <v>180</v>
      </c>
      <c r="C44" s="29"/>
      <c r="D44" s="27">
        <f>IFERROR(VLOOKUP($B44,'Pivot '!$A:$G,MATCH(D$6,'Pivot '!$A$4:$G$4,0),FALSE),0)</f>
        <v>0</v>
      </c>
      <c r="E44" s="27">
        <f>IFERROR(VLOOKUP($B44,'Pivot '!$A:$G,MATCH(E$6,'Pivot '!$A$4:$G$4,0),FALSE),0)</f>
        <v>8</v>
      </c>
      <c r="F44" s="27">
        <f>IFERROR(VLOOKUP($B44,'Pivot '!$A:$G,MATCH(F$6,'Pivot '!$A$4:$G$4,0),FALSE),0)</f>
        <v>1</v>
      </c>
      <c r="G44" s="27">
        <f>IFERROR(VLOOKUP($B44,'Pivot '!$A:$G,MATCH(G$6,'Pivot '!$A$4:$G$4,0),FALSE),0)</f>
        <v>0</v>
      </c>
      <c r="H44" s="27">
        <f>IFERROR(VLOOKUP($B44,'Pivot '!$A:$G,MATCH(H$6,'Pivot '!$A$4:$G$4,0),FALSE),0)</f>
        <v>0</v>
      </c>
      <c r="I44" s="27">
        <f t="shared" si="7"/>
        <v>9</v>
      </c>
    </row>
    <row r="45" spans="2:9" x14ac:dyDescent="0.2">
      <c r="B45" s="29" t="s">
        <v>175</v>
      </c>
      <c r="C45" s="29"/>
      <c r="D45" s="27">
        <f>IFERROR(VLOOKUP($B45,'Pivot '!$A:$G,MATCH(D$6,'Pivot '!$A$4:$G$4,0),FALSE),0)</f>
        <v>0</v>
      </c>
      <c r="E45" s="27">
        <f>IFERROR(VLOOKUP($B45,'Pivot '!$A:$G,MATCH(E$6,'Pivot '!$A$4:$G$4,0),FALSE),0)</f>
        <v>7</v>
      </c>
      <c r="F45" s="27">
        <f>IFERROR(VLOOKUP($B45,'Pivot '!$A:$G,MATCH(F$6,'Pivot '!$A$4:$G$4,0),FALSE),0)</f>
        <v>3</v>
      </c>
      <c r="G45" s="27">
        <f>IFERROR(VLOOKUP($B45,'Pivot '!$A:$G,MATCH(G$6,'Pivot '!$A$4:$G$4,0),FALSE),0)</f>
        <v>1</v>
      </c>
      <c r="H45" s="27">
        <f>IFERROR(VLOOKUP($B45,'Pivot '!$A:$G,MATCH(H$6,'Pivot '!$A$4:$G$4,0),FALSE),0)</f>
        <v>0</v>
      </c>
      <c r="I45" s="27">
        <f t="shared" si="7"/>
        <v>11</v>
      </c>
    </row>
    <row r="46" spans="2:9" x14ac:dyDescent="0.2">
      <c r="B46" s="29" t="s">
        <v>176</v>
      </c>
      <c r="C46" s="29"/>
      <c r="D46" s="27">
        <f>IFERROR(VLOOKUP($B46,'Pivot '!$A:$G,MATCH(D$6,'Pivot '!$A$4:$G$4,0),FALSE),0)</f>
        <v>0</v>
      </c>
      <c r="E46" s="27">
        <f>IFERROR(VLOOKUP($B46,'Pivot '!$A:$G,MATCH(E$6,'Pivot '!$A$4:$G$4,0),FALSE),0)</f>
        <v>15</v>
      </c>
      <c r="F46" s="27">
        <f>IFERROR(VLOOKUP($B46,'Pivot '!$A:$G,MATCH(F$6,'Pivot '!$A$4:$G$4,0),FALSE),0)</f>
        <v>4</v>
      </c>
      <c r="G46" s="27">
        <f>IFERROR(VLOOKUP($B46,'Pivot '!$A:$G,MATCH(G$6,'Pivot '!$A$4:$G$4,0),FALSE),0)</f>
        <v>0</v>
      </c>
      <c r="H46" s="27">
        <f>IFERROR(VLOOKUP($B46,'Pivot '!$A:$G,MATCH(H$6,'Pivot '!$A$4:$G$4,0),FALSE),0)</f>
        <v>0</v>
      </c>
      <c r="I46" s="27">
        <f t="shared" si="7"/>
        <v>19</v>
      </c>
    </row>
    <row r="47" spans="2:9" x14ac:dyDescent="0.2">
      <c r="B47" s="29" t="s">
        <v>190</v>
      </c>
      <c r="C47" s="29"/>
      <c r="D47" s="27">
        <f>IFERROR(VLOOKUP($B47,'Pivot '!$A:$G,MATCH(D$6,'Pivot '!$A$4:$G$4,0),FALSE),0)</f>
        <v>0</v>
      </c>
      <c r="E47" s="27">
        <f>IFERROR(VLOOKUP($B47,'Pivot '!$A:$G,MATCH(E$6,'Pivot '!$A$4:$G$4,0),FALSE),0)</f>
        <v>1</v>
      </c>
      <c r="F47" s="27">
        <f>IFERROR(VLOOKUP($B47,'Pivot '!$A:$G,MATCH(F$6,'Pivot '!$A$4:$G$4,0),FALSE),0)</f>
        <v>2</v>
      </c>
      <c r="G47" s="27">
        <f>IFERROR(VLOOKUP($B47,'Pivot '!$A:$G,MATCH(G$6,'Pivot '!$A$4:$G$4,0),FALSE),0)</f>
        <v>0</v>
      </c>
      <c r="H47" s="27">
        <f>IFERROR(VLOOKUP($B47,'Pivot '!$A:$G,MATCH(H$6,'Pivot '!$A$4:$G$4,0),FALSE),0)</f>
        <v>0</v>
      </c>
      <c r="I47" s="27">
        <f t="shared" si="7"/>
        <v>3</v>
      </c>
    </row>
    <row r="48" spans="2:9" x14ac:dyDescent="0.2">
      <c r="B48" s="29" t="s">
        <v>178</v>
      </c>
      <c r="C48" s="29"/>
      <c r="D48" s="27">
        <f>IFERROR(VLOOKUP($B48,'Pivot '!$A:$G,MATCH(D$6,'Pivot '!$A$4:$G$4,0),FALSE),0)</f>
        <v>0</v>
      </c>
      <c r="E48" s="27">
        <f>IFERROR(VLOOKUP($B48,'Pivot '!$A:$G,MATCH(E$6,'Pivot '!$A$4:$G$4,0),FALSE),0)</f>
        <v>6</v>
      </c>
      <c r="F48" s="27">
        <f>IFERROR(VLOOKUP($B48,'Pivot '!$A:$G,MATCH(F$6,'Pivot '!$A$4:$G$4,0),FALSE),0)</f>
        <v>2</v>
      </c>
      <c r="G48" s="27">
        <f>IFERROR(VLOOKUP($B48,'Pivot '!$A:$G,MATCH(G$6,'Pivot '!$A$4:$G$4,0),FALSE),0)</f>
        <v>0</v>
      </c>
      <c r="H48" s="27">
        <f>IFERROR(VLOOKUP($B48,'Pivot '!$A:$G,MATCH(H$6,'Pivot '!$A$4:$G$4,0),FALSE),0)</f>
        <v>0</v>
      </c>
      <c r="I48" s="27">
        <f t="shared" si="7"/>
        <v>8</v>
      </c>
    </row>
    <row r="49" spans="2:9" x14ac:dyDescent="0.2">
      <c r="B49" s="29" t="s">
        <v>169</v>
      </c>
      <c r="C49" s="29"/>
      <c r="D49" s="27">
        <f>IFERROR(VLOOKUP($B49,'Pivot '!$A:$G,MATCH(D$6,'Pivot '!$A$4:$G$4,0),FALSE),0)</f>
        <v>1</v>
      </c>
      <c r="E49" s="27">
        <f>IFERROR(VLOOKUP($B49,'Pivot '!$A:$G,MATCH(E$6,'Pivot '!$A$4:$G$4,0),FALSE),0)</f>
        <v>26</v>
      </c>
      <c r="F49" s="27">
        <f>IFERROR(VLOOKUP($B49,'Pivot '!$A:$G,MATCH(F$6,'Pivot '!$A$4:$G$4,0),FALSE),0)</f>
        <v>10</v>
      </c>
      <c r="G49" s="27">
        <f>IFERROR(VLOOKUP($B49,'Pivot '!$A:$G,MATCH(G$6,'Pivot '!$A$4:$G$4,0),FALSE),0)</f>
        <v>2</v>
      </c>
      <c r="H49" s="27">
        <f>IFERROR(VLOOKUP($B49,'Pivot '!$A:$G,MATCH(H$6,'Pivot '!$A$4:$G$4,0),FALSE),0)</f>
        <v>1</v>
      </c>
      <c r="I49" s="27">
        <f t="shared" si="7"/>
        <v>40</v>
      </c>
    </row>
    <row r="50" spans="2:9" x14ac:dyDescent="0.2">
      <c r="B50" s="29" t="s">
        <v>170</v>
      </c>
      <c r="C50" s="29"/>
      <c r="D50" s="27">
        <f>IFERROR(VLOOKUP($B50,'Pivot '!$A:$G,MATCH(D$6,'Pivot '!$A$4:$G$4,0),FALSE),0)</f>
        <v>0</v>
      </c>
      <c r="E50" s="27">
        <f>IFERROR(VLOOKUP($B50,'Pivot '!$A:$G,MATCH(E$6,'Pivot '!$A$4:$G$4,0),FALSE),0)</f>
        <v>8</v>
      </c>
      <c r="F50" s="27">
        <f>IFERROR(VLOOKUP($B50,'Pivot '!$A:$G,MATCH(F$6,'Pivot '!$A$4:$G$4,0),FALSE),0)</f>
        <v>5</v>
      </c>
      <c r="G50" s="27">
        <f>IFERROR(VLOOKUP($B50,'Pivot '!$A:$G,MATCH(G$6,'Pivot '!$A$4:$G$4,0),FALSE),0)</f>
        <v>1</v>
      </c>
      <c r="H50" s="27">
        <f>IFERROR(VLOOKUP($B50,'Pivot '!$A:$G,MATCH(H$6,'Pivot '!$A$4:$G$4,0),FALSE),0)</f>
        <v>0</v>
      </c>
      <c r="I50" s="27">
        <f t="shared" si="7"/>
        <v>14</v>
      </c>
    </row>
    <row r="51" spans="2:9" x14ac:dyDescent="0.2">
      <c r="B51" s="29" t="s">
        <v>171</v>
      </c>
      <c r="C51" s="29"/>
      <c r="D51" s="27">
        <f>IFERROR(VLOOKUP($B51,'Pivot '!$A:$G,MATCH(D$6,'Pivot '!$A$4:$G$4,0),FALSE),0)</f>
        <v>1</v>
      </c>
      <c r="E51" s="27">
        <f>IFERROR(VLOOKUP($B51,'Pivot '!$A:$G,MATCH(E$6,'Pivot '!$A$4:$G$4,0),FALSE),0)</f>
        <v>6</v>
      </c>
      <c r="F51" s="27">
        <f>IFERROR(VLOOKUP($B51,'Pivot '!$A:$G,MATCH(F$6,'Pivot '!$A$4:$G$4,0),FALSE),0)</f>
        <v>5</v>
      </c>
      <c r="G51" s="27">
        <f>IFERROR(VLOOKUP($B51,'Pivot '!$A:$G,MATCH(G$6,'Pivot '!$A$4:$G$4,0),FALSE),0)</f>
        <v>0</v>
      </c>
      <c r="H51" s="27">
        <f>IFERROR(VLOOKUP($B51,'Pivot '!$A:$G,MATCH(H$6,'Pivot '!$A$4:$G$4,0),FALSE),0)</f>
        <v>0</v>
      </c>
      <c r="I51" s="27">
        <f t="shared" si="7"/>
        <v>12</v>
      </c>
    </row>
    <row r="52" spans="2:9" x14ac:dyDescent="0.2">
      <c r="B52" s="29" t="s">
        <v>172</v>
      </c>
      <c r="C52" s="29"/>
      <c r="D52" s="27">
        <f>IFERROR(VLOOKUP($B52,'Pivot '!$A:$G,MATCH(D$6,'Pivot '!$A$4:$G$4,0),FALSE),0)</f>
        <v>0</v>
      </c>
      <c r="E52" s="27">
        <f>IFERROR(VLOOKUP($B52,'Pivot '!$A:$G,MATCH(E$6,'Pivot '!$A$4:$G$4,0),FALSE),0)</f>
        <v>1</v>
      </c>
      <c r="F52" s="27">
        <f>IFERROR(VLOOKUP($B52,'Pivot '!$A:$G,MATCH(F$6,'Pivot '!$A$4:$G$4,0),FALSE),0)</f>
        <v>3</v>
      </c>
      <c r="G52" s="27">
        <f>IFERROR(VLOOKUP($B52,'Pivot '!$A:$G,MATCH(G$6,'Pivot '!$A$4:$G$4,0),FALSE),0)</f>
        <v>0</v>
      </c>
      <c r="H52" s="27">
        <f>IFERROR(VLOOKUP($B52,'Pivot '!$A:$G,MATCH(H$6,'Pivot '!$A$4:$G$4,0),FALSE),0)</f>
        <v>0</v>
      </c>
      <c r="I52" s="27">
        <f t="shared" si="7"/>
        <v>4</v>
      </c>
    </row>
    <row r="53" spans="2:9" x14ac:dyDescent="0.2">
      <c r="B53" s="29" t="s">
        <v>173</v>
      </c>
      <c r="C53" s="29"/>
      <c r="D53" s="27">
        <f>IFERROR(VLOOKUP($B53,'Pivot '!$A:$G,MATCH(D$6,'Pivot '!$A$4:$G$4,0),FALSE),0)</f>
        <v>0</v>
      </c>
      <c r="E53" s="27">
        <f>IFERROR(VLOOKUP($B53,'Pivot '!$A:$G,MATCH(E$6,'Pivot '!$A$4:$G$4,0),FALSE),0)</f>
        <v>3</v>
      </c>
      <c r="F53" s="27">
        <f>IFERROR(VLOOKUP($B53,'Pivot '!$A:$G,MATCH(F$6,'Pivot '!$A$4:$G$4,0),FALSE),0)</f>
        <v>1</v>
      </c>
      <c r="G53" s="27">
        <f>IFERROR(VLOOKUP($B53,'Pivot '!$A:$G,MATCH(G$6,'Pivot '!$A$4:$G$4,0),FALSE),0)</f>
        <v>0</v>
      </c>
      <c r="H53" s="27">
        <f>IFERROR(VLOOKUP($B53,'Pivot '!$A:$G,MATCH(H$6,'Pivot '!$A$4:$G$4,0),FALSE),0)</f>
        <v>0</v>
      </c>
      <c r="I53" s="27">
        <f t="shared" si="7"/>
        <v>4</v>
      </c>
    </row>
    <row r="54" spans="2:9" x14ac:dyDescent="0.2">
      <c r="B54" s="29" t="s">
        <v>191</v>
      </c>
      <c r="C54" s="29"/>
      <c r="D54" s="27">
        <f>IFERROR(VLOOKUP($B54,'Pivot '!$A:$G,MATCH(D$6,'Pivot '!$A$4:$G$4,0),FALSE),0)</f>
        <v>0</v>
      </c>
      <c r="E54" s="27">
        <f>IFERROR(VLOOKUP($B54,'Pivot '!$A:$G,MATCH(E$6,'Pivot '!$A$4:$G$4,0),FALSE),0)</f>
        <v>6</v>
      </c>
      <c r="F54" s="27">
        <f>IFERROR(VLOOKUP($B54,'Pivot '!$A:$G,MATCH(F$6,'Pivot '!$A$4:$G$4,0),FALSE),0)</f>
        <v>3</v>
      </c>
      <c r="G54" s="27">
        <f>IFERROR(VLOOKUP($B54,'Pivot '!$A:$G,MATCH(G$6,'Pivot '!$A$4:$G$4,0),FALSE),0)</f>
        <v>0</v>
      </c>
      <c r="H54" s="27">
        <f>IFERROR(VLOOKUP($B54,'Pivot '!$A:$G,MATCH(H$6,'Pivot '!$A$4:$G$4,0),FALSE),0)</f>
        <v>0</v>
      </c>
      <c r="I54" s="27">
        <f t="shared" si="7"/>
        <v>9</v>
      </c>
    </row>
    <row r="55" spans="2:9" x14ac:dyDescent="0.2">
      <c r="B55" s="29" t="s">
        <v>183</v>
      </c>
      <c r="C55" s="29"/>
      <c r="D55" s="27">
        <f>IFERROR(VLOOKUP($B55,'Pivot '!$A:$G,MATCH(D$6,'Pivot '!$A$4:$G$4,0),FALSE),0)</f>
        <v>0</v>
      </c>
      <c r="E55" s="27">
        <f>IFERROR(VLOOKUP($B55,'Pivot '!$A:$G,MATCH(E$6,'Pivot '!$A$4:$G$4,0),FALSE),0)</f>
        <v>8</v>
      </c>
      <c r="F55" s="27">
        <f>IFERROR(VLOOKUP($B55,'Pivot '!$A:$G,MATCH(F$6,'Pivot '!$A$4:$G$4,0),FALSE),0)</f>
        <v>4</v>
      </c>
      <c r="G55" s="27">
        <f>IFERROR(VLOOKUP($B55,'Pivot '!$A:$G,MATCH(G$6,'Pivot '!$A$4:$G$4,0),FALSE),0)</f>
        <v>0</v>
      </c>
      <c r="H55" s="27">
        <f>IFERROR(VLOOKUP($B55,'Pivot '!$A:$G,MATCH(H$6,'Pivot '!$A$4:$G$4,0),FALSE),0)</f>
        <v>0</v>
      </c>
      <c r="I55" s="27">
        <f t="shared" si="7"/>
        <v>12</v>
      </c>
    </row>
    <row r="56" spans="2:9" x14ac:dyDescent="0.2">
      <c r="B56" s="29" t="s">
        <v>182</v>
      </c>
      <c r="C56" s="29"/>
      <c r="D56" s="27">
        <f>IFERROR(VLOOKUP($B56,'Pivot '!$A:$G,MATCH(D$6,'Pivot '!$A$4:$G$4,0),FALSE),0)</f>
        <v>0</v>
      </c>
      <c r="E56" s="27">
        <f>IFERROR(VLOOKUP($B56,'Pivot '!$A:$G,MATCH(E$6,'Pivot '!$A$4:$G$4,0),FALSE),0)</f>
        <v>2</v>
      </c>
      <c r="F56" s="27">
        <f>IFERROR(VLOOKUP($B56,'Pivot '!$A:$G,MATCH(F$6,'Pivot '!$A$4:$G$4,0),FALSE),0)</f>
        <v>3</v>
      </c>
      <c r="G56" s="27">
        <f>IFERROR(VLOOKUP($B56,'Pivot '!$A:$G,MATCH(G$6,'Pivot '!$A$4:$G$4,0),FALSE),0)</f>
        <v>0</v>
      </c>
      <c r="H56" s="27">
        <f>IFERROR(VLOOKUP($B56,'Pivot '!$A:$G,MATCH(H$6,'Pivot '!$A$4:$G$4,0),FALSE),0)</f>
        <v>0</v>
      </c>
      <c r="I56" s="27">
        <f t="shared" si="7"/>
        <v>5</v>
      </c>
    </row>
    <row r="57" spans="2:9" x14ac:dyDescent="0.2">
      <c r="B57" s="29" t="s">
        <v>174</v>
      </c>
      <c r="C57" s="29"/>
      <c r="D57" s="27">
        <f>IFERROR(VLOOKUP($B57,'Pivot '!$A:$G,MATCH(D$6,'Pivot '!$A$4:$G$4,0),FALSE),0)</f>
        <v>0</v>
      </c>
      <c r="E57" s="27">
        <f>IFERROR(VLOOKUP($B57,'Pivot '!$A:$G,MATCH(E$6,'Pivot '!$A$4:$G$4,0),FALSE),0)</f>
        <v>5</v>
      </c>
      <c r="F57" s="27">
        <f>IFERROR(VLOOKUP($B57,'Pivot '!$A:$G,MATCH(F$6,'Pivot '!$A$4:$G$4,0),FALSE),0)</f>
        <v>1</v>
      </c>
      <c r="G57" s="27">
        <f>IFERROR(VLOOKUP($B57,'Pivot '!$A:$G,MATCH(G$6,'Pivot '!$A$4:$G$4,0),FALSE),0)</f>
        <v>0</v>
      </c>
      <c r="H57" s="27">
        <f>IFERROR(VLOOKUP($B57,'Pivot '!$A:$G,MATCH(H$6,'Pivot '!$A$4:$G$4,0),FALSE),0)</f>
        <v>0</v>
      </c>
      <c r="I57" s="27">
        <f t="shared" si="7"/>
        <v>6</v>
      </c>
    </row>
    <row r="58" spans="2:9" x14ac:dyDescent="0.2">
      <c r="B58" s="29" t="s">
        <v>189</v>
      </c>
      <c r="C58" s="29"/>
      <c r="D58" s="27">
        <f>IFERROR(VLOOKUP($B58,'Pivot '!$A:$G,MATCH(D$6,'Pivot '!$A$4:$G$4,0),FALSE),0)</f>
        <v>0</v>
      </c>
      <c r="E58" s="27">
        <f>IFERROR(VLOOKUP($B58,'Pivot '!$A:$G,MATCH(E$6,'Pivot '!$A$4:$G$4,0),FALSE),0)</f>
        <v>2</v>
      </c>
      <c r="F58" s="27">
        <f>IFERROR(VLOOKUP($B58,'Pivot '!$A:$G,MATCH(F$6,'Pivot '!$A$4:$G$4,0),FALSE),0)</f>
        <v>2</v>
      </c>
      <c r="G58" s="27">
        <f>IFERROR(VLOOKUP($B58,'Pivot '!$A:$G,MATCH(G$6,'Pivot '!$A$4:$G$4,0),FALSE),0)</f>
        <v>0</v>
      </c>
      <c r="H58" s="27">
        <f>IFERROR(VLOOKUP($B58,'Pivot '!$A:$G,MATCH(H$6,'Pivot '!$A$4:$G$4,0),FALSE),0)</f>
        <v>0</v>
      </c>
      <c r="I58" s="27">
        <f t="shared" si="7"/>
        <v>4</v>
      </c>
    </row>
    <row r="59" spans="2:9" x14ac:dyDescent="0.2">
      <c r="B59" s="18" t="s">
        <v>186</v>
      </c>
      <c r="C59" s="18"/>
      <c r="D59" s="27">
        <f>IFERROR(VLOOKUP($B59,'Pivot '!$A:$G,MATCH(D$6,'Pivot '!$A$4:$G$4,0),FALSE),0)</f>
        <v>0</v>
      </c>
      <c r="E59" s="27">
        <f>IFERROR(VLOOKUP($B59,'Pivot '!$A:$G,MATCH(E$6,'Pivot '!$A$4:$G$4,0),FALSE),0)</f>
        <v>3</v>
      </c>
      <c r="F59" s="27">
        <f>IFERROR(VLOOKUP($B59,'Pivot '!$A:$G,MATCH(F$6,'Pivot '!$A$4:$G$4,0),FALSE),0)</f>
        <v>0</v>
      </c>
      <c r="G59" s="27">
        <f>IFERROR(VLOOKUP($B59,'Pivot '!$A:$G,MATCH(G$6,'Pivot '!$A$4:$G$4,0),FALSE),0)</f>
        <v>1</v>
      </c>
      <c r="H59" s="27">
        <f>IFERROR(VLOOKUP($B59,'Pivot '!$A:$G,MATCH(H$6,'Pivot '!$A$4:$G$4,0),FALSE),0)</f>
        <v>0</v>
      </c>
      <c r="I59" s="27">
        <f t="shared" si="7"/>
        <v>4</v>
      </c>
    </row>
    <row r="60" spans="2:9" x14ac:dyDescent="0.2">
      <c r="B60" s="18" t="s">
        <v>185</v>
      </c>
      <c r="C60" s="18"/>
      <c r="D60" s="27">
        <f>IFERROR(VLOOKUP($B60,'Pivot '!$A:$G,MATCH(D$6,'Pivot '!$A$4:$G$4,0),FALSE),0)</f>
        <v>0</v>
      </c>
      <c r="E60" s="27">
        <f>IFERROR(VLOOKUP($B60,'Pivot '!$A:$G,MATCH(E$6,'Pivot '!$A$4:$G$4,0),FALSE),0)</f>
        <v>4</v>
      </c>
      <c r="F60" s="27">
        <f>IFERROR(VLOOKUP($B60,'Pivot '!$A:$G,MATCH(F$6,'Pivot '!$A$4:$G$4,0),FALSE),0)</f>
        <v>0</v>
      </c>
      <c r="G60" s="27">
        <f>IFERROR(VLOOKUP($B60,'Pivot '!$A:$G,MATCH(G$6,'Pivot '!$A$4:$G$4,0),FALSE),0)</f>
        <v>0</v>
      </c>
      <c r="H60" s="27">
        <f>IFERROR(VLOOKUP($B60,'Pivot '!$A:$G,MATCH(H$6,'Pivot '!$A$4:$G$4,0),FALSE),0)</f>
        <v>0</v>
      </c>
      <c r="I60" s="27">
        <f t="shared" si="7"/>
        <v>4</v>
      </c>
    </row>
    <row r="61" spans="2:9" x14ac:dyDescent="0.2">
      <c r="B61" s="29" t="s">
        <v>188</v>
      </c>
      <c r="C61" s="29"/>
      <c r="D61" s="27">
        <f>IFERROR(VLOOKUP($B61,'Pivot '!$A:$G,MATCH(D$6,'Pivot '!$A$4:$G$4,0),FALSE),0)</f>
        <v>0</v>
      </c>
      <c r="E61" s="27">
        <f>IFERROR(VLOOKUP($B61,'Pivot '!$A:$G,MATCH(E$6,'Pivot '!$A$4:$G$4,0),FALSE),0)</f>
        <v>5</v>
      </c>
      <c r="F61" s="27">
        <f>IFERROR(VLOOKUP($B61,'Pivot '!$A:$G,MATCH(F$6,'Pivot '!$A$4:$G$4,0),FALSE),0)</f>
        <v>2</v>
      </c>
      <c r="G61" s="27">
        <f>IFERROR(VLOOKUP($B61,'Pivot '!$A:$G,MATCH(G$6,'Pivot '!$A$4:$G$4,0),FALSE),0)</f>
        <v>0</v>
      </c>
      <c r="H61" s="27">
        <f>IFERROR(VLOOKUP($B61,'Pivot '!$A:$G,MATCH(H$6,'Pivot '!$A$4:$G$4,0),FALSE),0)</f>
        <v>0</v>
      </c>
      <c r="I61" s="27">
        <f t="shared" si="7"/>
        <v>7</v>
      </c>
    </row>
    <row r="62" spans="2:9" x14ac:dyDescent="0.2">
      <c r="B62" s="29" t="s">
        <v>181</v>
      </c>
      <c r="C62" s="29"/>
      <c r="D62" s="27">
        <f>IFERROR(VLOOKUP($B62,'Pivot '!$A:$G,MATCH(D$6,'Pivot '!$A$4:$G$4,0),FALSE),0)</f>
        <v>0</v>
      </c>
      <c r="E62" s="27">
        <f>IFERROR(VLOOKUP($B62,'Pivot '!$A:$G,MATCH(E$6,'Pivot '!$A$4:$G$4,0),FALSE),0)</f>
        <v>6</v>
      </c>
      <c r="F62" s="27">
        <f>IFERROR(VLOOKUP($B62,'Pivot '!$A:$G,MATCH(F$6,'Pivot '!$A$4:$G$4,0),FALSE),0)</f>
        <v>1</v>
      </c>
      <c r="G62" s="27">
        <f>IFERROR(VLOOKUP($B62,'Pivot '!$A:$G,MATCH(G$6,'Pivot '!$A$4:$G$4,0),FALSE),0)</f>
        <v>1</v>
      </c>
      <c r="H62" s="27">
        <f>IFERROR(VLOOKUP($B62,'Pivot '!$A:$G,MATCH(H$6,'Pivot '!$A$4:$G$4,0),FALSE),0)</f>
        <v>0</v>
      </c>
      <c r="I62" s="27">
        <f t="shared" si="7"/>
        <v>8</v>
      </c>
    </row>
    <row r="63" spans="2:9" x14ac:dyDescent="0.2">
      <c r="B63" s="19" t="s">
        <v>100</v>
      </c>
      <c r="C63" s="19"/>
      <c r="D63" s="25">
        <f>SUM(D64:D72)</f>
        <v>0</v>
      </c>
      <c r="E63" s="25">
        <f t="shared" ref="E63:I63" si="8">SUM(E64:E72)</f>
        <v>87</v>
      </c>
      <c r="F63" s="25">
        <f t="shared" si="8"/>
        <v>27</v>
      </c>
      <c r="G63" s="25">
        <f t="shared" si="8"/>
        <v>5</v>
      </c>
      <c r="H63" s="25">
        <f t="shared" si="8"/>
        <v>1</v>
      </c>
      <c r="I63" s="25">
        <f t="shared" si="8"/>
        <v>120</v>
      </c>
    </row>
    <row r="64" spans="2:9" x14ac:dyDescent="0.2">
      <c r="B64" s="29" t="s">
        <v>106</v>
      </c>
      <c r="C64" s="29"/>
      <c r="D64" s="27">
        <f>IFERROR(VLOOKUP($B64,'Pivot '!$A:$G,MATCH(D$6,'Pivot '!$A$4:$G$4,0),FALSE),0)</f>
        <v>0</v>
      </c>
      <c r="E64" s="27">
        <f>IFERROR(VLOOKUP($B64,'Pivot '!$A:$G,MATCH(E$6,'Pivot '!$A$4:$G$4,0),FALSE),0)</f>
        <v>5</v>
      </c>
      <c r="F64" s="27">
        <f>IFERROR(VLOOKUP($B64,'Pivot '!$A:$G,MATCH(F$6,'Pivot '!$A$4:$G$4,0),FALSE),0)</f>
        <v>3</v>
      </c>
      <c r="G64" s="27">
        <f>IFERROR(VLOOKUP($B64,'Pivot '!$A:$G,MATCH(G$6,'Pivot '!$A$4:$G$4,0),FALSE),0)</f>
        <v>0</v>
      </c>
      <c r="H64" s="27">
        <f>IFERROR(VLOOKUP($B64,'Pivot '!$A:$G,MATCH(H$6,'Pivot '!$A$4:$G$4,0),FALSE),0)</f>
        <v>0</v>
      </c>
      <c r="I64" s="27">
        <f t="shared" ref="I64:I72" si="9">SUM(D64:H64)</f>
        <v>8</v>
      </c>
    </row>
    <row r="65" spans="2:9" x14ac:dyDescent="0.2">
      <c r="B65" s="29" t="s">
        <v>101</v>
      </c>
      <c r="C65" s="29"/>
      <c r="D65" s="27">
        <f>IFERROR(VLOOKUP($B65,'Pivot '!$A:$G,MATCH(D$6,'Pivot '!$A$4:$G$4,0),FALSE),0)</f>
        <v>0</v>
      </c>
      <c r="E65" s="27">
        <f>IFERROR(VLOOKUP($B65,'Pivot '!$A:$G,MATCH(E$6,'Pivot '!$A$4:$G$4,0),FALSE),0)</f>
        <v>20</v>
      </c>
      <c r="F65" s="27">
        <f>IFERROR(VLOOKUP($B65,'Pivot '!$A:$G,MATCH(F$6,'Pivot '!$A$4:$G$4,0),FALSE),0)</f>
        <v>3</v>
      </c>
      <c r="G65" s="27">
        <f>IFERROR(VLOOKUP($B65,'Pivot '!$A:$G,MATCH(G$6,'Pivot '!$A$4:$G$4,0),FALSE),0)</f>
        <v>1</v>
      </c>
      <c r="H65" s="27">
        <f>IFERROR(VLOOKUP($B65,'Pivot '!$A:$G,MATCH(H$6,'Pivot '!$A$4:$G$4,0),FALSE),0)</f>
        <v>0</v>
      </c>
      <c r="I65" s="27">
        <f t="shared" si="9"/>
        <v>24</v>
      </c>
    </row>
    <row r="66" spans="2:9" x14ac:dyDescent="0.2">
      <c r="B66" s="29" t="s">
        <v>102</v>
      </c>
      <c r="C66" s="29"/>
      <c r="D66" s="27">
        <f>IFERROR(VLOOKUP($B66,'Pivot '!$A:$G,MATCH(D$6,'Pivot '!$A$4:$G$4,0),FALSE),0)</f>
        <v>0</v>
      </c>
      <c r="E66" s="27">
        <f>IFERROR(VLOOKUP($B66,'Pivot '!$A:$G,MATCH(E$6,'Pivot '!$A$4:$G$4,0),FALSE),0)</f>
        <v>3</v>
      </c>
      <c r="F66" s="27">
        <f>IFERROR(VLOOKUP($B66,'Pivot '!$A:$G,MATCH(F$6,'Pivot '!$A$4:$G$4,0),FALSE),0)</f>
        <v>3</v>
      </c>
      <c r="G66" s="27">
        <f>IFERROR(VLOOKUP($B66,'Pivot '!$A:$G,MATCH(G$6,'Pivot '!$A$4:$G$4,0),FALSE),0)</f>
        <v>1</v>
      </c>
      <c r="H66" s="27">
        <f>IFERROR(VLOOKUP($B66,'Pivot '!$A:$G,MATCH(H$6,'Pivot '!$A$4:$G$4,0),FALSE),0)</f>
        <v>0</v>
      </c>
      <c r="I66" s="27">
        <f t="shared" si="9"/>
        <v>7</v>
      </c>
    </row>
    <row r="67" spans="2:9" x14ac:dyDescent="0.2">
      <c r="B67" s="29" t="s">
        <v>108</v>
      </c>
      <c r="C67" s="29"/>
      <c r="D67" s="27">
        <f>IFERROR(VLOOKUP($B67,'Pivot '!$A:$G,MATCH(D$6,'Pivot '!$A$4:$G$4,0),FALSE),0)</f>
        <v>0</v>
      </c>
      <c r="E67" s="27">
        <f>IFERROR(VLOOKUP($B67,'Pivot '!$A:$G,MATCH(E$6,'Pivot '!$A$4:$G$4,0),FALSE),0)</f>
        <v>12</v>
      </c>
      <c r="F67" s="27">
        <f>IFERROR(VLOOKUP($B67,'Pivot '!$A:$G,MATCH(F$6,'Pivot '!$A$4:$G$4,0),FALSE),0)</f>
        <v>3</v>
      </c>
      <c r="G67" s="27">
        <f>IFERROR(VLOOKUP($B67,'Pivot '!$A:$G,MATCH(G$6,'Pivot '!$A$4:$G$4,0),FALSE),0)</f>
        <v>0</v>
      </c>
      <c r="H67" s="27">
        <f>IFERROR(VLOOKUP($B67,'Pivot '!$A:$G,MATCH(H$6,'Pivot '!$A$4:$G$4,0),FALSE),0)</f>
        <v>0</v>
      </c>
      <c r="I67" s="27">
        <f t="shared" si="9"/>
        <v>15</v>
      </c>
    </row>
    <row r="68" spans="2:9" x14ac:dyDescent="0.2">
      <c r="B68" s="29" t="s">
        <v>104</v>
      </c>
      <c r="C68" s="29"/>
      <c r="D68" s="27">
        <f>IFERROR(VLOOKUP($B68,'Pivot '!$A:$G,MATCH(D$6,'Pivot '!$A$4:$G$4,0),FALSE),0)</f>
        <v>0</v>
      </c>
      <c r="E68" s="27">
        <f>IFERROR(VLOOKUP($B68,'Pivot '!$A:$G,MATCH(E$6,'Pivot '!$A$4:$G$4,0),FALSE),0)</f>
        <v>17</v>
      </c>
      <c r="F68" s="27">
        <f>IFERROR(VLOOKUP($B68,'Pivot '!$A:$G,MATCH(F$6,'Pivot '!$A$4:$G$4,0),FALSE),0)</f>
        <v>4</v>
      </c>
      <c r="G68" s="27">
        <f>IFERROR(VLOOKUP($B68,'Pivot '!$A:$G,MATCH(G$6,'Pivot '!$A$4:$G$4,0),FALSE),0)</f>
        <v>0</v>
      </c>
      <c r="H68" s="27">
        <f>IFERROR(VLOOKUP($B68,'Pivot '!$A:$G,MATCH(H$6,'Pivot '!$A$4:$G$4,0),FALSE),0)</f>
        <v>0</v>
      </c>
      <c r="I68" s="27">
        <f t="shared" si="9"/>
        <v>21</v>
      </c>
    </row>
    <row r="69" spans="2:9" x14ac:dyDescent="0.2">
      <c r="B69" s="29" t="s">
        <v>107</v>
      </c>
      <c r="C69" s="29"/>
      <c r="D69" s="27">
        <f>IFERROR(VLOOKUP($B69,'Pivot '!$A:$G,MATCH(D$6,'Pivot '!$A$4:$G$4,0),FALSE),0)</f>
        <v>0</v>
      </c>
      <c r="E69" s="27">
        <f>IFERROR(VLOOKUP($B69,'Pivot '!$A:$G,MATCH(E$6,'Pivot '!$A$4:$G$4,0),FALSE),0)</f>
        <v>15</v>
      </c>
      <c r="F69" s="27">
        <f>IFERROR(VLOOKUP($B69,'Pivot '!$A:$G,MATCH(F$6,'Pivot '!$A$4:$G$4,0),FALSE),0)</f>
        <v>4</v>
      </c>
      <c r="G69" s="27">
        <f>IFERROR(VLOOKUP($B69,'Pivot '!$A:$G,MATCH(G$6,'Pivot '!$A$4:$G$4,0),FALSE),0)</f>
        <v>1</v>
      </c>
      <c r="H69" s="27">
        <f>IFERROR(VLOOKUP($B69,'Pivot '!$A:$G,MATCH(H$6,'Pivot '!$A$4:$G$4,0),FALSE),0)</f>
        <v>1</v>
      </c>
      <c r="I69" s="27">
        <f t="shared" si="9"/>
        <v>21</v>
      </c>
    </row>
    <row r="70" spans="2:9" x14ac:dyDescent="0.2">
      <c r="B70" s="29" t="s">
        <v>109</v>
      </c>
      <c r="C70" s="29"/>
      <c r="D70" s="27">
        <f>IFERROR(VLOOKUP($B70,'Pivot '!$A:$G,MATCH(D$6,'Pivot '!$A$4:$G$4,0),FALSE),0)</f>
        <v>0</v>
      </c>
      <c r="E70" s="27">
        <f>IFERROR(VLOOKUP($B70,'Pivot '!$A:$G,MATCH(E$6,'Pivot '!$A$4:$G$4,0),FALSE),0)</f>
        <v>4</v>
      </c>
      <c r="F70" s="27">
        <f>IFERROR(VLOOKUP($B70,'Pivot '!$A:$G,MATCH(F$6,'Pivot '!$A$4:$G$4,0),FALSE),0)</f>
        <v>1</v>
      </c>
      <c r="G70" s="27">
        <f>IFERROR(VLOOKUP($B70,'Pivot '!$A:$G,MATCH(G$6,'Pivot '!$A$4:$G$4,0),FALSE),0)</f>
        <v>0</v>
      </c>
      <c r="H70" s="27">
        <f>IFERROR(VLOOKUP($B70,'Pivot '!$A:$G,MATCH(H$6,'Pivot '!$A$4:$G$4,0),FALSE),0)</f>
        <v>0</v>
      </c>
      <c r="I70" s="27">
        <f t="shared" si="9"/>
        <v>5</v>
      </c>
    </row>
    <row r="71" spans="2:9" x14ac:dyDescent="0.2">
      <c r="B71" s="29" t="s">
        <v>105</v>
      </c>
      <c r="C71" s="29"/>
      <c r="D71" s="27">
        <f>IFERROR(VLOOKUP($B71,'Pivot '!$A:$G,MATCH(D$6,'Pivot '!$A$4:$G$4,0),FALSE),0)</f>
        <v>0</v>
      </c>
      <c r="E71" s="27">
        <f>IFERROR(VLOOKUP($B71,'Pivot '!$A:$G,MATCH(E$6,'Pivot '!$A$4:$G$4,0),FALSE),0)</f>
        <v>9</v>
      </c>
      <c r="F71" s="27">
        <f>IFERROR(VLOOKUP($B71,'Pivot '!$A:$G,MATCH(F$6,'Pivot '!$A$4:$G$4,0),FALSE),0)</f>
        <v>5</v>
      </c>
      <c r="G71" s="27">
        <f>IFERROR(VLOOKUP($B71,'Pivot '!$A:$G,MATCH(G$6,'Pivot '!$A$4:$G$4,0),FALSE),0)</f>
        <v>2</v>
      </c>
      <c r="H71" s="27">
        <f>IFERROR(VLOOKUP($B71,'Pivot '!$A:$G,MATCH(H$6,'Pivot '!$A$4:$G$4,0),FALSE),0)</f>
        <v>0</v>
      </c>
      <c r="I71" s="27">
        <f t="shared" si="9"/>
        <v>16</v>
      </c>
    </row>
    <row r="72" spans="2:9" x14ac:dyDescent="0.2">
      <c r="B72" s="29" t="s">
        <v>103</v>
      </c>
      <c r="C72" s="29"/>
      <c r="D72" s="27">
        <f>IFERROR(VLOOKUP($B72,'Pivot '!$A:$G,MATCH(D$6,'Pivot '!$A$4:$G$4,0),FALSE),0)</f>
        <v>0</v>
      </c>
      <c r="E72" s="27">
        <f>IFERROR(VLOOKUP($B72,'Pivot '!$A:$G,MATCH(E$6,'Pivot '!$A$4:$G$4,0),FALSE),0)</f>
        <v>2</v>
      </c>
      <c r="F72" s="27">
        <f>IFERROR(VLOOKUP($B72,'Pivot '!$A:$G,MATCH(F$6,'Pivot '!$A$4:$G$4,0),FALSE),0)</f>
        <v>1</v>
      </c>
      <c r="G72" s="27">
        <f>IFERROR(VLOOKUP($B72,'Pivot '!$A:$G,MATCH(G$6,'Pivot '!$A$4:$G$4,0),FALSE),0)</f>
        <v>0</v>
      </c>
      <c r="H72" s="27">
        <f>IFERROR(VLOOKUP($B72,'Pivot '!$A:$G,MATCH(H$6,'Pivot '!$A$4:$G$4,0),FALSE),0)</f>
        <v>0</v>
      </c>
      <c r="I72" s="27">
        <f t="shared" si="9"/>
        <v>3</v>
      </c>
    </row>
    <row r="73" spans="2:9" x14ac:dyDescent="0.2">
      <c r="B73" s="17" t="s">
        <v>226</v>
      </c>
      <c r="C73" s="17"/>
      <c r="D73" s="25">
        <f>SUM(D74:D87)</f>
        <v>2</v>
      </c>
      <c r="E73" s="25">
        <f t="shared" ref="E73:I73" si="10">SUM(E74:E87)</f>
        <v>110</v>
      </c>
      <c r="F73" s="25">
        <f t="shared" si="10"/>
        <v>28</v>
      </c>
      <c r="G73" s="25">
        <f t="shared" si="10"/>
        <v>14</v>
      </c>
      <c r="H73" s="25">
        <f t="shared" si="10"/>
        <v>4</v>
      </c>
      <c r="I73" s="25">
        <f t="shared" si="10"/>
        <v>158</v>
      </c>
    </row>
    <row r="74" spans="2:9" x14ac:dyDescent="0.2">
      <c r="B74" s="29" t="s">
        <v>232</v>
      </c>
      <c r="C74" s="29"/>
      <c r="D74" s="27">
        <f>IFERROR(VLOOKUP($B74,'Pivot '!$A:$G,MATCH(D$6,'Pivot '!$A$4:$G$4,0),FALSE),0)</f>
        <v>0</v>
      </c>
      <c r="E74" s="27">
        <f>IFERROR(VLOOKUP($B74,'Pivot '!$A:$G,MATCH(E$6,'Pivot '!$A$4:$G$4,0),FALSE),0)</f>
        <v>16</v>
      </c>
      <c r="F74" s="27">
        <f>IFERROR(VLOOKUP($B74,'Pivot '!$A:$G,MATCH(F$6,'Pivot '!$A$4:$G$4,0),FALSE),0)</f>
        <v>6</v>
      </c>
      <c r="G74" s="27">
        <f>IFERROR(VLOOKUP($B74,'Pivot '!$A:$G,MATCH(G$6,'Pivot '!$A$4:$G$4,0),FALSE),0)</f>
        <v>6</v>
      </c>
      <c r="H74" s="27">
        <f>IFERROR(VLOOKUP($B74,'Pivot '!$A:$G,MATCH(H$6,'Pivot '!$A$4:$G$4,0),FALSE),0)</f>
        <v>1</v>
      </c>
      <c r="I74" s="27">
        <f t="shared" ref="I74:I136" si="11">SUM(D74:H74)</f>
        <v>29</v>
      </c>
    </row>
    <row r="75" spans="2:9" x14ac:dyDescent="0.2">
      <c r="B75" s="29" t="s">
        <v>233</v>
      </c>
      <c r="C75" s="29"/>
      <c r="D75" s="27">
        <f>IFERROR(VLOOKUP($B75,'Pivot '!$A:$G,MATCH(D$6,'Pivot '!$A$4:$G$4,0),FALSE),0)</f>
        <v>0</v>
      </c>
      <c r="E75" s="27">
        <f>IFERROR(VLOOKUP($B75,'Pivot '!$A:$G,MATCH(E$6,'Pivot '!$A$4:$G$4,0),FALSE),0)</f>
        <v>5</v>
      </c>
      <c r="F75" s="27">
        <f>IFERROR(VLOOKUP($B75,'Pivot '!$A:$G,MATCH(F$6,'Pivot '!$A$4:$G$4,0),FALSE),0)</f>
        <v>3</v>
      </c>
      <c r="G75" s="27">
        <f>IFERROR(VLOOKUP($B75,'Pivot '!$A:$G,MATCH(G$6,'Pivot '!$A$4:$G$4,0),FALSE),0)</f>
        <v>1</v>
      </c>
      <c r="H75" s="27">
        <f>IFERROR(VLOOKUP($B75,'Pivot '!$A:$G,MATCH(H$6,'Pivot '!$A$4:$G$4,0),FALSE),0)</f>
        <v>0</v>
      </c>
      <c r="I75" s="27">
        <f t="shared" si="11"/>
        <v>9</v>
      </c>
    </row>
    <row r="76" spans="2:9" x14ac:dyDescent="0.2">
      <c r="B76" s="29" t="s">
        <v>240</v>
      </c>
      <c r="C76" s="29"/>
      <c r="D76" s="27">
        <f>IFERROR(VLOOKUP($B76,'Pivot '!$A:$G,MATCH(D$6,'Pivot '!$A$4:$G$4,0),FALSE),0)</f>
        <v>1</v>
      </c>
      <c r="E76" s="27">
        <f>IFERROR(VLOOKUP($B76,'Pivot '!$A:$G,MATCH(E$6,'Pivot '!$A$4:$G$4,0),FALSE),0)</f>
        <v>7</v>
      </c>
      <c r="F76" s="27">
        <f>IFERROR(VLOOKUP($B76,'Pivot '!$A:$G,MATCH(F$6,'Pivot '!$A$4:$G$4,0),FALSE),0)</f>
        <v>2</v>
      </c>
      <c r="G76" s="27">
        <f>IFERROR(VLOOKUP($B76,'Pivot '!$A:$G,MATCH(G$6,'Pivot '!$A$4:$G$4,0),FALSE),0)</f>
        <v>0</v>
      </c>
      <c r="H76" s="27">
        <f>IFERROR(VLOOKUP($B76,'Pivot '!$A:$G,MATCH(H$6,'Pivot '!$A$4:$G$4,0),FALSE),0)</f>
        <v>1</v>
      </c>
      <c r="I76" s="27">
        <f t="shared" si="11"/>
        <v>11</v>
      </c>
    </row>
    <row r="77" spans="2:9" x14ac:dyDescent="0.2">
      <c r="B77" s="29" t="s">
        <v>227</v>
      </c>
      <c r="C77" s="29"/>
      <c r="D77" s="27">
        <f>IFERROR(VLOOKUP($B77,'Pivot '!$A:$G,MATCH(D$6,'Pivot '!$A$4:$G$4,0),FALSE),0)</f>
        <v>0</v>
      </c>
      <c r="E77" s="27">
        <f>IFERROR(VLOOKUP($B77,'Pivot '!$A:$G,MATCH(E$6,'Pivot '!$A$4:$G$4,0),FALSE),0)</f>
        <v>6</v>
      </c>
      <c r="F77" s="27">
        <f>IFERROR(VLOOKUP($B77,'Pivot '!$A:$G,MATCH(F$6,'Pivot '!$A$4:$G$4,0),FALSE),0)</f>
        <v>1</v>
      </c>
      <c r="G77" s="27">
        <f>IFERROR(VLOOKUP($B77,'Pivot '!$A:$G,MATCH(G$6,'Pivot '!$A$4:$G$4,0),FALSE),0)</f>
        <v>1</v>
      </c>
      <c r="H77" s="27">
        <f>IFERROR(VLOOKUP($B77,'Pivot '!$A:$G,MATCH(H$6,'Pivot '!$A$4:$G$4,0),FALSE),0)</f>
        <v>0</v>
      </c>
      <c r="I77" s="27">
        <f t="shared" si="11"/>
        <v>8</v>
      </c>
    </row>
    <row r="78" spans="2:9" x14ac:dyDescent="0.2">
      <c r="B78" s="29" t="s">
        <v>228</v>
      </c>
      <c r="C78" s="29"/>
      <c r="D78" s="27">
        <f>IFERROR(VLOOKUP($B78,'Pivot '!$A:$G,MATCH(D$6,'Pivot '!$A$4:$G$4,0),FALSE),0)</f>
        <v>0</v>
      </c>
      <c r="E78" s="27">
        <f>IFERROR(VLOOKUP($B78,'Pivot '!$A:$G,MATCH(E$6,'Pivot '!$A$4:$G$4,0),FALSE),0)</f>
        <v>9</v>
      </c>
      <c r="F78" s="27">
        <f>IFERROR(VLOOKUP($B78,'Pivot '!$A:$G,MATCH(F$6,'Pivot '!$A$4:$G$4,0),FALSE),0)</f>
        <v>1</v>
      </c>
      <c r="G78" s="27">
        <f>IFERROR(VLOOKUP($B78,'Pivot '!$A:$G,MATCH(G$6,'Pivot '!$A$4:$G$4,0),FALSE),0)</f>
        <v>0</v>
      </c>
      <c r="H78" s="27">
        <f>IFERROR(VLOOKUP($B78,'Pivot '!$A:$G,MATCH(H$6,'Pivot '!$A$4:$G$4,0),FALSE),0)</f>
        <v>0</v>
      </c>
      <c r="I78" s="27">
        <f t="shared" si="11"/>
        <v>10</v>
      </c>
    </row>
    <row r="79" spans="2:9" x14ac:dyDescent="0.2">
      <c r="B79" s="29" t="s">
        <v>237</v>
      </c>
      <c r="C79" s="29"/>
      <c r="D79" s="27">
        <f>IFERROR(VLOOKUP($B79,'Pivot '!$A:$G,MATCH(D$6,'Pivot '!$A$4:$G$4,0),FALSE),0)</f>
        <v>0</v>
      </c>
      <c r="E79" s="27">
        <f>IFERROR(VLOOKUP($B79,'Pivot '!$A:$G,MATCH(E$6,'Pivot '!$A$4:$G$4,0),FALSE),0)</f>
        <v>7</v>
      </c>
      <c r="F79" s="27">
        <f>IFERROR(VLOOKUP($B79,'Pivot '!$A:$G,MATCH(F$6,'Pivot '!$A$4:$G$4,0),FALSE),0)</f>
        <v>0</v>
      </c>
      <c r="G79" s="27">
        <f>IFERROR(VLOOKUP($B79,'Pivot '!$A:$G,MATCH(G$6,'Pivot '!$A$4:$G$4,0),FALSE),0)</f>
        <v>1</v>
      </c>
      <c r="H79" s="27">
        <f>IFERROR(VLOOKUP($B79,'Pivot '!$A:$G,MATCH(H$6,'Pivot '!$A$4:$G$4,0),FALSE),0)</f>
        <v>0</v>
      </c>
      <c r="I79" s="27">
        <f t="shared" si="11"/>
        <v>8</v>
      </c>
    </row>
    <row r="80" spans="2:9" x14ac:dyDescent="0.2">
      <c r="B80" s="29" t="s">
        <v>236</v>
      </c>
      <c r="C80" s="29"/>
      <c r="D80" s="27">
        <f>IFERROR(VLOOKUP($B80,'Pivot '!$A:$G,MATCH(D$6,'Pivot '!$A$4:$G$4,0),FALSE),0)</f>
        <v>0</v>
      </c>
      <c r="E80" s="27">
        <f>IFERROR(VLOOKUP($B80,'Pivot '!$A:$G,MATCH(E$6,'Pivot '!$A$4:$G$4,0),FALSE),0)</f>
        <v>4</v>
      </c>
      <c r="F80" s="27">
        <f>IFERROR(VLOOKUP($B80,'Pivot '!$A:$G,MATCH(F$6,'Pivot '!$A$4:$G$4,0),FALSE),0)</f>
        <v>1</v>
      </c>
      <c r="G80" s="27">
        <f>IFERROR(VLOOKUP($B80,'Pivot '!$A:$G,MATCH(G$6,'Pivot '!$A$4:$G$4,0),FALSE),0)</f>
        <v>1</v>
      </c>
      <c r="H80" s="27">
        <f>IFERROR(VLOOKUP($B80,'Pivot '!$A:$G,MATCH(H$6,'Pivot '!$A$4:$G$4,0),FALSE),0)</f>
        <v>0</v>
      </c>
      <c r="I80" s="27">
        <f t="shared" si="11"/>
        <v>6</v>
      </c>
    </row>
    <row r="81" spans="2:9" x14ac:dyDescent="0.2">
      <c r="B81" s="29" t="s">
        <v>229</v>
      </c>
      <c r="C81" s="29"/>
      <c r="D81" s="27">
        <f>IFERROR(VLOOKUP($B81,'Pivot '!$A:$G,MATCH(D$6,'Pivot '!$A$4:$G$4,0),FALSE),0)</f>
        <v>0</v>
      </c>
      <c r="E81" s="27">
        <f>IFERROR(VLOOKUP($B81,'Pivot '!$A:$G,MATCH(E$6,'Pivot '!$A$4:$G$4,0),FALSE),0)</f>
        <v>11</v>
      </c>
      <c r="F81" s="27">
        <f>IFERROR(VLOOKUP($B81,'Pivot '!$A:$G,MATCH(F$6,'Pivot '!$A$4:$G$4,0),FALSE),0)</f>
        <v>2</v>
      </c>
      <c r="G81" s="27">
        <f>IFERROR(VLOOKUP($B81,'Pivot '!$A:$G,MATCH(G$6,'Pivot '!$A$4:$G$4,0),FALSE),0)</f>
        <v>1</v>
      </c>
      <c r="H81" s="27">
        <f>IFERROR(VLOOKUP($B81,'Pivot '!$A:$G,MATCH(H$6,'Pivot '!$A$4:$G$4,0),FALSE),0)</f>
        <v>0</v>
      </c>
      <c r="I81" s="27">
        <f t="shared" si="11"/>
        <v>14</v>
      </c>
    </row>
    <row r="82" spans="2:9" x14ac:dyDescent="0.2">
      <c r="B82" s="29" t="s">
        <v>234</v>
      </c>
      <c r="C82" s="29"/>
      <c r="D82" s="27">
        <f>IFERROR(VLOOKUP($B82,'Pivot '!$A:$G,MATCH(D$6,'Pivot '!$A$4:$G$4,0),FALSE),0)</f>
        <v>0</v>
      </c>
      <c r="E82" s="27">
        <f>IFERROR(VLOOKUP($B82,'Pivot '!$A:$G,MATCH(E$6,'Pivot '!$A$4:$G$4,0),FALSE),0)</f>
        <v>6</v>
      </c>
      <c r="F82" s="27">
        <f>IFERROR(VLOOKUP($B82,'Pivot '!$A:$G,MATCH(F$6,'Pivot '!$A$4:$G$4,0),FALSE),0)</f>
        <v>1</v>
      </c>
      <c r="G82" s="27">
        <f>IFERROR(VLOOKUP($B82,'Pivot '!$A:$G,MATCH(G$6,'Pivot '!$A$4:$G$4,0),FALSE),0)</f>
        <v>0</v>
      </c>
      <c r="H82" s="27">
        <f>IFERROR(VLOOKUP($B82,'Pivot '!$A:$G,MATCH(H$6,'Pivot '!$A$4:$G$4,0),FALSE),0)</f>
        <v>0</v>
      </c>
      <c r="I82" s="27">
        <f t="shared" si="11"/>
        <v>7</v>
      </c>
    </row>
    <row r="83" spans="2:9" x14ac:dyDescent="0.2">
      <c r="B83" s="29" t="s">
        <v>239</v>
      </c>
      <c r="C83" s="29"/>
      <c r="D83" s="27">
        <f>IFERROR(VLOOKUP($B83,'Pivot '!$A:$G,MATCH(D$6,'Pivot '!$A$4:$G$4,0),FALSE),0)</f>
        <v>0</v>
      </c>
      <c r="E83" s="27">
        <f>IFERROR(VLOOKUP($B83,'Pivot '!$A:$G,MATCH(E$6,'Pivot '!$A$4:$G$4,0),FALSE),0)</f>
        <v>7</v>
      </c>
      <c r="F83" s="27">
        <f>IFERROR(VLOOKUP($B83,'Pivot '!$A:$G,MATCH(F$6,'Pivot '!$A$4:$G$4,0),FALSE),0)</f>
        <v>0</v>
      </c>
      <c r="G83" s="27">
        <f>IFERROR(VLOOKUP($B83,'Pivot '!$A:$G,MATCH(G$6,'Pivot '!$A$4:$G$4,0),FALSE),0)</f>
        <v>0</v>
      </c>
      <c r="H83" s="27">
        <f>IFERROR(VLOOKUP($B83,'Pivot '!$A:$G,MATCH(H$6,'Pivot '!$A$4:$G$4,0),FALSE),0)</f>
        <v>0</v>
      </c>
      <c r="I83" s="27">
        <f t="shared" si="11"/>
        <v>7</v>
      </c>
    </row>
    <row r="84" spans="2:9" x14ac:dyDescent="0.2">
      <c r="B84" s="29" t="s">
        <v>230</v>
      </c>
      <c r="C84" s="29"/>
      <c r="D84" s="27">
        <f>IFERROR(VLOOKUP($B84,'Pivot '!$A:$G,MATCH(D$6,'Pivot '!$A$4:$G$4,0),FALSE),0)</f>
        <v>0</v>
      </c>
      <c r="E84" s="27">
        <f>IFERROR(VLOOKUP($B84,'Pivot '!$A:$G,MATCH(E$6,'Pivot '!$A$4:$G$4,0),FALSE),0)</f>
        <v>10</v>
      </c>
      <c r="F84" s="27">
        <f>IFERROR(VLOOKUP($B84,'Pivot '!$A:$G,MATCH(F$6,'Pivot '!$A$4:$G$4,0),FALSE),0)</f>
        <v>0</v>
      </c>
      <c r="G84" s="27">
        <f>IFERROR(VLOOKUP($B84,'Pivot '!$A:$G,MATCH(G$6,'Pivot '!$A$4:$G$4,0),FALSE),0)</f>
        <v>1</v>
      </c>
      <c r="H84" s="27">
        <f>IFERROR(VLOOKUP($B84,'Pivot '!$A:$G,MATCH(H$6,'Pivot '!$A$4:$G$4,0),FALSE),0)</f>
        <v>1</v>
      </c>
      <c r="I84" s="27">
        <f t="shared" si="11"/>
        <v>12</v>
      </c>
    </row>
    <row r="85" spans="2:9" x14ac:dyDescent="0.2">
      <c r="B85" s="29" t="s">
        <v>235</v>
      </c>
      <c r="C85" s="29"/>
      <c r="D85" s="27">
        <f>IFERROR(VLOOKUP($B85,'Pivot '!$A:$G,MATCH(D$6,'Pivot '!$A$4:$G$4,0),FALSE),0)</f>
        <v>0</v>
      </c>
      <c r="E85" s="27">
        <f>IFERROR(VLOOKUP($B85,'Pivot '!$A:$G,MATCH(E$6,'Pivot '!$A$4:$G$4,0),FALSE),0)</f>
        <v>6</v>
      </c>
      <c r="F85" s="27">
        <f>IFERROR(VLOOKUP($B85,'Pivot '!$A:$G,MATCH(F$6,'Pivot '!$A$4:$G$4,0),FALSE),0)</f>
        <v>5</v>
      </c>
      <c r="G85" s="27">
        <f>IFERROR(VLOOKUP($B85,'Pivot '!$A:$G,MATCH(G$6,'Pivot '!$A$4:$G$4,0),FALSE),0)</f>
        <v>0</v>
      </c>
      <c r="H85" s="27">
        <f>IFERROR(VLOOKUP($B85,'Pivot '!$A:$G,MATCH(H$6,'Pivot '!$A$4:$G$4,0),FALSE),0)</f>
        <v>0</v>
      </c>
      <c r="I85" s="27">
        <f t="shared" si="11"/>
        <v>11</v>
      </c>
    </row>
    <row r="86" spans="2:9" x14ac:dyDescent="0.2">
      <c r="B86" s="29" t="s">
        <v>231</v>
      </c>
      <c r="C86" s="29"/>
      <c r="D86" s="27">
        <f>IFERROR(VLOOKUP($B86,'Pivot '!$A:$G,MATCH(D$6,'Pivot '!$A$4:$G$4,0),FALSE),0)</f>
        <v>1</v>
      </c>
      <c r="E86" s="27">
        <f>IFERROR(VLOOKUP($B86,'Pivot '!$A:$G,MATCH(E$6,'Pivot '!$A$4:$G$4,0),FALSE),0)</f>
        <v>4</v>
      </c>
      <c r="F86" s="27">
        <f>IFERROR(VLOOKUP($B86,'Pivot '!$A:$G,MATCH(F$6,'Pivot '!$A$4:$G$4,0),FALSE),0)</f>
        <v>4</v>
      </c>
      <c r="G86" s="27">
        <f>IFERROR(VLOOKUP($B86,'Pivot '!$A:$G,MATCH(G$6,'Pivot '!$A$4:$G$4,0),FALSE),0)</f>
        <v>0</v>
      </c>
      <c r="H86" s="27">
        <f>IFERROR(VLOOKUP($B86,'Pivot '!$A:$G,MATCH(H$6,'Pivot '!$A$4:$G$4,0),FALSE),0)</f>
        <v>0</v>
      </c>
      <c r="I86" s="27">
        <f t="shared" si="11"/>
        <v>9</v>
      </c>
    </row>
    <row r="87" spans="2:9" x14ac:dyDescent="0.2">
      <c r="B87" s="29" t="s">
        <v>238</v>
      </c>
      <c r="C87" s="29"/>
      <c r="D87" s="27">
        <f>IFERROR(VLOOKUP($B87,'Pivot '!$A:$G,MATCH(D$6,'Pivot '!$A$4:$G$4,0),FALSE),0)</f>
        <v>0</v>
      </c>
      <c r="E87" s="27">
        <f>IFERROR(VLOOKUP($B87,'Pivot '!$A:$G,MATCH(E$6,'Pivot '!$A$4:$G$4,0),FALSE),0)</f>
        <v>12</v>
      </c>
      <c r="F87" s="27">
        <f>IFERROR(VLOOKUP($B87,'Pivot '!$A:$G,MATCH(F$6,'Pivot '!$A$4:$G$4,0),FALSE),0)</f>
        <v>2</v>
      </c>
      <c r="G87" s="27">
        <f>IFERROR(VLOOKUP($B87,'Pivot '!$A:$G,MATCH(G$6,'Pivot '!$A$4:$G$4,0),FALSE),0)</f>
        <v>2</v>
      </c>
      <c r="H87" s="27">
        <f>IFERROR(VLOOKUP($B87,'Pivot '!$A:$G,MATCH(H$6,'Pivot '!$A$4:$G$4,0),FALSE),0)</f>
        <v>1</v>
      </c>
      <c r="I87" s="27">
        <f t="shared" si="11"/>
        <v>17</v>
      </c>
    </row>
    <row r="88" spans="2:9" x14ac:dyDescent="0.2">
      <c r="B88" s="17" t="s">
        <v>110</v>
      </c>
      <c r="C88" s="17"/>
      <c r="D88" s="25">
        <f>SUM(D89:D99)</f>
        <v>0</v>
      </c>
      <c r="E88" s="25">
        <f t="shared" ref="E88:I88" si="12">SUM(E89:E99)</f>
        <v>124</v>
      </c>
      <c r="F88" s="25">
        <f t="shared" si="12"/>
        <v>33</v>
      </c>
      <c r="G88" s="25">
        <f t="shared" si="12"/>
        <v>12</v>
      </c>
      <c r="H88" s="25">
        <f t="shared" si="12"/>
        <v>4</v>
      </c>
      <c r="I88" s="25">
        <f t="shared" si="12"/>
        <v>173</v>
      </c>
    </row>
    <row r="89" spans="2:9" x14ac:dyDescent="0.2">
      <c r="B89" s="29" t="s">
        <v>111</v>
      </c>
      <c r="C89" s="29"/>
      <c r="D89" s="27">
        <f>IFERROR(VLOOKUP($B89,'Pivot '!$A:$G,MATCH(D$6,'Pivot '!$A$4:$G$4,0),FALSE),0)</f>
        <v>0</v>
      </c>
      <c r="E89" s="27">
        <f>IFERROR(VLOOKUP($B89,'Pivot '!$A:$G,MATCH(E$6,'Pivot '!$A$4:$G$4,0),FALSE),0)</f>
        <v>8</v>
      </c>
      <c r="F89" s="27">
        <f>IFERROR(VLOOKUP($B89,'Pivot '!$A:$G,MATCH(F$6,'Pivot '!$A$4:$G$4,0),FALSE),0)</f>
        <v>1</v>
      </c>
      <c r="G89" s="27">
        <f>IFERROR(VLOOKUP($B89,'Pivot '!$A:$G,MATCH(G$6,'Pivot '!$A$4:$G$4,0),FALSE),0)</f>
        <v>1</v>
      </c>
      <c r="H89" s="27">
        <f>IFERROR(VLOOKUP($B89,'Pivot '!$A:$G,MATCH(H$6,'Pivot '!$A$4:$G$4,0),FALSE),0)</f>
        <v>0</v>
      </c>
      <c r="I89" s="27">
        <f t="shared" si="11"/>
        <v>10</v>
      </c>
    </row>
    <row r="90" spans="2:9" x14ac:dyDescent="0.2">
      <c r="B90" s="29" t="s">
        <v>112</v>
      </c>
      <c r="C90" s="29"/>
      <c r="D90" s="27">
        <f>IFERROR(VLOOKUP($B90,'Pivot '!$A:$G,MATCH(D$6,'Pivot '!$A$4:$G$4,0),FALSE),0)</f>
        <v>0</v>
      </c>
      <c r="E90" s="27">
        <f>IFERROR(VLOOKUP($B90,'Pivot '!$A:$G,MATCH(E$6,'Pivot '!$A$4:$G$4,0),FALSE),0)</f>
        <v>17</v>
      </c>
      <c r="F90" s="27">
        <f>IFERROR(VLOOKUP($B90,'Pivot '!$A:$G,MATCH(F$6,'Pivot '!$A$4:$G$4,0),FALSE),0)</f>
        <v>4</v>
      </c>
      <c r="G90" s="27">
        <f>IFERROR(VLOOKUP($B90,'Pivot '!$A:$G,MATCH(G$6,'Pivot '!$A$4:$G$4,0),FALSE),0)</f>
        <v>3</v>
      </c>
      <c r="H90" s="27">
        <f>IFERROR(VLOOKUP($B90,'Pivot '!$A:$G,MATCH(H$6,'Pivot '!$A$4:$G$4,0),FALSE),0)</f>
        <v>0</v>
      </c>
      <c r="I90" s="27">
        <f t="shared" si="11"/>
        <v>24</v>
      </c>
    </row>
    <row r="91" spans="2:9" x14ac:dyDescent="0.2">
      <c r="B91" s="29" t="s">
        <v>120</v>
      </c>
      <c r="C91" s="29"/>
      <c r="D91" s="27">
        <f>IFERROR(VLOOKUP($B91,'Pivot '!$A:$G,MATCH(D$6,'Pivot '!$A$4:$G$4,0),FALSE),0)</f>
        <v>0</v>
      </c>
      <c r="E91" s="27">
        <f>IFERROR(VLOOKUP($B91,'Pivot '!$A:$G,MATCH(E$6,'Pivot '!$A$4:$G$4,0),FALSE),0)</f>
        <v>5</v>
      </c>
      <c r="F91" s="27">
        <f>IFERROR(VLOOKUP($B91,'Pivot '!$A:$G,MATCH(F$6,'Pivot '!$A$4:$G$4,0),FALSE),0)</f>
        <v>2</v>
      </c>
      <c r="G91" s="27">
        <f>IFERROR(VLOOKUP($B91,'Pivot '!$A:$G,MATCH(G$6,'Pivot '!$A$4:$G$4,0),FALSE),0)</f>
        <v>1</v>
      </c>
      <c r="H91" s="27">
        <f>IFERROR(VLOOKUP($B91,'Pivot '!$A:$G,MATCH(H$6,'Pivot '!$A$4:$G$4,0),FALSE),0)</f>
        <v>0</v>
      </c>
      <c r="I91" s="27">
        <f t="shared" si="11"/>
        <v>8</v>
      </c>
    </row>
    <row r="92" spans="2:9" x14ac:dyDescent="0.2">
      <c r="B92" s="29" t="s">
        <v>119</v>
      </c>
      <c r="C92" s="29"/>
      <c r="D92" s="27">
        <f>IFERROR(VLOOKUP($B92,'Pivot '!$A:$G,MATCH(D$6,'Pivot '!$A$4:$G$4,0),FALSE),0)</f>
        <v>0</v>
      </c>
      <c r="E92" s="27">
        <f>IFERROR(VLOOKUP($B92,'Pivot '!$A:$G,MATCH(E$6,'Pivot '!$A$4:$G$4,0),FALSE),0)</f>
        <v>19</v>
      </c>
      <c r="F92" s="27">
        <f>IFERROR(VLOOKUP($B92,'Pivot '!$A:$G,MATCH(F$6,'Pivot '!$A$4:$G$4,0),FALSE),0)</f>
        <v>8</v>
      </c>
      <c r="G92" s="27">
        <f>IFERROR(VLOOKUP($B92,'Pivot '!$A:$G,MATCH(G$6,'Pivot '!$A$4:$G$4,0),FALSE),0)</f>
        <v>1</v>
      </c>
      <c r="H92" s="27">
        <f>IFERROR(VLOOKUP($B92,'Pivot '!$A:$G,MATCH(H$6,'Pivot '!$A$4:$G$4,0),FALSE),0)</f>
        <v>0</v>
      </c>
      <c r="I92" s="27">
        <f t="shared" si="11"/>
        <v>28</v>
      </c>
    </row>
    <row r="93" spans="2:9" x14ac:dyDescent="0.2">
      <c r="B93" s="29" t="s">
        <v>117</v>
      </c>
      <c r="C93" s="29"/>
      <c r="D93" s="27">
        <f>IFERROR(VLOOKUP($B93,'Pivot '!$A:$G,MATCH(D$6,'Pivot '!$A$4:$G$4,0),FALSE),0)</f>
        <v>0</v>
      </c>
      <c r="E93" s="27">
        <f>IFERROR(VLOOKUP($B93,'Pivot '!$A:$G,MATCH(E$6,'Pivot '!$A$4:$G$4,0),FALSE),0)</f>
        <v>25</v>
      </c>
      <c r="F93" s="27">
        <f>IFERROR(VLOOKUP($B93,'Pivot '!$A:$G,MATCH(F$6,'Pivot '!$A$4:$G$4,0),FALSE),0)</f>
        <v>4</v>
      </c>
      <c r="G93" s="27">
        <f>IFERROR(VLOOKUP($B93,'Pivot '!$A:$G,MATCH(G$6,'Pivot '!$A$4:$G$4,0),FALSE),0)</f>
        <v>0</v>
      </c>
      <c r="H93" s="27">
        <f>IFERROR(VLOOKUP($B93,'Pivot '!$A:$G,MATCH(H$6,'Pivot '!$A$4:$G$4,0),FALSE),0)</f>
        <v>1</v>
      </c>
      <c r="I93" s="27">
        <f t="shared" si="11"/>
        <v>30</v>
      </c>
    </row>
    <row r="94" spans="2:9" x14ac:dyDescent="0.2">
      <c r="B94" s="29" t="s">
        <v>116</v>
      </c>
      <c r="C94" s="29"/>
      <c r="D94" s="27">
        <f>IFERROR(VLOOKUP($B94,'Pivot '!$A:$G,MATCH(D$6,'Pivot '!$A$4:$G$4,0),FALSE),0)</f>
        <v>0</v>
      </c>
      <c r="E94" s="27">
        <f>IFERROR(VLOOKUP($B94,'Pivot '!$A:$G,MATCH(E$6,'Pivot '!$A$4:$G$4,0),FALSE),0)</f>
        <v>6</v>
      </c>
      <c r="F94" s="27">
        <f>IFERROR(VLOOKUP($B94,'Pivot '!$A:$G,MATCH(F$6,'Pivot '!$A$4:$G$4,0),FALSE),0)</f>
        <v>1</v>
      </c>
      <c r="G94" s="27">
        <f>IFERROR(VLOOKUP($B94,'Pivot '!$A:$G,MATCH(G$6,'Pivot '!$A$4:$G$4,0),FALSE),0)</f>
        <v>1</v>
      </c>
      <c r="H94" s="27">
        <f>IFERROR(VLOOKUP($B94,'Pivot '!$A:$G,MATCH(H$6,'Pivot '!$A$4:$G$4,0),FALSE),0)</f>
        <v>0</v>
      </c>
      <c r="I94" s="27">
        <f t="shared" si="11"/>
        <v>8</v>
      </c>
    </row>
    <row r="95" spans="2:9" x14ac:dyDescent="0.2">
      <c r="B95" s="29" t="s">
        <v>118</v>
      </c>
      <c r="C95" s="29"/>
      <c r="D95" s="27">
        <f>IFERROR(VLOOKUP($B95,'Pivot '!$A:$G,MATCH(D$6,'Pivot '!$A$4:$G$4,0),FALSE),0)</f>
        <v>0</v>
      </c>
      <c r="E95" s="27">
        <f>IFERROR(VLOOKUP($B95,'Pivot '!$A:$G,MATCH(E$6,'Pivot '!$A$4:$G$4,0),FALSE),0)</f>
        <v>14</v>
      </c>
      <c r="F95" s="27">
        <f>IFERROR(VLOOKUP($B95,'Pivot '!$A:$G,MATCH(F$6,'Pivot '!$A$4:$G$4,0),FALSE),0)</f>
        <v>2</v>
      </c>
      <c r="G95" s="27">
        <f>IFERROR(VLOOKUP($B95,'Pivot '!$A:$G,MATCH(G$6,'Pivot '!$A$4:$G$4,0),FALSE),0)</f>
        <v>4</v>
      </c>
      <c r="H95" s="27">
        <f>IFERROR(VLOOKUP($B95,'Pivot '!$A:$G,MATCH(H$6,'Pivot '!$A$4:$G$4,0),FALSE),0)</f>
        <v>0</v>
      </c>
      <c r="I95" s="27">
        <f t="shared" si="11"/>
        <v>20</v>
      </c>
    </row>
    <row r="96" spans="2:9" x14ac:dyDescent="0.2">
      <c r="B96" s="29" t="s">
        <v>115</v>
      </c>
      <c r="C96" s="29"/>
      <c r="D96" s="27">
        <f>IFERROR(VLOOKUP($B96,'Pivot '!$A:$G,MATCH(D$6,'Pivot '!$A$4:$G$4,0),FALSE),0)</f>
        <v>0</v>
      </c>
      <c r="E96" s="27">
        <f>IFERROR(VLOOKUP($B96,'Pivot '!$A:$G,MATCH(E$6,'Pivot '!$A$4:$G$4,0),FALSE),0)</f>
        <v>8</v>
      </c>
      <c r="F96" s="27">
        <f>IFERROR(VLOOKUP($B96,'Pivot '!$A:$G,MATCH(F$6,'Pivot '!$A$4:$G$4,0),FALSE),0)</f>
        <v>0</v>
      </c>
      <c r="G96" s="27">
        <f>IFERROR(VLOOKUP($B96,'Pivot '!$A:$G,MATCH(G$6,'Pivot '!$A$4:$G$4,0),FALSE),0)</f>
        <v>0</v>
      </c>
      <c r="H96" s="27">
        <f>IFERROR(VLOOKUP($B96,'Pivot '!$A:$G,MATCH(H$6,'Pivot '!$A$4:$G$4,0),FALSE),0)</f>
        <v>0</v>
      </c>
      <c r="I96" s="27">
        <f t="shared" si="11"/>
        <v>8</v>
      </c>
    </row>
    <row r="97" spans="2:9" x14ac:dyDescent="0.2">
      <c r="B97" s="29" t="s">
        <v>121</v>
      </c>
      <c r="C97" s="29"/>
      <c r="D97" s="27">
        <f>IFERROR(VLOOKUP($B97,'Pivot '!$A:$G,MATCH(D$6,'Pivot '!$A$4:$G$4,0),FALSE),0)</f>
        <v>0</v>
      </c>
      <c r="E97" s="27">
        <f>IFERROR(VLOOKUP($B97,'Pivot '!$A:$G,MATCH(E$6,'Pivot '!$A$4:$G$4,0),FALSE),0)</f>
        <v>2</v>
      </c>
      <c r="F97" s="27">
        <f>IFERROR(VLOOKUP($B97,'Pivot '!$A:$G,MATCH(F$6,'Pivot '!$A$4:$G$4,0),FALSE),0)</f>
        <v>3</v>
      </c>
      <c r="G97" s="27">
        <f>IFERROR(VLOOKUP($B97,'Pivot '!$A:$G,MATCH(G$6,'Pivot '!$A$4:$G$4,0),FALSE),0)</f>
        <v>0</v>
      </c>
      <c r="H97" s="27">
        <f>IFERROR(VLOOKUP($B97,'Pivot '!$A:$G,MATCH(H$6,'Pivot '!$A$4:$G$4,0),FALSE),0)</f>
        <v>0</v>
      </c>
      <c r="I97" s="27">
        <f t="shared" si="11"/>
        <v>5</v>
      </c>
    </row>
    <row r="98" spans="2:9" x14ac:dyDescent="0.2">
      <c r="B98" s="29" t="s">
        <v>114</v>
      </c>
      <c r="C98" s="29"/>
      <c r="D98" s="27">
        <f>IFERROR(VLOOKUP($B98,'Pivot '!$A:$G,MATCH(D$6,'Pivot '!$A$4:$G$4,0),FALSE),0)</f>
        <v>0</v>
      </c>
      <c r="E98" s="27">
        <f>IFERROR(VLOOKUP($B98,'Pivot '!$A:$G,MATCH(E$6,'Pivot '!$A$4:$G$4,0),FALSE),0)</f>
        <v>15</v>
      </c>
      <c r="F98" s="27">
        <f>IFERROR(VLOOKUP($B98,'Pivot '!$A:$G,MATCH(F$6,'Pivot '!$A$4:$G$4,0),FALSE),0)</f>
        <v>4</v>
      </c>
      <c r="G98" s="27">
        <f>IFERROR(VLOOKUP($B98,'Pivot '!$A:$G,MATCH(G$6,'Pivot '!$A$4:$G$4,0),FALSE),0)</f>
        <v>1</v>
      </c>
      <c r="H98" s="27">
        <f>IFERROR(VLOOKUP($B98,'Pivot '!$A:$G,MATCH(H$6,'Pivot '!$A$4:$G$4,0),FALSE),0)</f>
        <v>3</v>
      </c>
      <c r="I98" s="27">
        <f t="shared" si="11"/>
        <v>23</v>
      </c>
    </row>
    <row r="99" spans="2:9" x14ac:dyDescent="0.2">
      <c r="B99" s="29" t="s">
        <v>113</v>
      </c>
      <c r="C99" s="29"/>
      <c r="D99" s="27">
        <f>IFERROR(VLOOKUP($B99,'Pivot '!$A:$G,MATCH(D$6,'Pivot '!$A$4:$G$4,0),FALSE),0)</f>
        <v>0</v>
      </c>
      <c r="E99" s="27">
        <f>IFERROR(VLOOKUP($B99,'Pivot '!$A:$G,MATCH(E$6,'Pivot '!$A$4:$G$4,0),FALSE),0)</f>
        <v>5</v>
      </c>
      <c r="F99" s="27">
        <f>IFERROR(VLOOKUP($B99,'Pivot '!$A:$G,MATCH(F$6,'Pivot '!$A$4:$G$4,0),FALSE),0)</f>
        <v>4</v>
      </c>
      <c r="G99" s="27">
        <f>IFERROR(VLOOKUP($B99,'Pivot '!$A:$G,MATCH(G$6,'Pivot '!$A$4:$G$4,0),FALSE),0)</f>
        <v>0</v>
      </c>
      <c r="H99" s="27">
        <f>IFERROR(VLOOKUP($B99,'Pivot '!$A:$G,MATCH(H$6,'Pivot '!$A$4:$G$4,0),FALSE),0)</f>
        <v>0</v>
      </c>
      <c r="I99" s="27">
        <f t="shared" si="11"/>
        <v>9</v>
      </c>
    </row>
    <row r="100" spans="2:9" x14ac:dyDescent="0.2">
      <c r="B100" s="17" t="s">
        <v>122</v>
      </c>
      <c r="C100" s="17"/>
      <c r="D100" s="25">
        <f>SUM(D101:D133)</f>
        <v>5</v>
      </c>
      <c r="E100" s="25">
        <f t="shared" ref="E100:I100" si="13">SUM(E101:E133)</f>
        <v>90</v>
      </c>
      <c r="F100" s="25">
        <f t="shared" si="13"/>
        <v>34</v>
      </c>
      <c r="G100" s="25">
        <f t="shared" si="13"/>
        <v>10</v>
      </c>
      <c r="H100" s="25">
        <f t="shared" si="13"/>
        <v>2</v>
      </c>
      <c r="I100" s="25">
        <f t="shared" si="13"/>
        <v>141</v>
      </c>
    </row>
    <row r="101" spans="2:9" x14ac:dyDescent="0.2">
      <c r="B101" s="29" t="s">
        <v>140</v>
      </c>
      <c r="C101" s="29"/>
      <c r="D101" s="27">
        <f>IFERROR(VLOOKUP($B101,'Pivot '!$A:$G,MATCH(D$6,'Pivot '!$A$4:$G$4,0),FALSE),0)</f>
        <v>0</v>
      </c>
      <c r="E101" s="27">
        <f>IFERROR(VLOOKUP($B101,'Pivot '!$A:$G,MATCH(E$6,'Pivot '!$A$4:$G$4,0),FALSE),0)</f>
        <v>1</v>
      </c>
      <c r="F101" s="27">
        <f>IFERROR(VLOOKUP($B101,'Pivot '!$A:$G,MATCH(F$6,'Pivot '!$A$4:$G$4,0),FALSE),0)</f>
        <v>1</v>
      </c>
      <c r="G101" s="27">
        <f>IFERROR(VLOOKUP($B101,'Pivot '!$A:$G,MATCH(G$6,'Pivot '!$A$4:$G$4,0),FALSE),0)</f>
        <v>0</v>
      </c>
      <c r="H101" s="27">
        <f>IFERROR(VLOOKUP($B101,'Pivot '!$A:$G,MATCH(H$6,'Pivot '!$A$4:$G$4,0),FALSE),0)</f>
        <v>0</v>
      </c>
      <c r="I101" s="27">
        <f t="shared" si="11"/>
        <v>2</v>
      </c>
    </row>
    <row r="102" spans="2:9" x14ac:dyDescent="0.2">
      <c r="B102" s="29" t="s">
        <v>136</v>
      </c>
      <c r="C102" s="29"/>
      <c r="D102" s="27">
        <f>IFERROR(VLOOKUP($B102,'Pivot '!$A:$G,MATCH(D$6,'Pivot '!$A$4:$G$4,0),FALSE),0)</f>
        <v>0</v>
      </c>
      <c r="E102" s="27">
        <f>IFERROR(VLOOKUP($B102,'Pivot '!$A:$G,MATCH(E$6,'Pivot '!$A$4:$G$4,0),FALSE),0)</f>
        <v>3</v>
      </c>
      <c r="F102" s="27">
        <f>IFERROR(VLOOKUP($B102,'Pivot '!$A:$G,MATCH(F$6,'Pivot '!$A$4:$G$4,0),FALSE),0)</f>
        <v>2</v>
      </c>
      <c r="G102" s="27">
        <f>IFERROR(VLOOKUP($B102,'Pivot '!$A:$G,MATCH(G$6,'Pivot '!$A$4:$G$4,0),FALSE),0)</f>
        <v>0</v>
      </c>
      <c r="H102" s="27">
        <f>IFERROR(VLOOKUP($B102,'Pivot '!$A:$G,MATCH(H$6,'Pivot '!$A$4:$G$4,0),FALSE),0)</f>
        <v>0</v>
      </c>
      <c r="I102" s="27">
        <f t="shared" si="11"/>
        <v>5</v>
      </c>
    </row>
    <row r="103" spans="2:9" x14ac:dyDescent="0.2">
      <c r="B103" s="29" t="s">
        <v>131</v>
      </c>
      <c r="C103" s="29"/>
      <c r="D103" s="27">
        <f>IFERROR(VLOOKUP($B103,'Pivot '!$A:$G,MATCH(D$6,'Pivot '!$A$4:$G$4,0),FALSE),0)</f>
        <v>0</v>
      </c>
      <c r="E103" s="27">
        <f>IFERROR(VLOOKUP($B103,'Pivot '!$A:$G,MATCH(E$6,'Pivot '!$A$4:$G$4,0),FALSE),0)</f>
        <v>4</v>
      </c>
      <c r="F103" s="27">
        <f>IFERROR(VLOOKUP($B103,'Pivot '!$A:$G,MATCH(F$6,'Pivot '!$A$4:$G$4,0),FALSE),0)</f>
        <v>0</v>
      </c>
      <c r="G103" s="27">
        <f>IFERROR(VLOOKUP($B103,'Pivot '!$A:$G,MATCH(G$6,'Pivot '!$A$4:$G$4,0),FALSE),0)</f>
        <v>0</v>
      </c>
      <c r="H103" s="27">
        <f>IFERROR(VLOOKUP($B103,'Pivot '!$A:$G,MATCH(H$6,'Pivot '!$A$4:$G$4,0),FALSE),0)</f>
        <v>0</v>
      </c>
      <c r="I103" s="27">
        <f t="shared" si="11"/>
        <v>4</v>
      </c>
    </row>
    <row r="104" spans="2:9" x14ac:dyDescent="0.2">
      <c r="B104" s="29" t="s">
        <v>132</v>
      </c>
      <c r="C104" s="29"/>
      <c r="D104" s="27">
        <f>IFERROR(VLOOKUP($B104,'Pivot '!$A:$G,MATCH(D$6,'Pivot '!$A$4:$G$4,0),FALSE),0)</f>
        <v>1</v>
      </c>
      <c r="E104" s="27">
        <f>IFERROR(VLOOKUP($B104,'Pivot '!$A:$G,MATCH(E$6,'Pivot '!$A$4:$G$4,0),FALSE),0)</f>
        <v>3</v>
      </c>
      <c r="F104" s="27">
        <f>IFERROR(VLOOKUP($B104,'Pivot '!$A:$G,MATCH(F$6,'Pivot '!$A$4:$G$4,0),FALSE),0)</f>
        <v>1</v>
      </c>
      <c r="G104" s="27">
        <f>IFERROR(VLOOKUP($B104,'Pivot '!$A:$G,MATCH(G$6,'Pivot '!$A$4:$G$4,0),FALSE),0)</f>
        <v>0</v>
      </c>
      <c r="H104" s="27">
        <f>IFERROR(VLOOKUP($B104,'Pivot '!$A:$G,MATCH(H$6,'Pivot '!$A$4:$G$4,0),FALSE),0)</f>
        <v>0</v>
      </c>
      <c r="I104" s="27">
        <f t="shared" si="11"/>
        <v>5</v>
      </c>
    </row>
    <row r="105" spans="2:9" x14ac:dyDescent="0.2">
      <c r="B105" s="29" t="s">
        <v>139</v>
      </c>
      <c r="C105" s="29"/>
      <c r="D105" s="27">
        <f>IFERROR(VLOOKUP($B105,'Pivot '!$A:$G,MATCH(D$6,'Pivot '!$A$4:$G$4,0),FALSE),0)</f>
        <v>0</v>
      </c>
      <c r="E105" s="27">
        <f>IFERROR(VLOOKUP($B105,'Pivot '!$A:$G,MATCH(E$6,'Pivot '!$A$4:$G$4,0),FALSE),0)</f>
        <v>4</v>
      </c>
      <c r="F105" s="27">
        <f>IFERROR(VLOOKUP($B105,'Pivot '!$A:$G,MATCH(F$6,'Pivot '!$A$4:$G$4,0),FALSE),0)</f>
        <v>2</v>
      </c>
      <c r="G105" s="27">
        <f>IFERROR(VLOOKUP($B105,'Pivot '!$A:$G,MATCH(G$6,'Pivot '!$A$4:$G$4,0),FALSE),0)</f>
        <v>2</v>
      </c>
      <c r="H105" s="27">
        <f>IFERROR(VLOOKUP($B105,'Pivot '!$A:$G,MATCH(H$6,'Pivot '!$A$4:$G$4,0),FALSE),0)</f>
        <v>0</v>
      </c>
      <c r="I105" s="27">
        <f t="shared" si="11"/>
        <v>8</v>
      </c>
    </row>
    <row r="106" spans="2:9" x14ac:dyDescent="0.2">
      <c r="B106" s="29" t="s">
        <v>127</v>
      </c>
      <c r="C106" s="29"/>
      <c r="D106" s="27">
        <f>IFERROR(VLOOKUP($B106,'Pivot '!$A:$G,MATCH(D$6,'Pivot '!$A$4:$G$4,0),FALSE),0)</f>
        <v>0</v>
      </c>
      <c r="E106" s="27">
        <f>IFERROR(VLOOKUP($B106,'Pivot '!$A:$G,MATCH(E$6,'Pivot '!$A$4:$G$4,0),FALSE),0)</f>
        <v>4</v>
      </c>
      <c r="F106" s="27">
        <f>IFERROR(VLOOKUP($B106,'Pivot '!$A:$G,MATCH(F$6,'Pivot '!$A$4:$G$4,0),FALSE),0)</f>
        <v>0</v>
      </c>
      <c r="G106" s="27">
        <f>IFERROR(VLOOKUP($B106,'Pivot '!$A:$G,MATCH(G$6,'Pivot '!$A$4:$G$4,0),FALSE),0)</f>
        <v>0</v>
      </c>
      <c r="H106" s="27">
        <f>IFERROR(VLOOKUP($B106,'Pivot '!$A:$G,MATCH(H$6,'Pivot '!$A$4:$G$4,0),FALSE),0)</f>
        <v>0</v>
      </c>
      <c r="I106" s="27">
        <f t="shared" si="11"/>
        <v>4</v>
      </c>
    </row>
    <row r="107" spans="2:9" x14ac:dyDescent="0.2">
      <c r="B107" s="29" t="s">
        <v>262</v>
      </c>
      <c r="C107" s="29"/>
      <c r="D107" s="27">
        <f>IFERROR(VLOOKUP($B107,'Pivot '!$A:$G,MATCH(D$6,'Pivot '!$A$4:$G$4,0),FALSE),0)</f>
        <v>0</v>
      </c>
      <c r="E107" s="27">
        <f>IFERROR(VLOOKUP($B107,'Pivot '!$A:$G,MATCH(E$6,'Pivot '!$A$4:$G$4,0),FALSE),0)</f>
        <v>0</v>
      </c>
      <c r="F107" s="27">
        <f>IFERROR(VLOOKUP($B107,'Pivot '!$A:$G,MATCH(F$6,'Pivot '!$A$4:$G$4,0),FALSE),0)</f>
        <v>0</v>
      </c>
      <c r="G107" s="27">
        <f>IFERROR(VLOOKUP($B107,'Pivot '!$A:$G,MATCH(G$6,'Pivot '!$A$4:$G$4,0),FALSE),0)</f>
        <v>0</v>
      </c>
      <c r="H107" s="27">
        <f>IFERROR(VLOOKUP($B107,'Pivot '!$A:$G,MATCH(H$6,'Pivot '!$A$4:$G$4,0),FALSE),0)</f>
        <v>0</v>
      </c>
      <c r="I107" s="27">
        <f t="shared" si="11"/>
        <v>0</v>
      </c>
    </row>
    <row r="108" spans="2:9" x14ac:dyDescent="0.2">
      <c r="B108" s="29" t="s">
        <v>144</v>
      </c>
      <c r="C108" s="29"/>
      <c r="D108" s="27">
        <f>IFERROR(VLOOKUP($B108,'Pivot '!$A:$G,MATCH(D$6,'Pivot '!$A$4:$G$4,0),FALSE),0)</f>
        <v>0</v>
      </c>
      <c r="E108" s="27">
        <f>IFERROR(VLOOKUP($B108,'Pivot '!$A:$G,MATCH(E$6,'Pivot '!$A$4:$G$4,0),FALSE),0)</f>
        <v>7</v>
      </c>
      <c r="F108" s="27">
        <f>IFERROR(VLOOKUP($B108,'Pivot '!$A:$G,MATCH(F$6,'Pivot '!$A$4:$G$4,0),FALSE),0)</f>
        <v>0</v>
      </c>
      <c r="G108" s="27">
        <f>IFERROR(VLOOKUP($B108,'Pivot '!$A:$G,MATCH(G$6,'Pivot '!$A$4:$G$4,0),FALSE),0)</f>
        <v>0</v>
      </c>
      <c r="H108" s="27">
        <f>IFERROR(VLOOKUP($B108,'Pivot '!$A:$G,MATCH(H$6,'Pivot '!$A$4:$G$4,0),FALSE),0)</f>
        <v>0</v>
      </c>
      <c r="I108" s="27">
        <f t="shared" si="11"/>
        <v>7</v>
      </c>
    </row>
    <row r="109" spans="2:9" x14ac:dyDescent="0.2">
      <c r="B109" s="29" t="s">
        <v>123</v>
      </c>
      <c r="C109" s="29"/>
      <c r="D109" s="27">
        <f>IFERROR(VLOOKUP($B109,'Pivot '!$A:$G,MATCH(D$6,'Pivot '!$A$4:$G$4,0),FALSE),0)</f>
        <v>0</v>
      </c>
      <c r="E109" s="27">
        <f>IFERROR(VLOOKUP($B109,'Pivot '!$A:$G,MATCH(E$6,'Pivot '!$A$4:$G$4,0),FALSE),0)</f>
        <v>2</v>
      </c>
      <c r="F109" s="27">
        <f>IFERROR(VLOOKUP($B109,'Pivot '!$A:$G,MATCH(F$6,'Pivot '!$A$4:$G$4,0),FALSE),0)</f>
        <v>2</v>
      </c>
      <c r="G109" s="27">
        <f>IFERROR(VLOOKUP($B109,'Pivot '!$A:$G,MATCH(G$6,'Pivot '!$A$4:$G$4,0),FALSE),0)</f>
        <v>0</v>
      </c>
      <c r="H109" s="27">
        <f>IFERROR(VLOOKUP($B109,'Pivot '!$A:$G,MATCH(H$6,'Pivot '!$A$4:$G$4,0),FALSE),0)</f>
        <v>0</v>
      </c>
      <c r="I109" s="27">
        <f t="shared" si="11"/>
        <v>4</v>
      </c>
    </row>
    <row r="110" spans="2:9" x14ac:dyDescent="0.2">
      <c r="B110" s="29" t="s">
        <v>130</v>
      </c>
      <c r="C110" s="29"/>
      <c r="D110" s="27">
        <f>IFERROR(VLOOKUP($B110,'Pivot '!$A:$G,MATCH(D$6,'Pivot '!$A$4:$G$4,0),FALSE),0)</f>
        <v>0</v>
      </c>
      <c r="E110" s="27">
        <f>IFERROR(VLOOKUP($B110,'Pivot '!$A:$G,MATCH(E$6,'Pivot '!$A$4:$G$4,0),FALSE),0)</f>
        <v>3</v>
      </c>
      <c r="F110" s="27">
        <f>IFERROR(VLOOKUP($B110,'Pivot '!$A:$G,MATCH(F$6,'Pivot '!$A$4:$G$4,0),FALSE),0)</f>
        <v>0</v>
      </c>
      <c r="G110" s="27">
        <f>IFERROR(VLOOKUP($B110,'Pivot '!$A:$G,MATCH(G$6,'Pivot '!$A$4:$G$4,0),FALSE),0)</f>
        <v>0</v>
      </c>
      <c r="H110" s="27">
        <f>IFERROR(VLOOKUP($B110,'Pivot '!$A:$G,MATCH(H$6,'Pivot '!$A$4:$G$4,0),FALSE),0)</f>
        <v>0</v>
      </c>
      <c r="I110" s="27">
        <f t="shared" si="11"/>
        <v>3</v>
      </c>
    </row>
    <row r="111" spans="2:9" x14ac:dyDescent="0.2">
      <c r="B111" s="29" t="s">
        <v>142</v>
      </c>
      <c r="C111" s="29"/>
      <c r="D111" s="27">
        <f>IFERROR(VLOOKUP($B111,'Pivot '!$A:$G,MATCH(D$6,'Pivot '!$A$4:$G$4,0),FALSE),0)</f>
        <v>0</v>
      </c>
      <c r="E111" s="27">
        <f>IFERROR(VLOOKUP($B111,'Pivot '!$A:$G,MATCH(E$6,'Pivot '!$A$4:$G$4,0),FALSE),0)</f>
        <v>4</v>
      </c>
      <c r="F111" s="27">
        <f>IFERROR(VLOOKUP($B111,'Pivot '!$A:$G,MATCH(F$6,'Pivot '!$A$4:$G$4,0),FALSE),0)</f>
        <v>1</v>
      </c>
      <c r="G111" s="27">
        <f>IFERROR(VLOOKUP($B111,'Pivot '!$A:$G,MATCH(G$6,'Pivot '!$A$4:$G$4,0),FALSE),0)</f>
        <v>0</v>
      </c>
      <c r="H111" s="27">
        <f>IFERROR(VLOOKUP($B111,'Pivot '!$A:$G,MATCH(H$6,'Pivot '!$A$4:$G$4,0),FALSE),0)</f>
        <v>0</v>
      </c>
      <c r="I111" s="27">
        <f t="shared" si="11"/>
        <v>5</v>
      </c>
    </row>
    <row r="112" spans="2:9" x14ac:dyDescent="0.2">
      <c r="B112" s="29" t="s">
        <v>126</v>
      </c>
      <c r="C112" s="29"/>
      <c r="D112" s="27">
        <f>IFERROR(VLOOKUP($B112,'Pivot '!$A:$G,MATCH(D$6,'Pivot '!$A$4:$G$4,0),FALSE),0)</f>
        <v>0</v>
      </c>
      <c r="E112" s="27">
        <f>IFERROR(VLOOKUP($B112,'Pivot '!$A:$G,MATCH(E$6,'Pivot '!$A$4:$G$4,0),FALSE),0)</f>
        <v>4</v>
      </c>
      <c r="F112" s="27">
        <f>IFERROR(VLOOKUP($B112,'Pivot '!$A:$G,MATCH(F$6,'Pivot '!$A$4:$G$4,0),FALSE),0)</f>
        <v>1</v>
      </c>
      <c r="G112" s="27">
        <f>IFERROR(VLOOKUP($B112,'Pivot '!$A:$G,MATCH(G$6,'Pivot '!$A$4:$G$4,0),FALSE),0)</f>
        <v>0</v>
      </c>
      <c r="H112" s="27">
        <f>IFERROR(VLOOKUP($B112,'Pivot '!$A:$G,MATCH(H$6,'Pivot '!$A$4:$G$4,0),FALSE),0)</f>
        <v>0</v>
      </c>
      <c r="I112" s="27">
        <f t="shared" si="11"/>
        <v>5</v>
      </c>
    </row>
    <row r="113" spans="2:9" x14ac:dyDescent="0.2">
      <c r="B113" s="29" t="s">
        <v>137</v>
      </c>
      <c r="C113" s="29"/>
      <c r="D113" s="27">
        <f>IFERROR(VLOOKUP($B113,'Pivot '!$A:$G,MATCH(D$6,'Pivot '!$A$4:$G$4,0),FALSE),0)</f>
        <v>1</v>
      </c>
      <c r="E113" s="27">
        <f>IFERROR(VLOOKUP($B113,'Pivot '!$A:$G,MATCH(E$6,'Pivot '!$A$4:$G$4,0),FALSE),0)</f>
        <v>3</v>
      </c>
      <c r="F113" s="27">
        <f>IFERROR(VLOOKUP($B113,'Pivot '!$A:$G,MATCH(F$6,'Pivot '!$A$4:$G$4,0),FALSE),0)</f>
        <v>1</v>
      </c>
      <c r="G113" s="27">
        <f>IFERROR(VLOOKUP($B113,'Pivot '!$A:$G,MATCH(G$6,'Pivot '!$A$4:$G$4,0),FALSE),0)</f>
        <v>0</v>
      </c>
      <c r="H113" s="27">
        <f>IFERROR(VLOOKUP($B113,'Pivot '!$A:$G,MATCH(H$6,'Pivot '!$A$4:$G$4,0),FALSE),0)</f>
        <v>0</v>
      </c>
      <c r="I113" s="27">
        <f t="shared" si="11"/>
        <v>5</v>
      </c>
    </row>
    <row r="114" spans="2:9" x14ac:dyDescent="0.2">
      <c r="B114" s="29" t="s">
        <v>128</v>
      </c>
      <c r="C114" s="29"/>
      <c r="D114" s="27">
        <f>IFERROR(VLOOKUP($B114,'Pivot '!$A:$G,MATCH(D$6,'Pivot '!$A$4:$G$4,0),FALSE),0)</f>
        <v>0</v>
      </c>
      <c r="E114" s="27">
        <f>IFERROR(VLOOKUP($B114,'Pivot '!$A:$G,MATCH(E$6,'Pivot '!$A$4:$G$4,0),FALSE),0)</f>
        <v>3</v>
      </c>
      <c r="F114" s="27">
        <f>IFERROR(VLOOKUP($B114,'Pivot '!$A:$G,MATCH(F$6,'Pivot '!$A$4:$G$4,0),FALSE),0)</f>
        <v>2</v>
      </c>
      <c r="G114" s="27">
        <f>IFERROR(VLOOKUP($B114,'Pivot '!$A:$G,MATCH(G$6,'Pivot '!$A$4:$G$4,0),FALSE),0)</f>
        <v>0</v>
      </c>
      <c r="H114" s="27">
        <f>IFERROR(VLOOKUP($B114,'Pivot '!$A:$G,MATCH(H$6,'Pivot '!$A$4:$G$4,0),FALSE),0)</f>
        <v>0</v>
      </c>
      <c r="I114" s="27">
        <f t="shared" si="11"/>
        <v>5</v>
      </c>
    </row>
    <row r="115" spans="2:9" x14ac:dyDescent="0.2">
      <c r="B115" s="29" t="s">
        <v>145</v>
      </c>
      <c r="C115" s="29"/>
      <c r="D115" s="27">
        <f>IFERROR(VLOOKUP($B115,'Pivot '!$A:$G,MATCH(D$6,'Pivot '!$A$4:$G$4,0),FALSE),0)</f>
        <v>0</v>
      </c>
      <c r="E115" s="27">
        <f>IFERROR(VLOOKUP($B115,'Pivot '!$A:$G,MATCH(E$6,'Pivot '!$A$4:$G$4,0),FALSE),0)</f>
        <v>1</v>
      </c>
      <c r="F115" s="27">
        <f>IFERROR(VLOOKUP($B115,'Pivot '!$A:$G,MATCH(F$6,'Pivot '!$A$4:$G$4,0),FALSE),0)</f>
        <v>2</v>
      </c>
      <c r="G115" s="27">
        <f>IFERROR(VLOOKUP($B115,'Pivot '!$A:$G,MATCH(G$6,'Pivot '!$A$4:$G$4,0),FALSE),0)</f>
        <v>0</v>
      </c>
      <c r="H115" s="27">
        <f>IFERROR(VLOOKUP($B115,'Pivot '!$A:$G,MATCH(H$6,'Pivot '!$A$4:$G$4,0),FALSE),0)</f>
        <v>0</v>
      </c>
      <c r="I115" s="27">
        <f t="shared" si="11"/>
        <v>3</v>
      </c>
    </row>
    <row r="116" spans="2:9" x14ac:dyDescent="0.2">
      <c r="B116" s="29" t="s">
        <v>124</v>
      </c>
      <c r="C116" s="29"/>
      <c r="D116" s="27">
        <f>IFERROR(VLOOKUP($B116,'Pivot '!$A:$G,MATCH(D$6,'Pivot '!$A$4:$G$4,0),FALSE),0)</f>
        <v>0</v>
      </c>
      <c r="E116" s="27">
        <f>IFERROR(VLOOKUP($B116,'Pivot '!$A:$G,MATCH(E$6,'Pivot '!$A$4:$G$4,0),FALSE),0)</f>
        <v>1</v>
      </c>
      <c r="F116" s="27">
        <f>IFERROR(VLOOKUP($B116,'Pivot '!$A:$G,MATCH(F$6,'Pivot '!$A$4:$G$4,0),FALSE),0)</f>
        <v>1</v>
      </c>
      <c r="G116" s="27">
        <f>IFERROR(VLOOKUP($B116,'Pivot '!$A:$G,MATCH(G$6,'Pivot '!$A$4:$G$4,0),FALSE),0)</f>
        <v>1</v>
      </c>
      <c r="H116" s="27">
        <f>IFERROR(VLOOKUP($B116,'Pivot '!$A:$G,MATCH(H$6,'Pivot '!$A$4:$G$4,0),FALSE),0)</f>
        <v>0</v>
      </c>
      <c r="I116" s="27">
        <f t="shared" si="11"/>
        <v>3</v>
      </c>
    </row>
    <row r="117" spans="2:9" x14ac:dyDescent="0.2">
      <c r="B117" s="29" t="s">
        <v>146</v>
      </c>
      <c r="C117" s="29"/>
      <c r="D117" s="27">
        <f>IFERROR(VLOOKUP($B117,'Pivot '!$A:$G,MATCH(D$6,'Pivot '!$A$4:$G$4,0),FALSE),0)</f>
        <v>0</v>
      </c>
      <c r="E117" s="27">
        <f>IFERROR(VLOOKUP($B117,'Pivot '!$A:$G,MATCH(E$6,'Pivot '!$A$4:$G$4,0),FALSE),0)</f>
        <v>4</v>
      </c>
      <c r="F117" s="27">
        <f>IFERROR(VLOOKUP($B117,'Pivot '!$A:$G,MATCH(F$6,'Pivot '!$A$4:$G$4,0),FALSE),0)</f>
        <v>2</v>
      </c>
      <c r="G117" s="27">
        <f>IFERROR(VLOOKUP($B117,'Pivot '!$A:$G,MATCH(G$6,'Pivot '!$A$4:$G$4,0),FALSE),0)</f>
        <v>0</v>
      </c>
      <c r="H117" s="27">
        <f>IFERROR(VLOOKUP($B117,'Pivot '!$A:$G,MATCH(H$6,'Pivot '!$A$4:$G$4,0),FALSE),0)</f>
        <v>0</v>
      </c>
      <c r="I117" s="27">
        <f t="shared" si="11"/>
        <v>6</v>
      </c>
    </row>
    <row r="118" spans="2:9" x14ac:dyDescent="0.2">
      <c r="B118" s="29" t="s">
        <v>129</v>
      </c>
      <c r="C118" s="29"/>
      <c r="D118" s="27">
        <f>IFERROR(VLOOKUP($B118,'Pivot '!$A:$G,MATCH(D$6,'Pivot '!$A$4:$G$4,0),FALSE),0)</f>
        <v>0</v>
      </c>
      <c r="E118" s="27">
        <f>IFERROR(VLOOKUP($B118,'Pivot '!$A:$G,MATCH(E$6,'Pivot '!$A$4:$G$4,0),FALSE),0)</f>
        <v>2</v>
      </c>
      <c r="F118" s="27">
        <f>IFERROR(VLOOKUP($B118,'Pivot '!$A:$G,MATCH(F$6,'Pivot '!$A$4:$G$4,0),FALSE),0)</f>
        <v>1</v>
      </c>
      <c r="G118" s="27">
        <f>IFERROR(VLOOKUP($B118,'Pivot '!$A:$G,MATCH(G$6,'Pivot '!$A$4:$G$4,0),FALSE),0)</f>
        <v>2</v>
      </c>
      <c r="H118" s="27">
        <f>IFERROR(VLOOKUP($B118,'Pivot '!$A:$G,MATCH(H$6,'Pivot '!$A$4:$G$4,0),FALSE),0)</f>
        <v>0</v>
      </c>
      <c r="I118" s="27">
        <f t="shared" si="11"/>
        <v>5</v>
      </c>
    </row>
    <row r="119" spans="2:9" x14ac:dyDescent="0.2">
      <c r="B119" s="29" t="s">
        <v>133</v>
      </c>
      <c r="C119" s="29"/>
      <c r="D119" s="27">
        <f>IFERROR(VLOOKUP($B119,'Pivot '!$A:$G,MATCH(D$6,'Pivot '!$A$4:$G$4,0),FALSE),0)</f>
        <v>0</v>
      </c>
      <c r="E119" s="27">
        <f>IFERROR(VLOOKUP($B119,'Pivot '!$A:$G,MATCH(E$6,'Pivot '!$A$4:$G$4,0),FALSE),0)</f>
        <v>6</v>
      </c>
      <c r="F119" s="27">
        <f>IFERROR(VLOOKUP($B119,'Pivot '!$A:$G,MATCH(F$6,'Pivot '!$A$4:$G$4,0),FALSE),0)</f>
        <v>2</v>
      </c>
      <c r="G119" s="27">
        <f>IFERROR(VLOOKUP($B119,'Pivot '!$A:$G,MATCH(G$6,'Pivot '!$A$4:$G$4,0),FALSE),0)</f>
        <v>0</v>
      </c>
      <c r="H119" s="27">
        <f>IFERROR(VLOOKUP($B119,'Pivot '!$A:$G,MATCH(H$6,'Pivot '!$A$4:$G$4,0),FALSE),0)</f>
        <v>0</v>
      </c>
      <c r="I119" s="27">
        <f t="shared" si="11"/>
        <v>8</v>
      </c>
    </row>
    <row r="120" spans="2:9" x14ac:dyDescent="0.2">
      <c r="B120" s="29" t="s">
        <v>125</v>
      </c>
      <c r="C120" s="29"/>
      <c r="D120" s="27">
        <f>IFERROR(VLOOKUP($B120,'Pivot '!$A:$G,MATCH(D$6,'Pivot '!$A$4:$G$4,0),FALSE),0)</f>
        <v>0</v>
      </c>
      <c r="E120" s="27">
        <f>IFERROR(VLOOKUP($B120,'Pivot '!$A:$G,MATCH(E$6,'Pivot '!$A$4:$G$4,0),FALSE),0)</f>
        <v>1</v>
      </c>
      <c r="F120" s="27">
        <f>IFERROR(VLOOKUP($B120,'Pivot '!$A:$G,MATCH(F$6,'Pivot '!$A$4:$G$4,0),FALSE),0)</f>
        <v>1</v>
      </c>
      <c r="G120" s="27">
        <f>IFERROR(VLOOKUP($B120,'Pivot '!$A:$G,MATCH(G$6,'Pivot '!$A$4:$G$4,0),FALSE),0)</f>
        <v>0</v>
      </c>
      <c r="H120" s="27">
        <f>IFERROR(VLOOKUP($B120,'Pivot '!$A:$G,MATCH(H$6,'Pivot '!$A$4:$G$4,0),FALSE),0)</f>
        <v>0</v>
      </c>
      <c r="I120" s="27">
        <f t="shared" si="11"/>
        <v>2</v>
      </c>
    </row>
    <row r="121" spans="2:9" x14ac:dyDescent="0.2">
      <c r="B121" s="29" t="s">
        <v>154</v>
      </c>
      <c r="C121" s="29"/>
      <c r="D121" s="27">
        <f>IFERROR(VLOOKUP($B121,'Pivot '!$A:$G,MATCH(D$6,'Pivot '!$A$4:$G$4,0),FALSE),0)</f>
        <v>0</v>
      </c>
      <c r="E121" s="27">
        <f>IFERROR(VLOOKUP($B121,'Pivot '!$A:$G,MATCH(E$6,'Pivot '!$A$4:$G$4,0),FALSE),0)</f>
        <v>1</v>
      </c>
      <c r="F121" s="27">
        <f>IFERROR(VLOOKUP($B121,'Pivot '!$A:$G,MATCH(F$6,'Pivot '!$A$4:$G$4,0),FALSE),0)</f>
        <v>0</v>
      </c>
      <c r="G121" s="27">
        <f>IFERROR(VLOOKUP($B121,'Pivot '!$A:$G,MATCH(G$6,'Pivot '!$A$4:$G$4,0),FALSE),0)</f>
        <v>0</v>
      </c>
      <c r="H121" s="27">
        <f>IFERROR(VLOOKUP($B121,'Pivot '!$A:$G,MATCH(H$6,'Pivot '!$A$4:$G$4,0),FALSE),0)</f>
        <v>0</v>
      </c>
      <c r="I121" s="27">
        <f t="shared" si="11"/>
        <v>1</v>
      </c>
    </row>
    <row r="122" spans="2:9" x14ac:dyDescent="0.2">
      <c r="B122" s="29" t="s">
        <v>149</v>
      </c>
      <c r="C122" s="29"/>
      <c r="D122" s="27">
        <f>IFERROR(VLOOKUP($B122,'Pivot '!$A:$G,MATCH(D$6,'Pivot '!$A$4:$G$4,0),FALSE),0)</f>
        <v>0</v>
      </c>
      <c r="E122" s="27">
        <f>IFERROR(VLOOKUP($B122,'Pivot '!$A:$G,MATCH(E$6,'Pivot '!$A$4:$G$4,0),FALSE),0)</f>
        <v>3</v>
      </c>
      <c r="F122" s="27">
        <f>IFERROR(VLOOKUP($B122,'Pivot '!$A:$G,MATCH(F$6,'Pivot '!$A$4:$G$4,0),FALSE),0)</f>
        <v>1</v>
      </c>
      <c r="G122" s="27">
        <f>IFERROR(VLOOKUP($B122,'Pivot '!$A:$G,MATCH(G$6,'Pivot '!$A$4:$G$4,0),FALSE),0)</f>
        <v>0</v>
      </c>
      <c r="H122" s="27">
        <f>IFERROR(VLOOKUP($B122,'Pivot '!$A:$G,MATCH(H$6,'Pivot '!$A$4:$G$4,0),FALSE),0)</f>
        <v>0</v>
      </c>
      <c r="I122" s="27">
        <f t="shared" si="11"/>
        <v>4</v>
      </c>
    </row>
    <row r="123" spans="2:9" x14ac:dyDescent="0.2">
      <c r="B123" s="29" t="s">
        <v>135</v>
      </c>
      <c r="C123" s="29"/>
      <c r="D123" s="27">
        <f>IFERROR(VLOOKUP($B123,'Pivot '!$A:$G,MATCH(D$6,'Pivot '!$A$4:$G$4,0),FALSE),0)</f>
        <v>0</v>
      </c>
      <c r="E123" s="27">
        <f>IFERROR(VLOOKUP($B123,'Pivot '!$A:$G,MATCH(E$6,'Pivot '!$A$4:$G$4,0),FALSE),0)</f>
        <v>2</v>
      </c>
      <c r="F123" s="27">
        <f>IFERROR(VLOOKUP($B123,'Pivot '!$A:$G,MATCH(F$6,'Pivot '!$A$4:$G$4,0),FALSE),0)</f>
        <v>1</v>
      </c>
      <c r="G123" s="27">
        <f>IFERROR(VLOOKUP($B123,'Pivot '!$A:$G,MATCH(G$6,'Pivot '!$A$4:$G$4,0),FALSE),0)</f>
        <v>0</v>
      </c>
      <c r="H123" s="27">
        <f>IFERROR(VLOOKUP($B123,'Pivot '!$A:$G,MATCH(H$6,'Pivot '!$A$4:$G$4,0),FALSE),0)</f>
        <v>0</v>
      </c>
      <c r="I123" s="27">
        <f t="shared" si="11"/>
        <v>3</v>
      </c>
    </row>
    <row r="124" spans="2:9" x14ac:dyDescent="0.2">
      <c r="B124" s="29" t="s">
        <v>147</v>
      </c>
      <c r="C124" s="29"/>
      <c r="D124" s="27">
        <f>IFERROR(VLOOKUP($B124,'Pivot '!$A:$G,MATCH(D$6,'Pivot '!$A$4:$G$4,0),FALSE),0)</f>
        <v>0</v>
      </c>
      <c r="E124" s="27">
        <f>IFERROR(VLOOKUP($B124,'Pivot '!$A:$G,MATCH(E$6,'Pivot '!$A$4:$G$4,0),FALSE),0)</f>
        <v>0</v>
      </c>
      <c r="F124" s="27">
        <f>IFERROR(VLOOKUP($B124,'Pivot '!$A:$G,MATCH(F$6,'Pivot '!$A$4:$G$4,0),FALSE),0)</f>
        <v>0</v>
      </c>
      <c r="G124" s="27">
        <f>IFERROR(VLOOKUP($B124,'Pivot '!$A:$G,MATCH(G$6,'Pivot '!$A$4:$G$4,0),FALSE),0)</f>
        <v>2</v>
      </c>
      <c r="H124" s="27">
        <f>IFERROR(VLOOKUP($B124,'Pivot '!$A:$G,MATCH(H$6,'Pivot '!$A$4:$G$4,0),FALSE),0)</f>
        <v>0</v>
      </c>
      <c r="I124" s="27">
        <f t="shared" si="11"/>
        <v>2</v>
      </c>
    </row>
    <row r="125" spans="2:9" x14ac:dyDescent="0.2">
      <c r="B125" s="29" t="s">
        <v>138</v>
      </c>
      <c r="C125" s="29"/>
      <c r="D125" s="27">
        <f>IFERROR(VLOOKUP($B125,'Pivot '!$A:$G,MATCH(D$6,'Pivot '!$A$4:$G$4,0),FALSE),0)</f>
        <v>1</v>
      </c>
      <c r="E125" s="27">
        <f>IFERROR(VLOOKUP($B125,'Pivot '!$A:$G,MATCH(E$6,'Pivot '!$A$4:$G$4,0),FALSE),0)</f>
        <v>3</v>
      </c>
      <c r="F125" s="27">
        <f>IFERROR(VLOOKUP($B125,'Pivot '!$A:$G,MATCH(F$6,'Pivot '!$A$4:$G$4,0),FALSE),0)</f>
        <v>2</v>
      </c>
      <c r="G125" s="27">
        <f>IFERROR(VLOOKUP($B125,'Pivot '!$A:$G,MATCH(G$6,'Pivot '!$A$4:$G$4,0),FALSE),0)</f>
        <v>0</v>
      </c>
      <c r="H125" s="27">
        <f>IFERROR(VLOOKUP($B125,'Pivot '!$A:$G,MATCH(H$6,'Pivot '!$A$4:$G$4,0),FALSE),0)</f>
        <v>0</v>
      </c>
      <c r="I125" s="27">
        <f t="shared" si="11"/>
        <v>6</v>
      </c>
    </row>
    <row r="126" spans="2:9" x14ac:dyDescent="0.2">
      <c r="B126" s="29" t="s">
        <v>150</v>
      </c>
      <c r="C126" s="29"/>
      <c r="D126" s="27">
        <f>IFERROR(VLOOKUP($B126,'Pivot '!$A:$G,MATCH(D$6,'Pivot '!$A$4:$G$4,0),FALSE),0)</f>
        <v>0</v>
      </c>
      <c r="E126" s="27">
        <f>IFERROR(VLOOKUP($B126,'Pivot '!$A:$G,MATCH(E$6,'Pivot '!$A$4:$G$4,0),FALSE),0)</f>
        <v>3</v>
      </c>
      <c r="F126" s="27">
        <f>IFERROR(VLOOKUP($B126,'Pivot '!$A:$G,MATCH(F$6,'Pivot '!$A$4:$G$4,0),FALSE),0)</f>
        <v>0</v>
      </c>
      <c r="G126" s="27">
        <f>IFERROR(VLOOKUP($B126,'Pivot '!$A:$G,MATCH(G$6,'Pivot '!$A$4:$G$4,0),FALSE),0)</f>
        <v>0</v>
      </c>
      <c r="H126" s="27">
        <f>IFERROR(VLOOKUP($B126,'Pivot '!$A:$G,MATCH(H$6,'Pivot '!$A$4:$G$4,0),FALSE),0)</f>
        <v>0</v>
      </c>
      <c r="I126" s="27">
        <f t="shared" si="11"/>
        <v>3</v>
      </c>
    </row>
    <row r="127" spans="2:9" x14ac:dyDescent="0.2">
      <c r="B127" s="29" t="s">
        <v>134</v>
      </c>
      <c r="C127" s="29"/>
      <c r="D127" s="27">
        <f>IFERROR(VLOOKUP($B127,'Pivot '!$A:$G,MATCH(D$6,'Pivot '!$A$4:$G$4,0),FALSE),0)</f>
        <v>0</v>
      </c>
      <c r="E127" s="27">
        <f>IFERROR(VLOOKUP($B127,'Pivot '!$A:$G,MATCH(E$6,'Pivot '!$A$4:$G$4,0),FALSE),0)</f>
        <v>4</v>
      </c>
      <c r="F127" s="27">
        <f>IFERROR(VLOOKUP($B127,'Pivot '!$A:$G,MATCH(F$6,'Pivot '!$A$4:$G$4,0),FALSE),0)</f>
        <v>0</v>
      </c>
      <c r="G127" s="27">
        <f>IFERROR(VLOOKUP($B127,'Pivot '!$A:$G,MATCH(G$6,'Pivot '!$A$4:$G$4,0),FALSE),0)</f>
        <v>0</v>
      </c>
      <c r="H127" s="27">
        <f>IFERROR(VLOOKUP($B127,'Pivot '!$A:$G,MATCH(H$6,'Pivot '!$A$4:$G$4,0),FALSE),0)</f>
        <v>0</v>
      </c>
      <c r="I127" s="27">
        <f t="shared" si="11"/>
        <v>4</v>
      </c>
    </row>
    <row r="128" spans="2:9" x14ac:dyDescent="0.2">
      <c r="B128" s="29" t="s">
        <v>148</v>
      </c>
      <c r="C128" s="29"/>
      <c r="D128" s="27">
        <f>IFERROR(VLOOKUP($B128,'Pivot '!$A:$G,MATCH(D$6,'Pivot '!$A$4:$G$4,0),FALSE),0)</f>
        <v>0</v>
      </c>
      <c r="E128" s="27">
        <f>IFERROR(VLOOKUP($B128,'Pivot '!$A:$G,MATCH(E$6,'Pivot '!$A$4:$G$4,0),FALSE),0)</f>
        <v>3</v>
      </c>
      <c r="F128" s="27">
        <f>IFERROR(VLOOKUP($B128,'Pivot '!$A:$G,MATCH(F$6,'Pivot '!$A$4:$G$4,0),FALSE),0)</f>
        <v>3</v>
      </c>
      <c r="G128" s="27">
        <f>IFERROR(VLOOKUP($B128,'Pivot '!$A:$G,MATCH(G$6,'Pivot '!$A$4:$G$4,0),FALSE),0)</f>
        <v>0</v>
      </c>
      <c r="H128" s="27">
        <f>IFERROR(VLOOKUP($B128,'Pivot '!$A:$G,MATCH(H$6,'Pivot '!$A$4:$G$4,0),FALSE),0)</f>
        <v>0</v>
      </c>
      <c r="I128" s="27">
        <f t="shared" si="11"/>
        <v>6</v>
      </c>
    </row>
    <row r="129" spans="2:9" x14ac:dyDescent="0.2">
      <c r="B129" s="29" t="s">
        <v>152</v>
      </c>
      <c r="C129" s="29"/>
      <c r="D129" s="27">
        <f>IFERROR(VLOOKUP($B129,'Pivot '!$A:$G,MATCH(D$6,'Pivot '!$A$4:$G$4,0),FALSE),0)</f>
        <v>0</v>
      </c>
      <c r="E129" s="27">
        <f>IFERROR(VLOOKUP($B129,'Pivot '!$A:$G,MATCH(E$6,'Pivot '!$A$4:$G$4,0),FALSE),0)</f>
        <v>1</v>
      </c>
      <c r="F129" s="27">
        <f>IFERROR(VLOOKUP($B129,'Pivot '!$A:$G,MATCH(F$6,'Pivot '!$A$4:$G$4,0),FALSE),0)</f>
        <v>1</v>
      </c>
      <c r="G129" s="27">
        <f>IFERROR(VLOOKUP($B129,'Pivot '!$A:$G,MATCH(G$6,'Pivot '!$A$4:$G$4,0),FALSE),0)</f>
        <v>1</v>
      </c>
      <c r="H129" s="27">
        <f>IFERROR(VLOOKUP($B129,'Pivot '!$A:$G,MATCH(H$6,'Pivot '!$A$4:$G$4,0),FALSE),0)</f>
        <v>0</v>
      </c>
      <c r="I129" s="27">
        <f t="shared" si="11"/>
        <v>3</v>
      </c>
    </row>
    <row r="130" spans="2:9" x14ac:dyDescent="0.2">
      <c r="B130" s="29" t="s">
        <v>141</v>
      </c>
      <c r="C130" s="29"/>
      <c r="D130" s="27">
        <f>IFERROR(VLOOKUP($B130,'Pivot '!$A:$G,MATCH(D$6,'Pivot '!$A$4:$G$4,0),FALSE),0)</f>
        <v>1</v>
      </c>
      <c r="E130" s="27">
        <f>IFERROR(VLOOKUP($B130,'Pivot '!$A:$G,MATCH(E$6,'Pivot '!$A$4:$G$4,0),FALSE),0)</f>
        <v>3</v>
      </c>
      <c r="F130" s="27">
        <f>IFERROR(VLOOKUP($B130,'Pivot '!$A:$G,MATCH(F$6,'Pivot '!$A$4:$G$4,0),FALSE),0)</f>
        <v>3</v>
      </c>
      <c r="G130" s="27">
        <f>IFERROR(VLOOKUP($B130,'Pivot '!$A:$G,MATCH(G$6,'Pivot '!$A$4:$G$4,0),FALSE),0)</f>
        <v>1</v>
      </c>
      <c r="H130" s="27">
        <f>IFERROR(VLOOKUP($B130,'Pivot '!$A:$G,MATCH(H$6,'Pivot '!$A$4:$G$4,0),FALSE),0)</f>
        <v>0</v>
      </c>
      <c r="I130" s="27">
        <f t="shared" si="11"/>
        <v>8</v>
      </c>
    </row>
    <row r="131" spans="2:9" x14ac:dyDescent="0.2">
      <c r="B131" s="29" t="s">
        <v>143</v>
      </c>
      <c r="C131" s="29"/>
      <c r="D131" s="27">
        <f>IFERROR(VLOOKUP($B131,'Pivot '!$A:$G,MATCH(D$6,'Pivot '!$A$4:$G$4,0),FALSE),0)</f>
        <v>0</v>
      </c>
      <c r="E131" s="27">
        <f>IFERROR(VLOOKUP($B131,'Pivot '!$A:$G,MATCH(E$6,'Pivot '!$A$4:$G$4,0),FALSE),0)</f>
        <v>4</v>
      </c>
      <c r="F131" s="27">
        <f>IFERROR(VLOOKUP($B131,'Pivot '!$A:$G,MATCH(F$6,'Pivot '!$A$4:$G$4,0),FALSE),0)</f>
        <v>1</v>
      </c>
      <c r="G131" s="27">
        <f>IFERROR(VLOOKUP($B131,'Pivot '!$A:$G,MATCH(G$6,'Pivot '!$A$4:$G$4,0),FALSE),0)</f>
        <v>1</v>
      </c>
      <c r="H131" s="27">
        <f>IFERROR(VLOOKUP($B131,'Pivot '!$A:$G,MATCH(H$6,'Pivot '!$A$4:$G$4,0),FALSE),0)</f>
        <v>0</v>
      </c>
      <c r="I131" s="27">
        <f t="shared" si="11"/>
        <v>6</v>
      </c>
    </row>
    <row r="132" spans="2:9" x14ac:dyDescent="0.2">
      <c r="B132" s="29" t="s">
        <v>151</v>
      </c>
      <c r="C132" s="29"/>
      <c r="D132" s="27">
        <f>IFERROR(VLOOKUP($B132,'Pivot '!$A:$G,MATCH(D$6,'Pivot '!$A$4:$G$4,0),FALSE),0)</f>
        <v>1</v>
      </c>
      <c r="E132" s="27">
        <f>IFERROR(VLOOKUP($B132,'Pivot '!$A:$G,MATCH(E$6,'Pivot '!$A$4:$G$4,0),FALSE),0)</f>
        <v>1</v>
      </c>
      <c r="F132" s="27">
        <f>IFERROR(VLOOKUP($B132,'Pivot '!$A:$G,MATCH(F$6,'Pivot '!$A$4:$G$4,0),FALSE),0)</f>
        <v>0</v>
      </c>
      <c r="G132" s="27">
        <f>IFERROR(VLOOKUP($B132,'Pivot '!$A:$G,MATCH(G$6,'Pivot '!$A$4:$G$4,0),FALSE),0)</f>
        <v>0</v>
      </c>
      <c r="H132" s="27">
        <f>IFERROR(VLOOKUP($B132,'Pivot '!$A:$G,MATCH(H$6,'Pivot '!$A$4:$G$4,0),FALSE),0)</f>
        <v>2</v>
      </c>
      <c r="I132" s="27">
        <f t="shared" si="11"/>
        <v>4</v>
      </c>
    </row>
    <row r="133" spans="2:9" x14ac:dyDescent="0.2">
      <c r="B133" s="29" t="s">
        <v>153</v>
      </c>
      <c r="C133" s="29"/>
      <c r="D133" s="27">
        <f>IFERROR(VLOOKUP($B133,'Pivot '!$A:$G,MATCH(D$6,'Pivot '!$A$4:$G$4,0),FALSE),0)</f>
        <v>0</v>
      </c>
      <c r="E133" s="27">
        <f>IFERROR(VLOOKUP($B133,'Pivot '!$A:$G,MATCH(E$6,'Pivot '!$A$4:$G$4,0),FALSE),0)</f>
        <v>2</v>
      </c>
      <c r="F133" s="27">
        <f>IFERROR(VLOOKUP($B133,'Pivot '!$A:$G,MATCH(F$6,'Pivot '!$A$4:$G$4,0),FALSE),0)</f>
        <v>0</v>
      </c>
      <c r="G133" s="27">
        <f>IFERROR(VLOOKUP($B133,'Pivot '!$A:$G,MATCH(G$6,'Pivot '!$A$4:$G$4,0),FALSE),0)</f>
        <v>0</v>
      </c>
      <c r="H133" s="27">
        <f>IFERROR(VLOOKUP($B133,'Pivot '!$A:$G,MATCH(H$6,'Pivot '!$A$4:$G$4,0),FALSE),0)</f>
        <v>0</v>
      </c>
      <c r="I133" s="27">
        <f t="shared" si="11"/>
        <v>2</v>
      </c>
    </row>
    <row r="134" spans="2:9" x14ac:dyDescent="0.2">
      <c r="B134" s="17" t="s">
        <v>192</v>
      </c>
      <c r="C134" s="17"/>
      <c r="D134" s="25">
        <f>SUM(D135:D153)</f>
        <v>0</v>
      </c>
      <c r="E134" s="25">
        <f t="shared" ref="E134:I134" si="14">SUM(E135:E153)</f>
        <v>118</v>
      </c>
      <c r="F134" s="25">
        <f t="shared" si="14"/>
        <v>29</v>
      </c>
      <c r="G134" s="25">
        <f t="shared" si="14"/>
        <v>4</v>
      </c>
      <c r="H134" s="25">
        <f t="shared" si="14"/>
        <v>1</v>
      </c>
      <c r="I134" s="25">
        <f t="shared" si="14"/>
        <v>152</v>
      </c>
    </row>
    <row r="135" spans="2:9" x14ac:dyDescent="0.2">
      <c r="B135" s="29" t="s">
        <v>197</v>
      </c>
      <c r="C135" s="29"/>
      <c r="D135" s="27">
        <f>IFERROR(VLOOKUP($B135,'Pivot '!$A:$G,MATCH(D$6,'Pivot '!$A$4:$G$4,0),FALSE),0)</f>
        <v>0</v>
      </c>
      <c r="E135" s="27">
        <f>IFERROR(VLOOKUP($B135,'Pivot '!$A:$G,MATCH(E$6,'Pivot '!$A$4:$G$4,0),FALSE),0)</f>
        <v>2</v>
      </c>
      <c r="F135" s="27">
        <f>IFERROR(VLOOKUP($B135,'Pivot '!$A:$G,MATCH(F$6,'Pivot '!$A$4:$G$4,0),FALSE),0)</f>
        <v>0</v>
      </c>
      <c r="G135" s="27">
        <f>IFERROR(VLOOKUP($B135,'Pivot '!$A:$G,MATCH(G$6,'Pivot '!$A$4:$G$4,0),FALSE),0)</f>
        <v>0</v>
      </c>
      <c r="H135" s="27">
        <f>IFERROR(VLOOKUP($B135,'Pivot '!$A:$G,MATCH(H$6,'Pivot '!$A$4:$G$4,0),FALSE),0)</f>
        <v>0</v>
      </c>
      <c r="I135" s="27">
        <f t="shared" si="11"/>
        <v>2</v>
      </c>
    </row>
    <row r="136" spans="2:9" x14ac:dyDescent="0.2">
      <c r="B136" s="29" t="s">
        <v>204</v>
      </c>
      <c r="C136" s="29"/>
      <c r="D136" s="27">
        <f>IFERROR(VLOOKUP($B136,'Pivot '!$A:$G,MATCH(D$6,'Pivot '!$A$4:$G$4,0),FALSE),0)</f>
        <v>0</v>
      </c>
      <c r="E136" s="27">
        <f>IFERROR(VLOOKUP($B136,'Pivot '!$A:$G,MATCH(E$6,'Pivot '!$A$4:$G$4,0),FALSE),0)</f>
        <v>4</v>
      </c>
      <c r="F136" s="27">
        <f>IFERROR(VLOOKUP($B136,'Pivot '!$A:$G,MATCH(F$6,'Pivot '!$A$4:$G$4,0),FALSE),0)</f>
        <v>0</v>
      </c>
      <c r="G136" s="27">
        <f>IFERROR(VLOOKUP($B136,'Pivot '!$A:$G,MATCH(G$6,'Pivot '!$A$4:$G$4,0),FALSE),0)</f>
        <v>0</v>
      </c>
      <c r="H136" s="27">
        <f>IFERROR(VLOOKUP($B136,'Pivot '!$A:$G,MATCH(H$6,'Pivot '!$A$4:$G$4,0),FALSE),0)</f>
        <v>0</v>
      </c>
      <c r="I136" s="27">
        <f t="shared" si="11"/>
        <v>4</v>
      </c>
    </row>
    <row r="137" spans="2:9" x14ac:dyDescent="0.2">
      <c r="B137" s="29" t="s">
        <v>207</v>
      </c>
      <c r="C137" s="29"/>
      <c r="D137" s="27">
        <f>IFERROR(VLOOKUP($B137,'Pivot '!$A:$G,MATCH(D$6,'Pivot '!$A$4:$G$4,0),FALSE),0)</f>
        <v>0</v>
      </c>
      <c r="E137" s="27">
        <f>IFERROR(VLOOKUP($B137,'Pivot '!$A:$G,MATCH(E$6,'Pivot '!$A$4:$G$4,0),FALSE),0)</f>
        <v>1</v>
      </c>
      <c r="F137" s="27">
        <f>IFERROR(VLOOKUP($B137,'Pivot '!$A:$G,MATCH(F$6,'Pivot '!$A$4:$G$4,0),FALSE),0)</f>
        <v>1</v>
      </c>
      <c r="G137" s="27">
        <f>IFERROR(VLOOKUP($B137,'Pivot '!$A:$G,MATCH(G$6,'Pivot '!$A$4:$G$4,0),FALSE),0)</f>
        <v>0</v>
      </c>
      <c r="H137" s="27">
        <f>IFERROR(VLOOKUP($B137,'Pivot '!$A:$G,MATCH(H$6,'Pivot '!$A$4:$G$4,0),FALSE),0)</f>
        <v>0</v>
      </c>
      <c r="I137" s="27">
        <f t="shared" ref="I137:I153" si="15">SUM(D137:H137)</f>
        <v>2</v>
      </c>
    </row>
    <row r="138" spans="2:9" x14ac:dyDescent="0.2">
      <c r="B138" s="29" t="s">
        <v>203</v>
      </c>
      <c r="C138" s="29"/>
      <c r="D138" s="27">
        <f>IFERROR(VLOOKUP($B138,'Pivot '!$A:$G,MATCH(D$6,'Pivot '!$A$4:$G$4,0),FALSE),0)</f>
        <v>0</v>
      </c>
      <c r="E138" s="27">
        <f>IFERROR(VLOOKUP($B138,'Pivot '!$A:$G,MATCH(E$6,'Pivot '!$A$4:$G$4,0),FALSE),0)</f>
        <v>9</v>
      </c>
      <c r="F138" s="27">
        <f>IFERROR(VLOOKUP($B138,'Pivot '!$A:$G,MATCH(F$6,'Pivot '!$A$4:$G$4,0),FALSE),0)</f>
        <v>1</v>
      </c>
      <c r="G138" s="27">
        <f>IFERROR(VLOOKUP($B138,'Pivot '!$A:$G,MATCH(G$6,'Pivot '!$A$4:$G$4,0),FALSE),0)</f>
        <v>2</v>
      </c>
      <c r="H138" s="27">
        <f>IFERROR(VLOOKUP($B138,'Pivot '!$A:$G,MATCH(H$6,'Pivot '!$A$4:$G$4,0),FALSE),0)</f>
        <v>0</v>
      </c>
      <c r="I138" s="27">
        <f t="shared" si="15"/>
        <v>12</v>
      </c>
    </row>
    <row r="139" spans="2:9" x14ac:dyDescent="0.2">
      <c r="B139" s="29" t="s">
        <v>193</v>
      </c>
      <c r="C139" s="29"/>
      <c r="D139" s="27">
        <f>IFERROR(VLOOKUP($B139,'Pivot '!$A:$G,MATCH(D$6,'Pivot '!$A$4:$G$4,0),FALSE),0)</f>
        <v>0</v>
      </c>
      <c r="E139" s="27">
        <f>IFERROR(VLOOKUP($B139,'Pivot '!$A:$G,MATCH(E$6,'Pivot '!$A$4:$G$4,0),FALSE),0)</f>
        <v>25</v>
      </c>
      <c r="F139" s="27">
        <f>IFERROR(VLOOKUP($B139,'Pivot '!$A:$G,MATCH(F$6,'Pivot '!$A$4:$G$4,0),FALSE),0)</f>
        <v>6</v>
      </c>
      <c r="G139" s="27">
        <f>IFERROR(VLOOKUP($B139,'Pivot '!$A:$G,MATCH(G$6,'Pivot '!$A$4:$G$4,0),FALSE),0)</f>
        <v>1</v>
      </c>
      <c r="H139" s="27">
        <f>IFERROR(VLOOKUP($B139,'Pivot '!$A:$G,MATCH(H$6,'Pivot '!$A$4:$G$4,0),FALSE),0)</f>
        <v>0</v>
      </c>
      <c r="I139" s="27">
        <f t="shared" si="15"/>
        <v>32</v>
      </c>
    </row>
    <row r="140" spans="2:9" x14ac:dyDescent="0.2">
      <c r="B140" s="29" t="s">
        <v>205</v>
      </c>
      <c r="C140" s="29"/>
      <c r="D140" s="27">
        <f>IFERROR(VLOOKUP($B140,'Pivot '!$A:$G,MATCH(D$6,'Pivot '!$A$4:$G$4,0),FALSE),0)</f>
        <v>0</v>
      </c>
      <c r="E140" s="27">
        <f>IFERROR(VLOOKUP($B140,'Pivot '!$A:$G,MATCH(E$6,'Pivot '!$A$4:$G$4,0),FALSE),0)</f>
        <v>1</v>
      </c>
      <c r="F140" s="27">
        <f>IFERROR(VLOOKUP($B140,'Pivot '!$A:$G,MATCH(F$6,'Pivot '!$A$4:$G$4,0),FALSE),0)</f>
        <v>3</v>
      </c>
      <c r="G140" s="27">
        <f>IFERROR(VLOOKUP($B140,'Pivot '!$A:$G,MATCH(G$6,'Pivot '!$A$4:$G$4,0),FALSE),0)</f>
        <v>0</v>
      </c>
      <c r="H140" s="27">
        <f>IFERROR(VLOOKUP($B140,'Pivot '!$A:$G,MATCH(H$6,'Pivot '!$A$4:$G$4,0),FALSE),0)</f>
        <v>0</v>
      </c>
      <c r="I140" s="27">
        <f t="shared" si="15"/>
        <v>4</v>
      </c>
    </row>
    <row r="141" spans="2:9" x14ac:dyDescent="0.2">
      <c r="B141" s="29" t="s">
        <v>194</v>
      </c>
      <c r="C141" s="29"/>
      <c r="D141" s="27">
        <f>IFERROR(VLOOKUP($B141,'Pivot '!$A:$G,MATCH(D$6,'Pivot '!$A$4:$G$4,0),FALSE),0)</f>
        <v>0</v>
      </c>
      <c r="E141" s="27">
        <f>IFERROR(VLOOKUP($B141,'Pivot '!$A:$G,MATCH(E$6,'Pivot '!$A$4:$G$4,0),FALSE),0)</f>
        <v>30</v>
      </c>
      <c r="F141" s="27">
        <f>IFERROR(VLOOKUP($B141,'Pivot '!$A:$G,MATCH(F$6,'Pivot '!$A$4:$G$4,0),FALSE),0)</f>
        <v>6</v>
      </c>
      <c r="G141" s="27">
        <f>IFERROR(VLOOKUP($B141,'Pivot '!$A:$G,MATCH(G$6,'Pivot '!$A$4:$G$4,0),FALSE),0)</f>
        <v>0</v>
      </c>
      <c r="H141" s="27">
        <f>IFERROR(VLOOKUP($B141,'Pivot '!$A:$G,MATCH(H$6,'Pivot '!$A$4:$G$4,0),FALSE),0)</f>
        <v>0</v>
      </c>
      <c r="I141" s="27">
        <f t="shared" si="15"/>
        <v>36</v>
      </c>
    </row>
    <row r="142" spans="2:9" x14ac:dyDescent="0.2">
      <c r="B142" s="29" t="s">
        <v>195</v>
      </c>
      <c r="C142" s="29"/>
      <c r="D142" s="27">
        <f>IFERROR(VLOOKUP($B142,'Pivot '!$A:$G,MATCH(D$6,'Pivot '!$A$4:$G$4,0),FALSE),0)</f>
        <v>0</v>
      </c>
      <c r="E142" s="27">
        <f>IFERROR(VLOOKUP($B142,'Pivot '!$A:$G,MATCH(E$6,'Pivot '!$A$4:$G$4,0),FALSE),0)</f>
        <v>2</v>
      </c>
      <c r="F142" s="27">
        <f>IFERROR(VLOOKUP($B142,'Pivot '!$A:$G,MATCH(F$6,'Pivot '!$A$4:$G$4,0),FALSE),0)</f>
        <v>0</v>
      </c>
      <c r="G142" s="27">
        <f>IFERROR(VLOOKUP($B142,'Pivot '!$A:$G,MATCH(G$6,'Pivot '!$A$4:$G$4,0),FALSE),0)</f>
        <v>0</v>
      </c>
      <c r="H142" s="27">
        <f>IFERROR(VLOOKUP($B142,'Pivot '!$A:$G,MATCH(H$6,'Pivot '!$A$4:$G$4,0),FALSE),0)</f>
        <v>0</v>
      </c>
      <c r="I142" s="27">
        <f t="shared" si="15"/>
        <v>2</v>
      </c>
    </row>
    <row r="143" spans="2:9" x14ac:dyDescent="0.2">
      <c r="B143" s="29" t="s">
        <v>209</v>
      </c>
      <c r="C143" s="29"/>
      <c r="D143" s="27">
        <f>IFERROR(VLOOKUP($B143,'Pivot '!$A:$G,MATCH(D$6,'Pivot '!$A$4:$G$4,0),FALSE),0)</f>
        <v>0</v>
      </c>
      <c r="E143" s="27">
        <f>IFERROR(VLOOKUP($B143,'Pivot '!$A:$G,MATCH(E$6,'Pivot '!$A$4:$G$4,0),FALSE),0)</f>
        <v>3</v>
      </c>
      <c r="F143" s="27">
        <f>IFERROR(VLOOKUP($B143,'Pivot '!$A:$G,MATCH(F$6,'Pivot '!$A$4:$G$4,0),FALSE),0)</f>
        <v>1</v>
      </c>
      <c r="G143" s="27">
        <f>IFERROR(VLOOKUP($B143,'Pivot '!$A:$G,MATCH(G$6,'Pivot '!$A$4:$G$4,0),FALSE),0)</f>
        <v>0</v>
      </c>
      <c r="H143" s="27">
        <f>IFERROR(VLOOKUP($B143,'Pivot '!$A:$G,MATCH(H$6,'Pivot '!$A$4:$G$4,0),FALSE),0)</f>
        <v>0</v>
      </c>
      <c r="I143" s="27">
        <f t="shared" si="15"/>
        <v>4</v>
      </c>
    </row>
    <row r="144" spans="2:9" x14ac:dyDescent="0.2">
      <c r="B144" s="29" t="s">
        <v>210</v>
      </c>
      <c r="C144" s="29"/>
      <c r="D144" s="27">
        <f>IFERROR(VLOOKUP($B144,'Pivot '!$A:$G,MATCH(D$6,'Pivot '!$A$4:$G$4,0),FALSE),0)</f>
        <v>0</v>
      </c>
      <c r="E144" s="27">
        <f>IFERROR(VLOOKUP($B144,'Pivot '!$A:$G,MATCH(E$6,'Pivot '!$A$4:$G$4,0),FALSE),0)</f>
        <v>1</v>
      </c>
      <c r="F144" s="27">
        <f>IFERROR(VLOOKUP($B144,'Pivot '!$A:$G,MATCH(F$6,'Pivot '!$A$4:$G$4,0),FALSE),0)</f>
        <v>1</v>
      </c>
      <c r="G144" s="27">
        <f>IFERROR(VLOOKUP($B144,'Pivot '!$A:$G,MATCH(G$6,'Pivot '!$A$4:$G$4,0),FALSE),0)</f>
        <v>0</v>
      </c>
      <c r="H144" s="27">
        <f>IFERROR(VLOOKUP($B144,'Pivot '!$A:$G,MATCH(H$6,'Pivot '!$A$4:$G$4,0),FALSE),0)</f>
        <v>0</v>
      </c>
      <c r="I144" s="27">
        <f t="shared" si="15"/>
        <v>2</v>
      </c>
    </row>
    <row r="145" spans="2:9" x14ac:dyDescent="0.2">
      <c r="B145" s="29" t="s">
        <v>196</v>
      </c>
      <c r="C145" s="29"/>
      <c r="D145" s="27">
        <f>IFERROR(VLOOKUP($B145,'Pivot '!$A:$G,MATCH(D$6,'Pivot '!$A$4:$G$4,0),FALSE),0)</f>
        <v>0</v>
      </c>
      <c r="E145" s="27">
        <f>IFERROR(VLOOKUP($B145,'Pivot '!$A:$G,MATCH(E$6,'Pivot '!$A$4:$G$4,0),FALSE),0)</f>
        <v>6</v>
      </c>
      <c r="F145" s="27">
        <f>IFERROR(VLOOKUP($B145,'Pivot '!$A:$G,MATCH(F$6,'Pivot '!$A$4:$G$4,0),FALSE),0)</f>
        <v>2</v>
      </c>
      <c r="G145" s="27">
        <f>IFERROR(VLOOKUP($B145,'Pivot '!$A:$G,MATCH(G$6,'Pivot '!$A$4:$G$4,0),FALSE),0)</f>
        <v>0</v>
      </c>
      <c r="H145" s="27">
        <f>IFERROR(VLOOKUP($B145,'Pivot '!$A:$G,MATCH(H$6,'Pivot '!$A$4:$G$4,0),FALSE),0)</f>
        <v>0</v>
      </c>
      <c r="I145" s="27">
        <f t="shared" si="15"/>
        <v>8</v>
      </c>
    </row>
    <row r="146" spans="2:9" x14ac:dyDescent="0.2">
      <c r="B146" s="29" t="s">
        <v>206</v>
      </c>
      <c r="C146" s="29"/>
      <c r="D146" s="27">
        <f>IFERROR(VLOOKUP($B146,'Pivot '!$A:$G,MATCH(D$6,'Pivot '!$A$4:$G$4,0),FALSE),0)</f>
        <v>0</v>
      </c>
      <c r="E146" s="27">
        <f>IFERROR(VLOOKUP($B146,'Pivot '!$A:$G,MATCH(E$6,'Pivot '!$A$4:$G$4,0),FALSE),0)</f>
        <v>3</v>
      </c>
      <c r="F146" s="27">
        <f>IFERROR(VLOOKUP($B146,'Pivot '!$A:$G,MATCH(F$6,'Pivot '!$A$4:$G$4,0),FALSE),0)</f>
        <v>1</v>
      </c>
      <c r="G146" s="27">
        <f>IFERROR(VLOOKUP($B146,'Pivot '!$A:$G,MATCH(G$6,'Pivot '!$A$4:$G$4,0),FALSE),0)</f>
        <v>0</v>
      </c>
      <c r="H146" s="27">
        <f>IFERROR(VLOOKUP($B146,'Pivot '!$A:$G,MATCH(H$6,'Pivot '!$A$4:$G$4,0),FALSE),0)</f>
        <v>0</v>
      </c>
      <c r="I146" s="27">
        <f t="shared" si="15"/>
        <v>4</v>
      </c>
    </row>
    <row r="147" spans="2:9" x14ac:dyDescent="0.2">
      <c r="B147" s="29" t="s">
        <v>263</v>
      </c>
      <c r="C147" s="29"/>
      <c r="D147" s="27">
        <f>IFERROR(VLOOKUP($B147,'Pivot '!$A:$G,MATCH(D$6,'Pivot '!$A$4:$G$4,0),FALSE),0)</f>
        <v>0</v>
      </c>
      <c r="E147" s="27">
        <f>IFERROR(VLOOKUP($B147,'Pivot '!$A:$G,MATCH(E$6,'Pivot '!$A$4:$G$4,0),FALSE),0)</f>
        <v>0</v>
      </c>
      <c r="F147" s="27">
        <f>IFERROR(VLOOKUP($B147,'Pivot '!$A:$G,MATCH(F$6,'Pivot '!$A$4:$G$4,0),FALSE),0)</f>
        <v>0</v>
      </c>
      <c r="G147" s="27">
        <f>IFERROR(VLOOKUP($B147,'Pivot '!$A:$G,MATCH(G$6,'Pivot '!$A$4:$G$4,0),FALSE),0)</f>
        <v>0</v>
      </c>
      <c r="H147" s="27">
        <f>IFERROR(VLOOKUP($B147,'Pivot '!$A:$G,MATCH(H$6,'Pivot '!$A$4:$G$4,0),FALSE),0)</f>
        <v>0</v>
      </c>
      <c r="I147" s="27">
        <f t="shared" si="15"/>
        <v>0</v>
      </c>
    </row>
    <row r="148" spans="2:9" x14ac:dyDescent="0.2">
      <c r="B148" s="29" t="s">
        <v>202</v>
      </c>
      <c r="C148" s="29"/>
      <c r="D148" s="27">
        <f>IFERROR(VLOOKUP($B148,'Pivot '!$A:$G,MATCH(D$6,'Pivot '!$A$4:$G$4,0),FALSE),0)</f>
        <v>0</v>
      </c>
      <c r="E148" s="27">
        <f>IFERROR(VLOOKUP($B148,'Pivot '!$A:$G,MATCH(E$6,'Pivot '!$A$4:$G$4,0),FALSE),0)</f>
        <v>6</v>
      </c>
      <c r="F148" s="27">
        <f>IFERROR(VLOOKUP($B148,'Pivot '!$A:$G,MATCH(F$6,'Pivot '!$A$4:$G$4,0),FALSE),0)</f>
        <v>1</v>
      </c>
      <c r="G148" s="27">
        <f>IFERROR(VLOOKUP($B148,'Pivot '!$A:$G,MATCH(G$6,'Pivot '!$A$4:$G$4,0),FALSE),0)</f>
        <v>0</v>
      </c>
      <c r="H148" s="27">
        <f>IFERROR(VLOOKUP($B148,'Pivot '!$A:$G,MATCH(H$6,'Pivot '!$A$4:$G$4,0),FALSE),0)</f>
        <v>0</v>
      </c>
      <c r="I148" s="27">
        <f t="shared" si="15"/>
        <v>7</v>
      </c>
    </row>
    <row r="149" spans="2:9" x14ac:dyDescent="0.2">
      <c r="B149" s="29" t="s">
        <v>198</v>
      </c>
      <c r="C149" s="29"/>
      <c r="D149" s="27">
        <f>IFERROR(VLOOKUP($B149,'Pivot '!$A:$G,MATCH(D$6,'Pivot '!$A$4:$G$4,0),FALSE),0)</f>
        <v>0</v>
      </c>
      <c r="E149" s="27">
        <f>IFERROR(VLOOKUP($B149,'Pivot '!$A:$G,MATCH(E$6,'Pivot '!$A$4:$G$4,0),FALSE),0)</f>
        <v>11</v>
      </c>
      <c r="F149" s="27">
        <f>IFERROR(VLOOKUP($B149,'Pivot '!$A:$G,MATCH(F$6,'Pivot '!$A$4:$G$4,0),FALSE),0)</f>
        <v>2</v>
      </c>
      <c r="G149" s="27">
        <f>IFERROR(VLOOKUP($B149,'Pivot '!$A:$G,MATCH(G$6,'Pivot '!$A$4:$G$4,0),FALSE),0)</f>
        <v>1</v>
      </c>
      <c r="H149" s="27">
        <f>IFERROR(VLOOKUP($B149,'Pivot '!$A:$G,MATCH(H$6,'Pivot '!$A$4:$G$4,0),FALSE),0)</f>
        <v>0</v>
      </c>
      <c r="I149" s="27">
        <f t="shared" si="15"/>
        <v>14</v>
      </c>
    </row>
    <row r="150" spans="2:9" x14ac:dyDescent="0.2">
      <c r="B150" s="29" t="s">
        <v>199</v>
      </c>
      <c r="C150" s="29"/>
      <c r="D150" s="27">
        <f>IFERROR(VLOOKUP($B150,'Pivot '!$A:$G,MATCH(D$6,'Pivot '!$A$4:$G$4,0),FALSE),0)</f>
        <v>0</v>
      </c>
      <c r="E150" s="27">
        <f>IFERROR(VLOOKUP($B150,'Pivot '!$A:$G,MATCH(E$6,'Pivot '!$A$4:$G$4,0),FALSE),0)</f>
        <v>4</v>
      </c>
      <c r="F150" s="27">
        <f>IFERROR(VLOOKUP($B150,'Pivot '!$A:$G,MATCH(F$6,'Pivot '!$A$4:$G$4,0),FALSE),0)</f>
        <v>0</v>
      </c>
      <c r="G150" s="27">
        <f>IFERROR(VLOOKUP($B150,'Pivot '!$A:$G,MATCH(G$6,'Pivot '!$A$4:$G$4,0),FALSE),0)</f>
        <v>0</v>
      </c>
      <c r="H150" s="27">
        <f>IFERROR(VLOOKUP($B150,'Pivot '!$A:$G,MATCH(H$6,'Pivot '!$A$4:$G$4,0),FALSE),0)</f>
        <v>0</v>
      </c>
      <c r="I150" s="27">
        <f t="shared" si="15"/>
        <v>4</v>
      </c>
    </row>
    <row r="151" spans="2:9" x14ac:dyDescent="0.2">
      <c r="B151" s="29" t="s">
        <v>200</v>
      </c>
      <c r="C151" s="29"/>
      <c r="D151" s="27">
        <f>IFERROR(VLOOKUP($B151,'Pivot '!$A:$G,MATCH(D$6,'Pivot '!$A$4:$G$4,0),FALSE),0)</f>
        <v>0</v>
      </c>
      <c r="E151" s="27">
        <f>IFERROR(VLOOKUP($B151,'Pivot '!$A:$G,MATCH(E$6,'Pivot '!$A$4:$G$4,0),FALSE),0)</f>
        <v>9</v>
      </c>
      <c r="F151" s="27">
        <f>IFERROR(VLOOKUP($B151,'Pivot '!$A:$G,MATCH(F$6,'Pivot '!$A$4:$G$4,0),FALSE),0)</f>
        <v>3</v>
      </c>
      <c r="G151" s="27">
        <f>IFERROR(VLOOKUP($B151,'Pivot '!$A:$G,MATCH(G$6,'Pivot '!$A$4:$G$4,0),FALSE),0)</f>
        <v>0</v>
      </c>
      <c r="H151" s="27">
        <f>IFERROR(VLOOKUP($B151,'Pivot '!$A:$G,MATCH(H$6,'Pivot '!$A$4:$G$4,0),FALSE),0)</f>
        <v>1</v>
      </c>
      <c r="I151" s="27">
        <f t="shared" si="15"/>
        <v>13</v>
      </c>
    </row>
    <row r="152" spans="2:9" x14ac:dyDescent="0.2">
      <c r="B152" s="29" t="s">
        <v>208</v>
      </c>
      <c r="C152" s="29"/>
      <c r="D152" s="27">
        <f>IFERROR(VLOOKUP($B152,'Pivot '!$A:$G,MATCH(D$6,'Pivot '!$A$4:$G$4,0),FALSE),0)</f>
        <v>0</v>
      </c>
      <c r="E152" s="27">
        <f>IFERROR(VLOOKUP($B152,'Pivot '!$A:$G,MATCH(E$6,'Pivot '!$A$4:$G$4,0),FALSE),0)</f>
        <v>1</v>
      </c>
      <c r="F152" s="27">
        <f>IFERROR(VLOOKUP($B152,'Pivot '!$A:$G,MATCH(F$6,'Pivot '!$A$4:$G$4,0),FALSE),0)</f>
        <v>0</v>
      </c>
      <c r="G152" s="27">
        <f>IFERROR(VLOOKUP($B152,'Pivot '!$A:$G,MATCH(G$6,'Pivot '!$A$4:$G$4,0),FALSE),0)</f>
        <v>0</v>
      </c>
      <c r="H152" s="27">
        <f>IFERROR(VLOOKUP($B152,'Pivot '!$A:$G,MATCH(H$6,'Pivot '!$A$4:$G$4,0),FALSE),0)</f>
        <v>0</v>
      </c>
      <c r="I152" s="27">
        <f t="shared" si="15"/>
        <v>1</v>
      </c>
    </row>
    <row r="153" spans="2:9" x14ac:dyDescent="0.2">
      <c r="B153" s="29" t="s">
        <v>201</v>
      </c>
      <c r="C153" s="29"/>
      <c r="D153" s="27">
        <f>IFERROR(VLOOKUP($B153,'Pivot '!$A:$G,MATCH(D$6,'Pivot '!$A$4:$G$4,0),FALSE),0)</f>
        <v>0</v>
      </c>
      <c r="E153" s="27">
        <f>IFERROR(VLOOKUP($B153,'Pivot '!$A:$G,MATCH(E$6,'Pivot '!$A$4:$G$4,0),FALSE),0)</f>
        <v>0</v>
      </c>
      <c r="F153" s="27">
        <f>IFERROR(VLOOKUP($B153,'Pivot '!$A:$G,MATCH(F$6,'Pivot '!$A$4:$G$4,0),FALSE),0)</f>
        <v>1</v>
      </c>
      <c r="G153" s="27">
        <f>IFERROR(VLOOKUP($B153,'Pivot '!$A:$G,MATCH(G$6,'Pivot '!$A$4:$G$4,0),FALSE),0)</f>
        <v>0</v>
      </c>
      <c r="H153" s="27">
        <f>IFERROR(VLOOKUP($B153,'Pivot '!$A:$G,MATCH(H$6,'Pivot '!$A$4:$G$4,0),FALSE),0)</f>
        <v>0</v>
      </c>
      <c r="I153" s="27">
        <f t="shared" si="15"/>
        <v>1</v>
      </c>
    </row>
    <row r="154" spans="2:9" x14ac:dyDescent="0.2">
      <c r="B154" s="17" t="s">
        <v>211</v>
      </c>
      <c r="C154" s="17"/>
      <c r="D154" s="25">
        <f>SUM(D155:D169)</f>
        <v>3</v>
      </c>
      <c r="E154" s="25">
        <f t="shared" ref="E154:I154" si="16">SUM(E155:E169)</f>
        <v>118</v>
      </c>
      <c r="F154" s="25">
        <f t="shared" si="16"/>
        <v>19</v>
      </c>
      <c r="G154" s="25">
        <f t="shared" si="16"/>
        <v>7</v>
      </c>
      <c r="H154" s="25">
        <f t="shared" si="16"/>
        <v>1</v>
      </c>
      <c r="I154" s="25">
        <f t="shared" si="16"/>
        <v>148</v>
      </c>
    </row>
    <row r="155" spans="2:9" x14ac:dyDescent="0.2">
      <c r="B155" s="30" t="s">
        <v>221</v>
      </c>
      <c r="C155" s="30"/>
      <c r="D155" s="27">
        <f>IFERROR(VLOOKUP($B155,'Pivot '!$A:$G,MATCH(D$6,'Pivot '!$A$4:$G$4,0),FALSE),0)</f>
        <v>0</v>
      </c>
      <c r="E155" s="27">
        <f>IFERROR(VLOOKUP($B155,'Pivot '!$A:$G,MATCH(E$6,'Pivot '!$A$4:$G$4,0),FALSE),0)</f>
        <v>1</v>
      </c>
      <c r="F155" s="27">
        <f>IFERROR(VLOOKUP($B155,'Pivot '!$A:$G,MATCH(F$6,'Pivot '!$A$4:$G$4,0),FALSE),0)</f>
        <v>0</v>
      </c>
      <c r="G155" s="27">
        <f>IFERROR(VLOOKUP($B155,'Pivot '!$A:$G,MATCH(G$6,'Pivot '!$A$4:$G$4,0),FALSE),0)</f>
        <v>0</v>
      </c>
      <c r="H155" s="27">
        <f>IFERROR(VLOOKUP($B155,'Pivot '!$A:$G,MATCH(H$6,'Pivot '!$A$4:$G$4,0),FALSE),0)</f>
        <v>0</v>
      </c>
      <c r="I155" s="27">
        <f t="shared" ref="I155:I169" si="17">SUM(D155:H155)</f>
        <v>1</v>
      </c>
    </row>
    <row r="156" spans="2:9" x14ac:dyDescent="0.2">
      <c r="B156" s="30" t="s">
        <v>223</v>
      </c>
      <c r="C156" s="30"/>
      <c r="D156" s="27">
        <f>IFERROR(VLOOKUP($B156,'Pivot '!$A:$G,MATCH(D$6,'Pivot '!$A$4:$G$4,0),FALSE),0)</f>
        <v>0</v>
      </c>
      <c r="E156" s="27">
        <f>IFERROR(VLOOKUP($B156,'Pivot '!$A:$G,MATCH(E$6,'Pivot '!$A$4:$G$4,0),FALSE),0)</f>
        <v>2</v>
      </c>
      <c r="F156" s="27">
        <f>IFERROR(VLOOKUP($B156,'Pivot '!$A:$G,MATCH(F$6,'Pivot '!$A$4:$G$4,0),FALSE),0)</f>
        <v>3</v>
      </c>
      <c r="G156" s="27">
        <f>IFERROR(VLOOKUP($B156,'Pivot '!$A:$G,MATCH(G$6,'Pivot '!$A$4:$G$4,0),FALSE),0)</f>
        <v>0</v>
      </c>
      <c r="H156" s="27">
        <f>IFERROR(VLOOKUP($B156,'Pivot '!$A:$G,MATCH(H$6,'Pivot '!$A$4:$G$4,0),FALSE),0)</f>
        <v>0</v>
      </c>
      <c r="I156" s="27">
        <f t="shared" si="17"/>
        <v>5</v>
      </c>
    </row>
    <row r="157" spans="2:9" x14ac:dyDescent="0.2">
      <c r="B157" s="30" t="s">
        <v>212</v>
      </c>
      <c r="C157" s="30"/>
      <c r="D157" s="27">
        <f>IFERROR(VLOOKUP($B157,'Pivot '!$A:$G,MATCH(D$6,'Pivot '!$A$4:$G$4,0),FALSE),0)</f>
        <v>1</v>
      </c>
      <c r="E157" s="27">
        <f>IFERROR(VLOOKUP($B157,'Pivot '!$A:$G,MATCH(E$6,'Pivot '!$A$4:$G$4,0),FALSE),0)</f>
        <v>7</v>
      </c>
      <c r="F157" s="27">
        <f>IFERROR(VLOOKUP($B157,'Pivot '!$A:$G,MATCH(F$6,'Pivot '!$A$4:$G$4,0),FALSE),0)</f>
        <v>1</v>
      </c>
      <c r="G157" s="27">
        <f>IFERROR(VLOOKUP($B157,'Pivot '!$A:$G,MATCH(G$6,'Pivot '!$A$4:$G$4,0),FALSE),0)</f>
        <v>1</v>
      </c>
      <c r="H157" s="27">
        <f>IFERROR(VLOOKUP($B157,'Pivot '!$A:$G,MATCH(H$6,'Pivot '!$A$4:$G$4,0),FALSE),0)</f>
        <v>0</v>
      </c>
      <c r="I157" s="27">
        <f t="shared" si="17"/>
        <v>10</v>
      </c>
    </row>
    <row r="158" spans="2:9" x14ac:dyDescent="0.2">
      <c r="B158" s="30" t="s">
        <v>219</v>
      </c>
      <c r="C158" s="30"/>
      <c r="D158" s="27">
        <f>IFERROR(VLOOKUP($B158,'Pivot '!$A:$G,MATCH(D$6,'Pivot '!$A$4:$G$4,0),FALSE),0)</f>
        <v>0</v>
      </c>
      <c r="E158" s="27">
        <f>IFERROR(VLOOKUP($B158,'Pivot '!$A:$G,MATCH(E$6,'Pivot '!$A$4:$G$4,0),FALSE),0)</f>
        <v>12</v>
      </c>
      <c r="F158" s="27">
        <f>IFERROR(VLOOKUP($B158,'Pivot '!$A:$G,MATCH(F$6,'Pivot '!$A$4:$G$4,0),FALSE),0)</f>
        <v>3</v>
      </c>
      <c r="G158" s="27">
        <f>IFERROR(VLOOKUP($B158,'Pivot '!$A:$G,MATCH(G$6,'Pivot '!$A$4:$G$4,0),FALSE),0)</f>
        <v>0</v>
      </c>
      <c r="H158" s="27">
        <f>IFERROR(VLOOKUP($B158,'Pivot '!$A:$G,MATCH(H$6,'Pivot '!$A$4:$G$4,0),FALSE),0)</f>
        <v>0</v>
      </c>
      <c r="I158" s="27">
        <f t="shared" si="17"/>
        <v>15</v>
      </c>
    </row>
    <row r="159" spans="2:9" x14ac:dyDescent="0.2">
      <c r="B159" s="30" t="s">
        <v>220</v>
      </c>
      <c r="C159" s="30"/>
      <c r="D159" s="27">
        <f>IFERROR(VLOOKUP($B159,'Pivot '!$A:$G,MATCH(D$6,'Pivot '!$A$4:$G$4,0),FALSE),0)</f>
        <v>1</v>
      </c>
      <c r="E159" s="27">
        <f>IFERROR(VLOOKUP($B159,'Pivot '!$A:$G,MATCH(E$6,'Pivot '!$A$4:$G$4,0),FALSE),0)</f>
        <v>20</v>
      </c>
      <c r="F159" s="27">
        <f>IFERROR(VLOOKUP($B159,'Pivot '!$A:$G,MATCH(F$6,'Pivot '!$A$4:$G$4,0),FALSE),0)</f>
        <v>0</v>
      </c>
      <c r="G159" s="27">
        <f>IFERROR(VLOOKUP($B159,'Pivot '!$A:$G,MATCH(G$6,'Pivot '!$A$4:$G$4,0),FALSE),0)</f>
        <v>3</v>
      </c>
      <c r="H159" s="27">
        <f>IFERROR(VLOOKUP($B159,'Pivot '!$A:$G,MATCH(H$6,'Pivot '!$A$4:$G$4,0),FALSE),0)</f>
        <v>0</v>
      </c>
      <c r="I159" s="27">
        <f t="shared" si="17"/>
        <v>24</v>
      </c>
    </row>
    <row r="160" spans="2:9" x14ac:dyDescent="0.2">
      <c r="B160" s="30" t="s">
        <v>213</v>
      </c>
      <c r="C160" s="30"/>
      <c r="D160" s="27">
        <f>IFERROR(VLOOKUP($B160,'Pivot '!$A:$G,MATCH(D$6,'Pivot '!$A$4:$G$4,0),FALSE),0)</f>
        <v>0</v>
      </c>
      <c r="E160" s="27">
        <f>IFERROR(VLOOKUP($B160,'Pivot '!$A:$G,MATCH(E$6,'Pivot '!$A$4:$G$4,0),FALSE),0)</f>
        <v>7</v>
      </c>
      <c r="F160" s="27">
        <f>IFERROR(VLOOKUP($B160,'Pivot '!$A:$G,MATCH(F$6,'Pivot '!$A$4:$G$4,0),FALSE),0)</f>
        <v>1</v>
      </c>
      <c r="G160" s="27">
        <f>IFERROR(VLOOKUP($B160,'Pivot '!$A:$G,MATCH(G$6,'Pivot '!$A$4:$G$4,0),FALSE),0)</f>
        <v>0</v>
      </c>
      <c r="H160" s="27">
        <f>IFERROR(VLOOKUP($B160,'Pivot '!$A:$G,MATCH(H$6,'Pivot '!$A$4:$G$4,0),FALSE),0)</f>
        <v>0</v>
      </c>
      <c r="I160" s="27">
        <f t="shared" si="17"/>
        <v>8</v>
      </c>
    </row>
    <row r="161" spans="2:9" x14ac:dyDescent="0.2">
      <c r="B161" s="30" t="s">
        <v>217</v>
      </c>
      <c r="C161" s="30"/>
      <c r="D161" s="27">
        <f>IFERROR(VLOOKUP($B161,'Pivot '!$A:$G,MATCH(D$6,'Pivot '!$A$4:$G$4,0),FALSE),0)</f>
        <v>0</v>
      </c>
      <c r="E161" s="27">
        <f>IFERROR(VLOOKUP($B161,'Pivot '!$A:$G,MATCH(E$6,'Pivot '!$A$4:$G$4,0),FALSE),0)</f>
        <v>12</v>
      </c>
      <c r="F161" s="27">
        <f>IFERROR(VLOOKUP($B161,'Pivot '!$A:$G,MATCH(F$6,'Pivot '!$A$4:$G$4,0),FALSE),0)</f>
        <v>3</v>
      </c>
      <c r="G161" s="27">
        <f>IFERROR(VLOOKUP($B161,'Pivot '!$A:$G,MATCH(G$6,'Pivot '!$A$4:$G$4,0),FALSE),0)</f>
        <v>0</v>
      </c>
      <c r="H161" s="27">
        <f>IFERROR(VLOOKUP($B161,'Pivot '!$A:$G,MATCH(H$6,'Pivot '!$A$4:$G$4,0),FALSE),0)</f>
        <v>1</v>
      </c>
      <c r="I161" s="27">
        <f t="shared" si="17"/>
        <v>16</v>
      </c>
    </row>
    <row r="162" spans="2:9" x14ac:dyDescent="0.2">
      <c r="B162" s="30" t="s">
        <v>264</v>
      </c>
      <c r="C162" s="30"/>
      <c r="D162" s="27">
        <f>IFERROR(VLOOKUP($B162,'Pivot '!$A:$G,MATCH(D$6,'Pivot '!$A$4:$G$4,0),FALSE),0)</f>
        <v>0</v>
      </c>
      <c r="E162" s="27">
        <f>IFERROR(VLOOKUP($B162,'Pivot '!$A:$G,MATCH(E$6,'Pivot '!$A$4:$G$4,0),FALSE),0)</f>
        <v>0</v>
      </c>
      <c r="F162" s="27">
        <f>IFERROR(VLOOKUP($B162,'Pivot '!$A:$G,MATCH(F$6,'Pivot '!$A$4:$G$4,0),FALSE),0)</f>
        <v>0</v>
      </c>
      <c r="G162" s="27">
        <f>IFERROR(VLOOKUP($B162,'Pivot '!$A:$G,MATCH(G$6,'Pivot '!$A$4:$G$4,0),FALSE),0)</f>
        <v>0</v>
      </c>
      <c r="H162" s="27">
        <f>IFERROR(VLOOKUP($B162,'Pivot '!$A:$G,MATCH(H$6,'Pivot '!$A$4:$G$4,0),FALSE),0)</f>
        <v>0</v>
      </c>
      <c r="I162" s="27">
        <f t="shared" si="17"/>
        <v>0</v>
      </c>
    </row>
    <row r="163" spans="2:9" x14ac:dyDescent="0.2">
      <c r="B163" s="30" t="s">
        <v>222</v>
      </c>
      <c r="C163" s="30"/>
      <c r="D163" s="27">
        <f>IFERROR(VLOOKUP($B163,'Pivot '!$A:$G,MATCH(D$6,'Pivot '!$A$4:$G$4,0),FALSE),0)</f>
        <v>0</v>
      </c>
      <c r="E163" s="27">
        <f>IFERROR(VLOOKUP($B163,'Pivot '!$A:$G,MATCH(E$6,'Pivot '!$A$4:$G$4,0),FALSE),0)</f>
        <v>8</v>
      </c>
      <c r="F163" s="27">
        <f>IFERROR(VLOOKUP($B163,'Pivot '!$A:$G,MATCH(F$6,'Pivot '!$A$4:$G$4,0),FALSE),0)</f>
        <v>0</v>
      </c>
      <c r="G163" s="27">
        <f>IFERROR(VLOOKUP($B163,'Pivot '!$A:$G,MATCH(G$6,'Pivot '!$A$4:$G$4,0),FALSE),0)</f>
        <v>1</v>
      </c>
      <c r="H163" s="27">
        <f>IFERROR(VLOOKUP($B163,'Pivot '!$A:$G,MATCH(H$6,'Pivot '!$A$4:$G$4,0),FALSE),0)</f>
        <v>0</v>
      </c>
      <c r="I163" s="27">
        <f t="shared" si="17"/>
        <v>9</v>
      </c>
    </row>
    <row r="164" spans="2:9" x14ac:dyDescent="0.2">
      <c r="B164" s="30" t="s">
        <v>214</v>
      </c>
      <c r="C164" s="30"/>
      <c r="D164" s="27">
        <f>IFERROR(VLOOKUP($B164,'Pivot '!$A:$G,MATCH(D$6,'Pivot '!$A$4:$G$4,0),FALSE),0)</f>
        <v>1</v>
      </c>
      <c r="E164" s="27">
        <f>IFERROR(VLOOKUP($B164,'Pivot '!$A:$G,MATCH(E$6,'Pivot '!$A$4:$G$4,0),FALSE),0)</f>
        <v>7</v>
      </c>
      <c r="F164" s="27">
        <f>IFERROR(VLOOKUP($B164,'Pivot '!$A:$G,MATCH(F$6,'Pivot '!$A$4:$G$4,0),FALSE),0)</f>
        <v>1</v>
      </c>
      <c r="G164" s="27">
        <f>IFERROR(VLOOKUP($B164,'Pivot '!$A:$G,MATCH(G$6,'Pivot '!$A$4:$G$4,0),FALSE),0)</f>
        <v>1</v>
      </c>
      <c r="H164" s="27">
        <f>IFERROR(VLOOKUP($B164,'Pivot '!$A:$G,MATCH(H$6,'Pivot '!$A$4:$G$4,0),FALSE),0)</f>
        <v>0</v>
      </c>
      <c r="I164" s="27">
        <f t="shared" si="17"/>
        <v>10</v>
      </c>
    </row>
    <row r="165" spans="2:9" x14ac:dyDescent="0.2">
      <c r="B165" s="30" t="s">
        <v>218</v>
      </c>
      <c r="C165" s="30"/>
      <c r="D165" s="27">
        <f>IFERROR(VLOOKUP($B165,'Pivot '!$A:$G,MATCH(D$6,'Pivot '!$A$4:$G$4,0),FALSE),0)</f>
        <v>0</v>
      </c>
      <c r="E165" s="27">
        <f>IFERROR(VLOOKUP($B165,'Pivot '!$A:$G,MATCH(E$6,'Pivot '!$A$4:$G$4,0),FALSE),0)</f>
        <v>17</v>
      </c>
      <c r="F165" s="27">
        <f>IFERROR(VLOOKUP($B165,'Pivot '!$A:$G,MATCH(F$6,'Pivot '!$A$4:$G$4,0),FALSE),0)</f>
        <v>3</v>
      </c>
      <c r="G165" s="27">
        <f>IFERROR(VLOOKUP($B165,'Pivot '!$A:$G,MATCH(G$6,'Pivot '!$A$4:$G$4,0),FALSE),0)</f>
        <v>0</v>
      </c>
      <c r="H165" s="27">
        <f>IFERROR(VLOOKUP($B165,'Pivot '!$A:$G,MATCH(H$6,'Pivot '!$A$4:$G$4,0),FALSE),0)</f>
        <v>0</v>
      </c>
      <c r="I165" s="27">
        <f t="shared" si="17"/>
        <v>20</v>
      </c>
    </row>
    <row r="166" spans="2:9" x14ac:dyDescent="0.2">
      <c r="B166" s="30" t="s">
        <v>216</v>
      </c>
      <c r="C166" s="30"/>
      <c r="D166" s="27">
        <f>IFERROR(VLOOKUP($B166,'Pivot '!$A:$G,MATCH(D$6,'Pivot '!$A$4:$G$4,0),FALSE),0)</f>
        <v>0</v>
      </c>
      <c r="E166" s="27">
        <f>IFERROR(VLOOKUP($B166,'Pivot '!$A:$G,MATCH(E$6,'Pivot '!$A$4:$G$4,0),FALSE),0)</f>
        <v>2</v>
      </c>
      <c r="F166" s="27">
        <f>IFERROR(VLOOKUP($B166,'Pivot '!$A:$G,MATCH(F$6,'Pivot '!$A$4:$G$4,0),FALSE),0)</f>
        <v>2</v>
      </c>
      <c r="G166" s="27">
        <f>IFERROR(VLOOKUP($B166,'Pivot '!$A:$G,MATCH(G$6,'Pivot '!$A$4:$G$4,0),FALSE),0)</f>
        <v>1</v>
      </c>
      <c r="H166" s="27">
        <f>IFERROR(VLOOKUP($B166,'Pivot '!$A:$G,MATCH(H$6,'Pivot '!$A$4:$G$4,0),FALSE),0)</f>
        <v>0</v>
      </c>
      <c r="I166" s="27">
        <f t="shared" si="17"/>
        <v>5</v>
      </c>
    </row>
    <row r="167" spans="2:9" x14ac:dyDescent="0.2">
      <c r="B167" s="30" t="s">
        <v>224</v>
      </c>
      <c r="C167" s="30"/>
      <c r="D167" s="27">
        <f>IFERROR(VLOOKUP($B167,'Pivot '!$A:$G,MATCH(D$6,'Pivot '!$A$4:$G$4,0),FALSE),0)</f>
        <v>0</v>
      </c>
      <c r="E167" s="27">
        <f>IFERROR(VLOOKUP($B167,'Pivot '!$A:$G,MATCH(E$6,'Pivot '!$A$4:$G$4,0),FALSE),0)</f>
        <v>3</v>
      </c>
      <c r="F167" s="27">
        <f>IFERROR(VLOOKUP($B167,'Pivot '!$A:$G,MATCH(F$6,'Pivot '!$A$4:$G$4,0),FALSE),0)</f>
        <v>1</v>
      </c>
      <c r="G167" s="27">
        <f>IFERROR(VLOOKUP($B167,'Pivot '!$A:$G,MATCH(G$6,'Pivot '!$A$4:$G$4,0),FALSE),0)</f>
        <v>0</v>
      </c>
      <c r="H167" s="27">
        <f>IFERROR(VLOOKUP($B167,'Pivot '!$A:$G,MATCH(H$6,'Pivot '!$A$4:$G$4,0),FALSE),0)</f>
        <v>0</v>
      </c>
      <c r="I167" s="27">
        <f t="shared" si="17"/>
        <v>4</v>
      </c>
    </row>
    <row r="168" spans="2:9" x14ac:dyDescent="0.2">
      <c r="B168" s="30" t="s">
        <v>215</v>
      </c>
      <c r="C168" s="30"/>
      <c r="D168" s="27">
        <f>IFERROR(VLOOKUP($B168,'Pivot '!$A:$G,MATCH(D$6,'Pivot '!$A$4:$G$4,0),FALSE),0)</f>
        <v>0</v>
      </c>
      <c r="E168" s="27">
        <f>IFERROR(VLOOKUP($B168,'Pivot '!$A:$G,MATCH(E$6,'Pivot '!$A$4:$G$4,0),FALSE),0)</f>
        <v>4</v>
      </c>
      <c r="F168" s="27">
        <f>IFERROR(VLOOKUP($B168,'Pivot '!$A:$G,MATCH(F$6,'Pivot '!$A$4:$G$4,0),FALSE),0)</f>
        <v>1</v>
      </c>
      <c r="G168" s="27">
        <f>IFERROR(VLOOKUP($B168,'Pivot '!$A:$G,MATCH(G$6,'Pivot '!$A$4:$G$4,0),FALSE),0)</f>
        <v>0</v>
      </c>
      <c r="H168" s="27">
        <f>IFERROR(VLOOKUP($B168,'Pivot '!$A:$G,MATCH(H$6,'Pivot '!$A$4:$G$4,0),FALSE),0)</f>
        <v>0</v>
      </c>
      <c r="I168" s="27">
        <f t="shared" si="17"/>
        <v>5</v>
      </c>
    </row>
    <row r="169" spans="2:9" x14ac:dyDescent="0.2">
      <c r="B169" s="30" t="s">
        <v>225</v>
      </c>
      <c r="C169" s="30"/>
      <c r="D169" s="27">
        <f>IFERROR(VLOOKUP($B169,'Pivot '!$A:$G,MATCH(D$6,'Pivot '!$A$4:$G$4,0),FALSE),0)</f>
        <v>0</v>
      </c>
      <c r="E169" s="27">
        <f>IFERROR(VLOOKUP($B169,'Pivot '!$A:$G,MATCH(E$6,'Pivot '!$A$4:$G$4,0),FALSE),0)</f>
        <v>16</v>
      </c>
      <c r="F169" s="27">
        <f>IFERROR(VLOOKUP($B169,'Pivot '!$A:$G,MATCH(F$6,'Pivot '!$A$4:$G$4,0),FALSE),0)</f>
        <v>0</v>
      </c>
      <c r="G169" s="27">
        <f>IFERROR(VLOOKUP($B169,'Pivot '!$A:$G,MATCH(G$6,'Pivot '!$A$4:$G$4,0),FALSE),0)</f>
        <v>0</v>
      </c>
      <c r="H169" s="27">
        <f>IFERROR(VLOOKUP($B169,'Pivot '!$A:$G,MATCH(H$6,'Pivot '!$A$4:$G$4,0),FALSE),0)</f>
        <v>0</v>
      </c>
      <c r="I169" s="27">
        <f t="shared" si="17"/>
        <v>16</v>
      </c>
    </row>
    <row r="170" spans="2:9" x14ac:dyDescent="0.2">
      <c r="B170" s="22"/>
      <c r="C170" s="22"/>
      <c r="D170" s="31"/>
      <c r="E170" s="31"/>
      <c r="F170" s="31"/>
      <c r="G170" s="31"/>
      <c r="H170" s="31"/>
      <c r="I170" s="31"/>
    </row>
    <row r="171" spans="2:9" x14ac:dyDescent="0.2">
      <c r="B171" s="92"/>
      <c r="C171" s="92"/>
      <c r="D171" s="32"/>
      <c r="E171" s="32"/>
      <c r="F171" s="32"/>
      <c r="G171" s="32"/>
      <c r="H171" s="32"/>
      <c r="I171" s="32"/>
    </row>
    <row r="172" spans="2:9" x14ac:dyDescent="0.2">
      <c r="B172" s="15"/>
      <c r="C172" s="92"/>
      <c r="D172" s="92"/>
      <c r="E172" s="92"/>
      <c r="F172" s="92"/>
      <c r="G172" s="92"/>
      <c r="H172" s="92"/>
      <c r="I172" s="92"/>
    </row>
  </sheetData>
  <sheetProtection sheet="1" objects="1" scenarios="1" sort="0" autoFilter="0" pivotTables="0"/>
  <autoFilter ref="B6:B169" xr:uid="{E7E3328E-1F17-47B7-9315-15DAD216341B}"/>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EF58F038-91FA-4740-AB42-91B12B23C21B}">
            <xm:f>$I$8&lt;&gt;Date!$A$12</xm:f>
            <x14:dxf>
              <fill>
                <patternFill>
                  <bgColor rgb="FFFFC000"/>
                </patternFill>
              </fill>
            </x14:dxf>
          </x14:cfRule>
          <xm:sqref>B2:D2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085E-2DC6-43D3-B785-BD3DAA0AB6A9}">
  <dimension ref="A1:Y2040"/>
  <sheetViews>
    <sheetView workbookViewId="0">
      <pane xSplit="4" ySplit="1" topLeftCell="E13" activePane="bottomRight" state="frozen"/>
      <selection pane="topRight" activeCell="E1" sqref="E1"/>
      <selection pane="bottomLeft" activeCell="A2" sqref="A2"/>
      <selection pane="bottomRight"/>
    </sheetView>
  </sheetViews>
  <sheetFormatPr defaultColWidth="9.140625" defaultRowHeight="12.75" x14ac:dyDescent="0.2"/>
  <cols>
    <col min="1" max="1" width="23" customWidth="1"/>
    <col min="2" max="2" width="7.85546875" bestFit="1" customWidth="1"/>
    <col min="3" max="3" width="11" customWidth="1"/>
    <col min="4" max="4" width="64.7109375" bestFit="1" customWidth="1"/>
    <col min="5" max="5" width="15.85546875" bestFit="1" customWidth="1"/>
    <col min="6" max="6" width="25.85546875" bestFit="1" customWidth="1"/>
    <col min="7" max="7" width="12.7109375" bestFit="1" customWidth="1"/>
    <col min="8" max="8" width="13.7109375" bestFit="1" customWidth="1"/>
    <col min="9" max="9" width="24.7109375" bestFit="1" customWidth="1"/>
    <col min="10" max="10" width="27.28515625" bestFit="1" customWidth="1"/>
    <col min="11" max="11" width="17" bestFit="1" customWidth="1"/>
    <col min="12" max="12" width="17.5703125" bestFit="1" customWidth="1"/>
    <col min="13" max="13" width="35" bestFit="1" customWidth="1"/>
    <col min="14" max="14" width="24.28515625" bestFit="1" customWidth="1"/>
    <col min="15" max="15" width="33.28515625" bestFit="1" customWidth="1"/>
    <col min="16" max="16" width="34.42578125" bestFit="1" customWidth="1"/>
    <col min="17" max="17" width="10.7109375" bestFit="1" customWidth="1"/>
    <col min="18" max="18" width="22.7109375" bestFit="1" customWidth="1"/>
    <col min="19" max="19" width="12.140625" customWidth="1"/>
    <col min="20" max="20" width="11.85546875" bestFit="1" customWidth="1"/>
    <col min="21" max="21" width="13.7109375" customWidth="1"/>
    <col min="22" max="16384" width="9.140625" style="33"/>
  </cols>
  <sheetData>
    <row r="1" spans="1:25" s="50" customFormat="1" ht="51" x14ac:dyDescent="0.2">
      <c r="A1" s="50" t="s">
        <v>265</v>
      </c>
      <c r="B1" s="50" t="s">
        <v>44</v>
      </c>
      <c r="C1" s="50" t="s">
        <v>46</v>
      </c>
      <c r="D1" s="50" t="s">
        <v>48</v>
      </c>
      <c r="E1" s="50" t="s">
        <v>50</v>
      </c>
      <c r="F1" s="50" t="s">
        <v>52</v>
      </c>
      <c r="G1" s="70" t="s">
        <v>54</v>
      </c>
      <c r="H1" s="50" t="s">
        <v>266</v>
      </c>
      <c r="I1" s="50" t="s">
        <v>267</v>
      </c>
      <c r="J1" s="83" t="s">
        <v>60</v>
      </c>
      <c r="K1" s="83" t="s">
        <v>62</v>
      </c>
      <c r="L1" s="83" t="s">
        <v>64</v>
      </c>
      <c r="M1" s="50" t="s">
        <v>66</v>
      </c>
      <c r="N1" s="50" t="s">
        <v>68</v>
      </c>
      <c r="O1" s="50" t="s">
        <v>70</v>
      </c>
      <c r="P1" s="50" t="s">
        <v>72</v>
      </c>
      <c r="Q1" s="50" t="s">
        <v>74</v>
      </c>
      <c r="R1" s="50" t="s">
        <v>76</v>
      </c>
      <c r="S1" s="47" t="s">
        <v>78</v>
      </c>
      <c r="T1" s="126" t="s">
        <v>79</v>
      </c>
      <c r="U1" s="126" t="s">
        <v>81</v>
      </c>
      <c r="Y1" s="83"/>
    </row>
    <row r="2" spans="1:25" x14ac:dyDescent="0.2">
      <c r="A2" s="10" t="str">
        <f>HYPERLINK("http://www.ofsted.gov.uk/inspection-reports/find-inspection-report/provider/ELS/106896 ","Ofsted School Webpage")</f>
        <v>Ofsted School Webpage</v>
      </c>
      <c r="B2" s="92">
        <v>106896</v>
      </c>
      <c r="C2" s="92">
        <v>3722095</v>
      </c>
      <c r="D2" s="92" t="s">
        <v>268</v>
      </c>
      <c r="E2" s="92" t="s">
        <v>94</v>
      </c>
      <c r="F2" s="92" t="s">
        <v>269</v>
      </c>
      <c r="G2" s="9" t="s">
        <v>270</v>
      </c>
      <c r="H2" s="92" t="s">
        <v>271</v>
      </c>
      <c r="I2" s="92" t="s">
        <v>272</v>
      </c>
      <c r="J2" s="92" t="s">
        <v>273</v>
      </c>
      <c r="K2" s="92" t="s">
        <v>273</v>
      </c>
      <c r="L2" s="92" t="s">
        <v>274</v>
      </c>
      <c r="M2" s="92" t="s">
        <v>261</v>
      </c>
      <c r="N2" s="92" t="s">
        <v>241</v>
      </c>
      <c r="O2" s="92" t="s">
        <v>242</v>
      </c>
      <c r="P2" s="92" t="s">
        <v>275</v>
      </c>
      <c r="Q2" s="92" t="s">
        <v>276</v>
      </c>
      <c r="R2" s="92">
        <v>4</v>
      </c>
      <c r="S2" s="92">
        <v>255</v>
      </c>
      <c r="T2" s="9">
        <v>44103</v>
      </c>
      <c r="U2" s="9">
        <v>44145</v>
      </c>
    </row>
    <row r="3" spans="1:25" x14ac:dyDescent="0.2">
      <c r="A3" s="10" t="str">
        <f>HYPERLINK("http://www.ofsted.gov.uk/inspection-reports/find-inspection-report/provider/ELS/132197 ","Ofsted School Webpage")</f>
        <v>Ofsted School Webpage</v>
      </c>
      <c r="B3" s="92">
        <v>132197</v>
      </c>
      <c r="C3" s="92">
        <v>3362117</v>
      </c>
      <c r="D3" s="92" t="s">
        <v>277</v>
      </c>
      <c r="E3" s="92" t="s">
        <v>94</v>
      </c>
      <c r="F3" s="92" t="s">
        <v>269</v>
      </c>
      <c r="G3" s="9">
        <v>36770</v>
      </c>
      <c r="H3" s="92" t="s">
        <v>271</v>
      </c>
      <c r="I3" s="92" t="s">
        <v>272</v>
      </c>
      <c r="J3" s="92" t="s">
        <v>273</v>
      </c>
      <c r="K3" s="92" t="s">
        <v>273</v>
      </c>
      <c r="L3" s="92" t="s">
        <v>274</v>
      </c>
      <c r="M3" s="92" t="s">
        <v>226</v>
      </c>
      <c r="N3" s="92" t="s">
        <v>226</v>
      </c>
      <c r="O3" s="92" t="s">
        <v>231</v>
      </c>
      <c r="P3" s="92" t="s">
        <v>278</v>
      </c>
      <c r="Q3" s="92" t="s">
        <v>279</v>
      </c>
      <c r="R3" s="92">
        <v>5</v>
      </c>
      <c r="S3" s="92">
        <v>423</v>
      </c>
      <c r="T3" s="9">
        <v>44103</v>
      </c>
      <c r="U3" s="9">
        <v>44123</v>
      </c>
    </row>
    <row r="4" spans="1:25" x14ac:dyDescent="0.2">
      <c r="A4" s="10" t="str">
        <f>HYPERLINK("http://www.ofsted.gov.uk/inspection-reports/find-inspection-report/provider/ELS/115919 ","Ofsted School Webpage")</f>
        <v>Ofsted School Webpage</v>
      </c>
      <c r="B4" s="92">
        <v>115919</v>
      </c>
      <c r="C4" s="92">
        <v>8502116</v>
      </c>
      <c r="D4" s="92" t="s">
        <v>280</v>
      </c>
      <c r="E4" s="92" t="s">
        <v>94</v>
      </c>
      <c r="F4" s="92" t="s">
        <v>269</v>
      </c>
      <c r="G4" s="9" t="s">
        <v>270</v>
      </c>
      <c r="H4" s="92" t="s">
        <v>271</v>
      </c>
      <c r="I4" s="92" t="s">
        <v>272</v>
      </c>
      <c r="J4" s="92" t="s">
        <v>273</v>
      </c>
      <c r="K4" s="92" t="s">
        <v>273</v>
      </c>
      <c r="L4" s="92" t="s">
        <v>274</v>
      </c>
      <c r="M4" s="92" t="s">
        <v>192</v>
      </c>
      <c r="N4" s="92" t="s">
        <v>192</v>
      </c>
      <c r="O4" s="92" t="s">
        <v>193</v>
      </c>
      <c r="P4" s="92" t="s">
        <v>281</v>
      </c>
      <c r="Q4" s="92" t="s">
        <v>282</v>
      </c>
      <c r="R4" s="92">
        <v>3</v>
      </c>
      <c r="S4" s="92">
        <v>356</v>
      </c>
      <c r="T4" s="9">
        <v>44103</v>
      </c>
      <c r="U4" s="9">
        <v>44146</v>
      </c>
    </row>
    <row r="5" spans="1:25" x14ac:dyDescent="0.2">
      <c r="A5" s="10" t="str">
        <f>HYPERLINK("http://www.ofsted.gov.uk/inspection-reports/find-inspection-report/provider/ELS/100479 ","Ofsted School Webpage")</f>
        <v>Ofsted School Webpage</v>
      </c>
      <c r="B5" s="92">
        <v>100479</v>
      </c>
      <c r="C5" s="92">
        <v>2072050</v>
      </c>
      <c r="D5" s="92" t="s">
        <v>283</v>
      </c>
      <c r="E5" s="92" t="s">
        <v>94</v>
      </c>
      <c r="F5" s="92" t="s">
        <v>269</v>
      </c>
      <c r="G5" s="9" t="s">
        <v>270</v>
      </c>
      <c r="H5" s="92" t="s">
        <v>271</v>
      </c>
      <c r="I5" s="92" t="s">
        <v>272</v>
      </c>
      <c r="J5" s="92" t="s">
        <v>273</v>
      </c>
      <c r="K5" s="92" t="s">
        <v>273</v>
      </c>
      <c r="L5" s="92" t="s">
        <v>274</v>
      </c>
      <c r="M5" s="92" t="s">
        <v>122</v>
      </c>
      <c r="N5" s="92" t="s">
        <v>122</v>
      </c>
      <c r="O5" s="92" t="s">
        <v>125</v>
      </c>
      <c r="P5" s="92" t="s">
        <v>284</v>
      </c>
      <c r="Q5" s="92" t="s">
        <v>285</v>
      </c>
      <c r="R5" s="92">
        <v>5</v>
      </c>
      <c r="S5" s="92">
        <v>320</v>
      </c>
      <c r="T5" s="9">
        <v>44103</v>
      </c>
      <c r="U5" s="9">
        <v>44119</v>
      </c>
    </row>
    <row r="6" spans="1:25" x14ac:dyDescent="0.2">
      <c r="A6" s="10" t="str">
        <f>HYPERLINK("http://www.ofsted.gov.uk/inspection-reports/find-inspection-report/provider/ELS/105486 ","Ofsted School Webpage")</f>
        <v>Ofsted School Webpage</v>
      </c>
      <c r="B6" s="92">
        <v>105486</v>
      </c>
      <c r="C6" s="92">
        <v>3522327</v>
      </c>
      <c r="D6" s="92" t="s">
        <v>286</v>
      </c>
      <c r="E6" s="92" t="s">
        <v>94</v>
      </c>
      <c r="F6" s="92" t="s">
        <v>269</v>
      </c>
      <c r="G6" s="9" t="s">
        <v>270</v>
      </c>
      <c r="H6" s="92" t="s">
        <v>271</v>
      </c>
      <c r="I6" s="92" t="s">
        <v>272</v>
      </c>
      <c r="J6" s="92" t="s">
        <v>273</v>
      </c>
      <c r="K6" s="92" t="s">
        <v>273</v>
      </c>
      <c r="L6" s="92" t="s">
        <v>274</v>
      </c>
      <c r="M6" s="92" t="s">
        <v>168</v>
      </c>
      <c r="N6" s="92" t="s">
        <v>168</v>
      </c>
      <c r="O6" s="92" t="s">
        <v>171</v>
      </c>
      <c r="P6" s="92" t="s">
        <v>287</v>
      </c>
      <c r="Q6" s="92" t="s">
        <v>288</v>
      </c>
      <c r="R6" s="92">
        <v>5</v>
      </c>
      <c r="S6" s="92">
        <v>450</v>
      </c>
      <c r="T6" s="9">
        <v>44103</v>
      </c>
      <c r="U6" s="9">
        <v>44146</v>
      </c>
    </row>
    <row r="7" spans="1:25" x14ac:dyDescent="0.2">
      <c r="A7" s="10" t="str">
        <f>HYPERLINK("http://www.ofsted.gov.uk/inspection-reports/find-inspection-report/provider/ELS/109114 ","Ofsted School Webpage")</f>
        <v>Ofsted School Webpage</v>
      </c>
      <c r="B7" s="92">
        <v>109114</v>
      </c>
      <c r="C7" s="92">
        <v>8032308</v>
      </c>
      <c r="D7" s="92" t="s">
        <v>289</v>
      </c>
      <c r="E7" s="92" t="s">
        <v>94</v>
      </c>
      <c r="F7" s="92" t="s">
        <v>269</v>
      </c>
      <c r="G7" s="9" t="s">
        <v>270</v>
      </c>
      <c r="H7" s="92" t="s">
        <v>271</v>
      </c>
      <c r="I7" s="92" t="s">
        <v>272</v>
      </c>
      <c r="J7" s="92" t="s">
        <v>273</v>
      </c>
      <c r="K7" s="92" t="s">
        <v>273</v>
      </c>
      <c r="L7" s="92" t="s">
        <v>274</v>
      </c>
      <c r="M7" s="92" t="s">
        <v>211</v>
      </c>
      <c r="N7" s="92" t="s">
        <v>211</v>
      </c>
      <c r="O7" s="92" t="s">
        <v>216</v>
      </c>
      <c r="P7" s="92" t="s">
        <v>290</v>
      </c>
      <c r="Q7" s="92" t="s">
        <v>291</v>
      </c>
      <c r="R7" s="92">
        <v>2</v>
      </c>
      <c r="S7" s="92">
        <v>186</v>
      </c>
      <c r="T7" s="9">
        <v>44103</v>
      </c>
      <c r="U7" s="9">
        <v>44140</v>
      </c>
    </row>
    <row r="8" spans="1:25" x14ac:dyDescent="0.2">
      <c r="A8" s="10" t="str">
        <f>HYPERLINK("http://www.ofsted.gov.uk/inspection-reports/find-inspection-report/provider/ELS/112665 ","Ofsted School Webpage")</f>
        <v>Ofsted School Webpage</v>
      </c>
      <c r="B8" s="92">
        <v>112665</v>
      </c>
      <c r="C8" s="92">
        <v>8302290</v>
      </c>
      <c r="D8" s="92" t="s">
        <v>292</v>
      </c>
      <c r="E8" s="92" t="s">
        <v>94</v>
      </c>
      <c r="F8" s="92" t="s">
        <v>269</v>
      </c>
      <c r="G8" s="9" t="s">
        <v>270</v>
      </c>
      <c r="H8" s="92" t="s">
        <v>271</v>
      </c>
      <c r="I8" s="92" t="s">
        <v>272</v>
      </c>
      <c r="J8" s="92" t="s">
        <v>273</v>
      </c>
      <c r="K8" s="92" t="s">
        <v>273</v>
      </c>
      <c r="L8" s="92" t="s">
        <v>274</v>
      </c>
      <c r="M8" s="92" t="s">
        <v>100</v>
      </c>
      <c r="N8" s="92" t="s">
        <v>100</v>
      </c>
      <c r="O8" s="92" t="s">
        <v>101</v>
      </c>
      <c r="P8" s="92" t="s">
        <v>293</v>
      </c>
      <c r="Q8" s="92" t="s">
        <v>294</v>
      </c>
      <c r="R8" s="92">
        <v>3</v>
      </c>
      <c r="S8" s="92">
        <v>324</v>
      </c>
      <c r="T8" s="9">
        <v>44103</v>
      </c>
      <c r="U8" s="9">
        <v>44144</v>
      </c>
    </row>
    <row r="9" spans="1:25" x14ac:dyDescent="0.2">
      <c r="A9" s="10" t="str">
        <f>HYPERLINK("http://www.ofsted.gov.uk/inspection-reports/find-inspection-report/provider/ELS/112677 ","Ofsted School Webpage")</f>
        <v>Ofsted School Webpage</v>
      </c>
      <c r="B9" s="92">
        <v>112677</v>
      </c>
      <c r="C9" s="92">
        <v>8302315</v>
      </c>
      <c r="D9" s="92" t="s">
        <v>295</v>
      </c>
      <c r="E9" s="92" t="s">
        <v>94</v>
      </c>
      <c r="F9" s="92" t="s">
        <v>269</v>
      </c>
      <c r="G9" s="9" t="s">
        <v>270</v>
      </c>
      <c r="H9" s="92" t="s">
        <v>271</v>
      </c>
      <c r="I9" s="92" t="s">
        <v>272</v>
      </c>
      <c r="J9" s="92" t="s">
        <v>273</v>
      </c>
      <c r="K9" s="92" t="s">
        <v>273</v>
      </c>
      <c r="L9" s="92" t="s">
        <v>274</v>
      </c>
      <c r="M9" s="92" t="s">
        <v>100</v>
      </c>
      <c r="N9" s="92" t="s">
        <v>100</v>
      </c>
      <c r="O9" s="92" t="s">
        <v>101</v>
      </c>
      <c r="P9" s="92" t="s">
        <v>296</v>
      </c>
      <c r="Q9" s="92" t="s">
        <v>297</v>
      </c>
      <c r="R9" s="92">
        <v>4</v>
      </c>
      <c r="S9" s="92">
        <v>136</v>
      </c>
      <c r="T9" s="9">
        <v>44103</v>
      </c>
      <c r="U9" s="9">
        <v>44119</v>
      </c>
    </row>
    <row r="10" spans="1:25" x14ac:dyDescent="0.2">
      <c r="A10" s="10" t="str">
        <f>HYPERLINK("http://www.ofsted.gov.uk/inspection-reports/find-inspection-report/provider/ELS/112957 ","Ofsted School Webpage")</f>
        <v>Ofsted School Webpage</v>
      </c>
      <c r="B10" s="92">
        <v>112957</v>
      </c>
      <c r="C10" s="92">
        <v>8304191</v>
      </c>
      <c r="D10" s="92" t="s">
        <v>298</v>
      </c>
      <c r="E10" s="92" t="s">
        <v>95</v>
      </c>
      <c r="F10" s="92" t="s">
        <v>269</v>
      </c>
      <c r="G10" s="9" t="s">
        <v>270</v>
      </c>
      <c r="H10" s="92" t="s">
        <v>299</v>
      </c>
      <c r="I10" s="92" t="s">
        <v>300</v>
      </c>
      <c r="J10" s="92" t="s">
        <v>273</v>
      </c>
      <c r="K10" s="92" t="s">
        <v>273</v>
      </c>
      <c r="L10" s="92" t="s">
        <v>274</v>
      </c>
      <c r="M10" s="92" t="s">
        <v>100</v>
      </c>
      <c r="N10" s="92" t="s">
        <v>100</v>
      </c>
      <c r="O10" s="92" t="s">
        <v>101</v>
      </c>
      <c r="P10" s="92" t="s">
        <v>301</v>
      </c>
      <c r="Q10" s="92" t="s">
        <v>302</v>
      </c>
      <c r="R10" s="92">
        <v>3</v>
      </c>
      <c r="S10" s="92">
        <v>1099</v>
      </c>
      <c r="T10" s="9">
        <v>44103</v>
      </c>
      <c r="U10" s="9">
        <v>44139</v>
      </c>
    </row>
    <row r="11" spans="1:25" x14ac:dyDescent="0.2">
      <c r="A11" s="10" t="str">
        <f>HYPERLINK("http://www.ofsted.gov.uk/inspection-reports/find-inspection-report/provider/ELS/135118 ","Ofsted School Webpage")</f>
        <v>Ofsted School Webpage</v>
      </c>
      <c r="B11" s="92">
        <v>135118</v>
      </c>
      <c r="C11" s="92">
        <v>8863907</v>
      </c>
      <c r="D11" s="92" t="s">
        <v>303</v>
      </c>
      <c r="E11" s="92" t="s">
        <v>94</v>
      </c>
      <c r="F11" s="92" t="s">
        <v>269</v>
      </c>
      <c r="G11" s="9">
        <v>39326</v>
      </c>
      <c r="H11" s="92" t="s">
        <v>271</v>
      </c>
      <c r="I11" s="92" t="s">
        <v>272</v>
      </c>
      <c r="J11" s="92" t="s">
        <v>273</v>
      </c>
      <c r="K11" s="92" t="s">
        <v>273</v>
      </c>
      <c r="L11" s="92" t="s">
        <v>274</v>
      </c>
      <c r="M11" s="92" t="s">
        <v>192</v>
      </c>
      <c r="N11" s="92" t="s">
        <v>192</v>
      </c>
      <c r="O11" s="92" t="s">
        <v>194</v>
      </c>
      <c r="P11" s="92" t="s">
        <v>304</v>
      </c>
      <c r="Q11" s="92" t="s">
        <v>305</v>
      </c>
      <c r="R11" s="92">
        <v>3</v>
      </c>
      <c r="S11" s="92">
        <v>493</v>
      </c>
      <c r="T11" s="9">
        <v>44103</v>
      </c>
      <c r="U11" s="9">
        <v>44119</v>
      </c>
    </row>
    <row r="12" spans="1:25" x14ac:dyDescent="0.2">
      <c r="A12" s="10" t="str">
        <f>HYPERLINK("http://www.ofsted.gov.uk/inspection-reports/find-inspection-report/provider/ELS/103363 ","Ofsted School Webpage")</f>
        <v>Ofsted School Webpage</v>
      </c>
      <c r="B12" s="92">
        <v>103363</v>
      </c>
      <c r="C12" s="92">
        <v>3302436</v>
      </c>
      <c r="D12" s="92" t="s">
        <v>306</v>
      </c>
      <c r="E12" s="92" t="s">
        <v>94</v>
      </c>
      <c r="F12" s="92" t="s">
        <v>269</v>
      </c>
      <c r="G12" s="9" t="s">
        <v>270</v>
      </c>
      <c r="H12" s="92" t="s">
        <v>271</v>
      </c>
      <c r="I12" s="92" t="s">
        <v>271</v>
      </c>
      <c r="J12" s="92" t="s">
        <v>273</v>
      </c>
      <c r="K12" s="92" t="s">
        <v>273</v>
      </c>
      <c r="L12" s="92" t="s">
        <v>274</v>
      </c>
      <c r="M12" s="92" t="s">
        <v>226</v>
      </c>
      <c r="N12" s="92" t="s">
        <v>226</v>
      </c>
      <c r="O12" s="92" t="s">
        <v>232</v>
      </c>
      <c r="P12" s="92" t="s">
        <v>307</v>
      </c>
      <c r="Q12" s="92" t="s">
        <v>308</v>
      </c>
      <c r="R12" s="92">
        <v>5</v>
      </c>
      <c r="S12" s="92">
        <v>309</v>
      </c>
      <c r="T12" s="9">
        <v>44103</v>
      </c>
      <c r="U12" s="9">
        <v>44151</v>
      </c>
    </row>
    <row r="13" spans="1:25" x14ac:dyDescent="0.2">
      <c r="A13" s="10" t="str">
        <f>HYPERLINK("http://www.ofsted.gov.uk/inspection-reports/find-inspection-report/provider/ELS/105840 ","Ofsted School Webpage")</f>
        <v>Ofsted School Webpage</v>
      </c>
      <c r="B13" s="92">
        <v>105840</v>
      </c>
      <c r="C13" s="92">
        <v>3544089</v>
      </c>
      <c r="D13" s="92" t="s">
        <v>309</v>
      </c>
      <c r="E13" s="92" t="s">
        <v>95</v>
      </c>
      <c r="F13" s="92" t="s">
        <v>269</v>
      </c>
      <c r="G13" s="9" t="s">
        <v>270</v>
      </c>
      <c r="H13" s="92" t="s">
        <v>299</v>
      </c>
      <c r="I13" s="92" t="s">
        <v>272</v>
      </c>
      <c r="J13" s="92" t="s">
        <v>273</v>
      </c>
      <c r="K13" s="92" t="s">
        <v>273</v>
      </c>
      <c r="L13" s="92" t="s">
        <v>274</v>
      </c>
      <c r="M13" s="92" t="s">
        <v>168</v>
      </c>
      <c r="N13" s="92" t="s">
        <v>168</v>
      </c>
      <c r="O13" s="92" t="s">
        <v>173</v>
      </c>
      <c r="P13" s="92" t="s">
        <v>173</v>
      </c>
      <c r="Q13" s="92" t="s">
        <v>310</v>
      </c>
      <c r="R13" s="92">
        <v>4</v>
      </c>
      <c r="S13" s="92">
        <v>1356</v>
      </c>
      <c r="T13" s="9">
        <v>44103</v>
      </c>
      <c r="U13" s="9">
        <v>44154</v>
      </c>
    </row>
    <row r="14" spans="1:25" x14ac:dyDescent="0.2">
      <c r="A14" s="10" t="str">
        <f>HYPERLINK("http://www.ofsted.gov.uk/inspection-reports/find-inspection-report/provider/ELS/103947 ","Ofsted School Webpage")</f>
        <v>Ofsted School Webpage</v>
      </c>
      <c r="B14" s="92">
        <v>103947</v>
      </c>
      <c r="C14" s="92">
        <v>3332133</v>
      </c>
      <c r="D14" s="92" t="s">
        <v>311</v>
      </c>
      <c r="E14" s="92" t="s">
        <v>94</v>
      </c>
      <c r="F14" s="92" t="s">
        <v>269</v>
      </c>
      <c r="G14" s="9" t="s">
        <v>270</v>
      </c>
      <c r="H14" s="92" t="s">
        <v>271</v>
      </c>
      <c r="I14" s="92" t="s">
        <v>272</v>
      </c>
      <c r="J14" s="92" t="s">
        <v>273</v>
      </c>
      <c r="K14" s="92" t="s">
        <v>273</v>
      </c>
      <c r="L14" s="92" t="s">
        <v>274</v>
      </c>
      <c r="M14" s="92" t="s">
        <v>226</v>
      </c>
      <c r="N14" s="92" t="s">
        <v>226</v>
      </c>
      <c r="O14" s="92" t="s">
        <v>228</v>
      </c>
      <c r="P14" s="92" t="s">
        <v>312</v>
      </c>
      <c r="Q14" s="92" t="s">
        <v>313</v>
      </c>
      <c r="R14" s="92">
        <v>2</v>
      </c>
      <c r="S14" s="92">
        <v>329</v>
      </c>
      <c r="T14" s="9">
        <v>44103</v>
      </c>
      <c r="U14" s="9">
        <v>44146</v>
      </c>
    </row>
    <row r="15" spans="1:25" x14ac:dyDescent="0.2">
      <c r="A15" s="10" t="str">
        <f>HYPERLINK("http://www.ofsted.gov.uk/inspection-reports/find-inspection-report/provider/ELS/112593 ","Ofsted School Webpage")</f>
        <v>Ofsted School Webpage</v>
      </c>
      <c r="B15" s="92">
        <v>112593</v>
      </c>
      <c r="C15" s="92">
        <v>8302174</v>
      </c>
      <c r="D15" s="92" t="s">
        <v>314</v>
      </c>
      <c r="E15" s="92" t="s">
        <v>94</v>
      </c>
      <c r="F15" s="92" t="s">
        <v>269</v>
      </c>
      <c r="G15" s="9" t="s">
        <v>270</v>
      </c>
      <c r="H15" s="92" t="s">
        <v>271</v>
      </c>
      <c r="I15" s="92" t="s">
        <v>272</v>
      </c>
      <c r="J15" s="92" t="s">
        <v>273</v>
      </c>
      <c r="K15" s="92" t="s">
        <v>273</v>
      </c>
      <c r="L15" s="92" t="s">
        <v>274</v>
      </c>
      <c r="M15" s="92" t="s">
        <v>100</v>
      </c>
      <c r="N15" s="92" t="s">
        <v>100</v>
      </c>
      <c r="O15" s="92" t="s">
        <v>101</v>
      </c>
      <c r="P15" s="92" t="s">
        <v>296</v>
      </c>
      <c r="Q15" s="92" t="s">
        <v>315</v>
      </c>
      <c r="R15" s="92">
        <v>1</v>
      </c>
      <c r="S15" s="92">
        <v>258</v>
      </c>
      <c r="T15" s="9">
        <v>44103</v>
      </c>
      <c r="U15" s="9">
        <v>44147</v>
      </c>
    </row>
    <row r="16" spans="1:25" x14ac:dyDescent="0.2">
      <c r="A16" s="10" t="str">
        <f>HYPERLINK("http://www.ofsted.gov.uk/inspection-reports/find-inspection-report/provider/ELS/109807 ","Ofsted School Webpage")</f>
        <v>Ofsted School Webpage</v>
      </c>
      <c r="B16" s="92">
        <v>109807</v>
      </c>
      <c r="C16" s="92">
        <v>8672060</v>
      </c>
      <c r="D16" s="92" t="s">
        <v>316</v>
      </c>
      <c r="E16" s="92" t="s">
        <v>94</v>
      </c>
      <c r="F16" s="92" t="s">
        <v>269</v>
      </c>
      <c r="G16" s="9" t="s">
        <v>270</v>
      </c>
      <c r="H16" s="92" t="s">
        <v>271</v>
      </c>
      <c r="I16" s="92" t="s">
        <v>272</v>
      </c>
      <c r="J16" s="92" t="s">
        <v>273</v>
      </c>
      <c r="K16" s="92" t="s">
        <v>273</v>
      </c>
      <c r="L16" s="92" t="s">
        <v>274</v>
      </c>
      <c r="M16" s="92" t="s">
        <v>192</v>
      </c>
      <c r="N16" s="92" t="s">
        <v>192</v>
      </c>
      <c r="O16" s="92" t="s">
        <v>197</v>
      </c>
      <c r="P16" s="92" t="s">
        <v>317</v>
      </c>
      <c r="Q16" s="92" t="s">
        <v>318</v>
      </c>
      <c r="R16" s="92">
        <v>3</v>
      </c>
      <c r="S16" s="92">
        <v>627</v>
      </c>
      <c r="T16" s="9">
        <v>44103</v>
      </c>
      <c r="U16" s="9">
        <v>44152</v>
      </c>
    </row>
    <row r="17" spans="1:21" x14ac:dyDescent="0.2">
      <c r="A17" s="10" t="str">
        <f>HYPERLINK("http://www.ofsted.gov.uk/inspection-reports/find-inspection-report/provider/ELS/100257 ","Ofsted School Webpage")</f>
        <v>Ofsted School Webpage</v>
      </c>
      <c r="B17" s="92">
        <v>100257</v>
      </c>
      <c r="C17" s="92">
        <v>2042863</v>
      </c>
      <c r="D17" s="92" t="s">
        <v>319</v>
      </c>
      <c r="E17" s="92" t="s">
        <v>94</v>
      </c>
      <c r="F17" s="92" t="s">
        <v>269</v>
      </c>
      <c r="G17" s="9" t="s">
        <v>270</v>
      </c>
      <c r="H17" s="92" t="s">
        <v>271</v>
      </c>
      <c r="I17" s="92" t="s">
        <v>272</v>
      </c>
      <c r="J17" s="92" t="s">
        <v>273</v>
      </c>
      <c r="K17" s="92" t="s">
        <v>273</v>
      </c>
      <c r="L17" s="92" t="s">
        <v>274</v>
      </c>
      <c r="M17" s="92" t="s">
        <v>122</v>
      </c>
      <c r="N17" s="92" t="s">
        <v>122</v>
      </c>
      <c r="O17" s="92" t="s">
        <v>126</v>
      </c>
      <c r="P17" s="92" t="s">
        <v>320</v>
      </c>
      <c r="Q17" s="92" t="s">
        <v>321</v>
      </c>
      <c r="R17" s="92">
        <v>4</v>
      </c>
      <c r="S17" s="92">
        <v>230</v>
      </c>
      <c r="T17" s="9">
        <v>44103</v>
      </c>
      <c r="U17" s="9">
        <v>44146</v>
      </c>
    </row>
    <row r="18" spans="1:21" x14ac:dyDescent="0.2">
      <c r="A18" s="10" t="str">
        <f>HYPERLINK("http://www.ofsted.gov.uk/inspection-reports/find-inspection-report/provider/ELS/110756 ","Ofsted School Webpage")</f>
        <v>Ofsted School Webpage</v>
      </c>
      <c r="B18" s="92">
        <v>110756</v>
      </c>
      <c r="C18" s="92">
        <v>8742325</v>
      </c>
      <c r="D18" s="92" t="s">
        <v>322</v>
      </c>
      <c r="E18" s="92" t="s">
        <v>94</v>
      </c>
      <c r="F18" s="92" t="s">
        <v>269</v>
      </c>
      <c r="G18" s="9" t="s">
        <v>270</v>
      </c>
      <c r="H18" s="92" t="s">
        <v>271</v>
      </c>
      <c r="I18" s="92" t="s">
        <v>272</v>
      </c>
      <c r="J18" s="92" t="s">
        <v>273</v>
      </c>
      <c r="K18" s="92" t="s">
        <v>273</v>
      </c>
      <c r="L18" s="92" t="s">
        <v>274</v>
      </c>
      <c r="M18" s="92" t="s">
        <v>110</v>
      </c>
      <c r="N18" s="92" t="s">
        <v>110</v>
      </c>
      <c r="O18" s="92" t="s">
        <v>115</v>
      </c>
      <c r="P18" s="92" t="s">
        <v>115</v>
      </c>
      <c r="Q18" s="92" t="s">
        <v>323</v>
      </c>
      <c r="R18" s="92">
        <v>4</v>
      </c>
      <c r="S18" s="92">
        <v>621</v>
      </c>
      <c r="T18" s="9">
        <v>44103</v>
      </c>
      <c r="U18" s="9">
        <v>44145</v>
      </c>
    </row>
    <row r="19" spans="1:21" x14ac:dyDescent="0.2">
      <c r="A19" s="10" t="str">
        <f>HYPERLINK("http://www.ofsted.gov.uk/inspection-reports/find-inspection-report/provider/ELS/118301 ","Ofsted School Webpage")</f>
        <v>Ofsted School Webpage</v>
      </c>
      <c r="B19" s="92">
        <v>118301</v>
      </c>
      <c r="C19" s="92">
        <v>8862175</v>
      </c>
      <c r="D19" s="92" t="s">
        <v>324</v>
      </c>
      <c r="E19" s="92" t="s">
        <v>94</v>
      </c>
      <c r="F19" s="92" t="s">
        <v>269</v>
      </c>
      <c r="G19" s="9" t="s">
        <v>270</v>
      </c>
      <c r="H19" s="92" t="s">
        <v>271</v>
      </c>
      <c r="I19" s="92" t="s">
        <v>272</v>
      </c>
      <c r="J19" s="92" t="s">
        <v>273</v>
      </c>
      <c r="K19" s="92" t="s">
        <v>273</v>
      </c>
      <c r="L19" s="92" t="s">
        <v>274</v>
      </c>
      <c r="M19" s="92" t="s">
        <v>192</v>
      </c>
      <c r="N19" s="92" t="s">
        <v>192</v>
      </c>
      <c r="O19" s="92" t="s">
        <v>194</v>
      </c>
      <c r="P19" s="92" t="s">
        <v>325</v>
      </c>
      <c r="Q19" s="92" t="s">
        <v>326</v>
      </c>
      <c r="R19" s="92">
        <v>3</v>
      </c>
      <c r="S19" s="92">
        <v>333</v>
      </c>
      <c r="T19" s="9">
        <v>44103</v>
      </c>
      <c r="U19" s="9">
        <v>44139</v>
      </c>
    </row>
    <row r="20" spans="1:21" x14ac:dyDescent="0.2">
      <c r="A20" s="10" t="str">
        <f>HYPERLINK("http://www.ofsted.gov.uk/inspection-reports/find-inspection-report/provider/ELS/124679 ","Ofsted School Webpage")</f>
        <v>Ofsted School Webpage</v>
      </c>
      <c r="B20" s="92">
        <v>124679</v>
      </c>
      <c r="C20" s="92">
        <v>9352922</v>
      </c>
      <c r="D20" s="92" t="s">
        <v>327</v>
      </c>
      <c r="E20" s="92" t="s">
        <v>94</v>
      </c>
      <c r="F20" s="92" t="s">
        <v>269</v>
      </c>
      <c r="G20" s="9">
        <v>32021</v>
      </c>
      <c r="H20" s="92" t="s">
        <v>271</v>
      </c>
      <c r="I20" s="92" t="s">
        <v>272</v>
      </c>
      <c r="J20" s="92" t="s">
        <v>273</v>
      </c>
      <c r="K20" s="92" t="s">
        <v>273</v>
      </c>
      <c r="L20" s="92" t="s">
        <v>274</v>
      </c>
      <c r="M20" s="92" t="s">
        <v>110</v>
      </c>
      <c r="N20" s="92" t="s">
        <v>110</v>
      </c>
      <c r="O20" s="92" t="s">
        <v>114</v>
      </c>
      <c r="P20" s="92" t="s">
        <v>328</v>
      </c>
      <c r="Q20" s="92" t="s">
        <v>329</v>
      </c>
      <c r="R20" s="92">
        <v>3</v>
      </c>
      <c r="S20" s="92">
        <v>635</v>
      </c>
      <c r="T20" s="9">
        <v>44103</v>
      </c>
      <c r="U20" s="9">
        <v>44145</v>
      </c>
    </row>
    <row r="21" spans="1:21" x14ac:dyDescent="0.2">
      <c r="A21" s="10" t="str">
        <f>HYPERLINK("http://www.ofsted.gov.uk/inspection-reports/find-inspection-report/provider/ELS/103659 ","Ofsted School Webpage")</f>
        <v>Ofsted School Webpage</v>
      </c>
      <c r="B21" s="92">
        <v>103659</v>
      </c>
      <c r="C21" s="92">
        <v>3312079</v>
      </c>
      <c r="D21" s="92" t="s">
        <v>330</v>
      </c>
      <c r="E21" s="92" t="s">
        <v>94</v>
      </c>
      <c r="F21" s="92" t="s">
        <v>269</v>
      </c>
      <c r="G21" s="9" t="s">
        <v>270</v>
      </c>
      <c r="H21" s="92" t="s">
        <v>271</v>
      </c>
      <c r="I21" s="92" t="s">
        <v>272</v>
      </c>
      <c r="J21" s="92" t="s">
        <v>273</v>
      </c>
      <c r="K21" s="92" t="s">
        <v>273</v>
      </c>
      <c r="L21" s="92" t="s">
        <v>274</v>
      </c>
      <c r="M21" s="92" t="s">
        <v>226</v>
      </c>
      <c r="N21" s="92" t="s">
        <v>226</v>
      </c>
      <c r="O21" s="92" t="s">
        <v>233</v>
      </c>
      <c r="P21" s="92" t="s">
        <v>331</v>
      </c>
      <c r="Q21" s="92" t="s">
        <v>332</v>
      </c>
      <c r="R21" s="92">
        <v>5</v>
      </c>
      <c r="S21" s="92">
        <v>399</v>
      </c>
      <c r="T21" s="9">
        <v>44103</v>
      </c>
      <c r="U21" s="9">
        <v>44137</v>
      </c>
    </row>
    <row r="22" spans="1:21" x14ac:dyDescent="0.2">
      <c r="A22" s="10" t="str">
        <f>HYPERLINK("http://www.ofsted.gov.uk/inspection-reports/find-inspection-report/provider/ELS/106076 ","Ofsted School Webpage")</f>
        <v>Ofsted School Webpage</v>
      </c>
      <c r="B22" s="92">
        <v>106076</v>
      </c>
      <c r="C22" s="92">
        <v>3562084</v>
      </c>
      <c r="D22" s="92" t="s">
        <v>333</v>
      </c>
      <c r="E22" s="92" t="s">
        <v>94</v>
      </c>
      <c r="F22" s="92" t="s">
        <v>269</v>
      </c>
      <c r="G22" s="9" t="s">
        <v>270</v>
      </c>
      <c r="H22" s="92" t="s">
        <v>271</v>
      </c>
      <c r="I22" s="92" t="s">
        <v>272</v>
      </c>
      <c r="J22" s="92" t="s">
        <v>273</v>
      </c>
      <c r="K22" s="92" t="s">
        <v>273</v>
      </c>
      <c r="L22" s="92" t="s">
        <v>274</v>
      </c>
      <c r="M22" s="92" t="s">
        <v>168</v>
      </c>
      <c r="N22" s="92" t="s">
        <v>168</v>
      </c>
      <c r="O22" s="92" t="s">
        <v>174</v>
      </c>
      <c r="P22" s="92" t="s">
        <v>334</v>
      </c>
      <c r="Q22" s="92" t="s">
        <v>335</v>
      </c>
      <c r="R22" s="92">
        <v>3</v>
      </c>
      <c r="S22" s="92">
        <v>561</v>
      </c>
      <c r="T22" s="9">
        <v>44103</v>
      </c>
      <c r="U22" s="9">
        <v>44153</v>
      </c>
    </row>
    <row r="23" spans="1:21" x14ac:dyDescent="0.2">
      <c r="A23" s="10" t="str">
        <f>HYPERLINK("http://www.ofsted.gov.uk/inspection-reports/find-inspection-report/provider/ELS/108698 ","Ofsted School Webpage")</f>
        <v>Ofsted School Webpage</v>
      </c>
      <c r="B23" s="92">
        <v>108698</v>
      </c>
      <c r="C23" s="92">
        <v>3932073</v>
      </c>
      <c r="D23" s="92" t="s">
        <v>336</v>
      </c>
      <c r="E23" s="92" t="s">
        <v>94</v>
      </c>
      <c r="F23" s="92" t="s">
        <v>269</v>
      </c>
      <c r="G23" s="9" t="s">
        <v>270</v>
      </c>
      <c r="H23" s="92" t="s">
        <v>271</v>
      </c>
      <c r="I23" s="92" t="s">
        <v>272</v>
      </c>
      <c r="J23" s="92" t="s">
        <v>273</v>
      </c>
      <c r="K23" s="92" t="s">
        <v>273</v>
      </c>
      <c r="L23" s="92" t="s">
        <v>274</v>
      </c>
      <c r="M23" s="92" t="s">
        <v>261</v>
      </c>
      <c r="N23" s="92" t="s">
        <v>155</v>
      </c>
      <c r="O23" s="92" t="s">
        <v>157</v>
      </c>
      <c r="P23" s="92" t="s">
        <v>337</v>
      </c>
      <c r="Q23" s="92" t="s">
        <v>338</v>
      </c>
      <c r="R23" s="92">
        <v>5</v>
      </c>
      <c r="S23" s="92">
        <v>236</v>
      </c>
      <c r="T23" s="9">
        <v>44103</v>
      </c>
      <c r="U23" s="9">
        <v>44139</v>
      </c>
    </row>
    <row r="24" spans="1:21" x14ac:dyDescent="0.2">
      <c r="A24" s="10" t="str">
        <f>HYPERLINK("http://www.ofsted.gov.uk/inspection-reports/find-inspection-report/provider/ELS/112671 ","Ofsted School Webpage")</f>
        <v>Ofsted School Webpage</v>
      </c>
      <c r="B24" s="92">
        <v>112671</v>
      </c>
      <c r="C24" s="92">
        <v>8302299</v>
      </c>
      <c r="D24" s="92" t="s">
        <v>339</v>
      </c>
      <c r="E24" s="92" t="s">
        <v>94</v>
      </c>
      <c r="F24" s="92" t="s">
        <v>269</v>
      </c>
      <c r="G24" s="9" t="s">
        <v>270</v>
      </c>
      <c r="H24" s="92" t="s">
        <v>271</v>
      </c>
      <c r="I24" s="92" t="s">
        <v>272</v>
      </c>
      <c r="J24" s="92" t="s">
        <v>273</v>
      </c>
      <c r="K24" s="92" t="s">
        <v>273</v>
      </c>
      <c r="L24" s="92" t="s">
        <v>274</v>
      </c>
      <c r="M24" s="92" t="s">
        <v>100</v>
      </c>
      <c r="N24" s="92" t="s">
        <v>100</v>
      </c>
      <c r="O24" s="92" t="s">
        <v>101</v>
      </c>
      <c r="P24" s="92" t="s">
        <v>293</v>
      </c>
      <c r="Q24" s="92" t="s">
        <v>340</v>
      </c>
      <c r="R24" s="92">
        <v>5</v>
      </c>
      <c r="S24" s="92">
        <v>182</v>
      </c>
      <c r="T24" s="9">
        <v>44103</v>
      </c>
      <c r="U24" s="9">
        <v>44144</v>
      </c>
    </row>
    <row r="25" spans="1:21" x14ac:dyDescent="0.2">
      <c r="A25" s="10" t="str">
        <f>HYPERLINK("http://www.ofsted.gov.uk/inspection-reports/find-inspection-report/provider/ELS/120419 ","Ofsted School Webpage")</f>
        <v>Ofsted School Webpage</v>
      </c>
      <c r="B25" s="92">
        <v>120419</v>
      </c>
      <c r="C25" s="92">
        <v>9252102</v>
      </c>
      <c r="D25" s="92" t="s">
        <v>341</v>
      </c>
      <c r="E25" s="92" t="s">
        <v>94</v>
      </c>
      <c r="F25" s="92" t="s">
        <v>269</v>
      </c>
      <c r="G25" s="9" t="s">
        <v>270</v>
      </c>
      <c r="H25" s="92" t="s">
        <v>271</v>
      </c>
      <c r="I25" s="92" t="s">
        <v>272</v>
      </c>
      <c r="J25" s="92" t="s">
        <v>273</v>
      </c>
      <c r="K25" s="92" t="s">
        <v>273</v>
      </c>
      <c r="L25" s="92" t="s">
        <v>274</v>
      </c>
      <c r="M25" s="92" t="s">
        <v>100</v>
      </c>
      <c r="N25" s="92" t="s">
        <v>100</v>
      </c>
      <c r="O25" s="92" t="s">
        <v>104</v>
      </c>
      <c r="P25" s="92" t="s">
        <v>342</v>
      </c>
      <c r="Q25" s="92" t="s">
        <v>343</v>
      </c>
      <c r="R25" s="92">
        <v>3</v>
      </c>
      <c r="S25" s="92">
        <v>81</v>
      </c>
      <c r="T25" s="9">
        <v>44103</v>
      </c>
      <c r="U25" s="9">
        <v>44146</v>
      </c>
    </row>
    <row r="26" spans="1:21" x14ac:dyDescent="0.2">
      <c r="A26" s="10" t="str">
        <f>HYPERLINK("http://www.ofsted.gov.uk/inspection-reports/find-inspection-report/provider/ELS/116828 ","Ofsted School Webpage")</f>
        <v>Ofsted School Webpage</v>
      </c>
      <c r="B26" s="92">
        <v>116828</v>
      </c>
      <c r="C26" s="92">
        <v>8843071</v>
      </c>
      <c r="D26" s="92" t="s">
        <v>344</v>
      </c>
      <c r="E26" s="92" t="s">
        <v>94</v>
      </c>
      <c r="F26" s="92" t="s">
        <v>345</v>
      </c>
      <c r="G26" s="9" t="s">
        <v>270</v>
      </c>
      <c r="H26" s="92" t="s">
        <v>271</v>
      </c>
      <c r="I26" s="92" t="s">
        <v>272</v>
      </c>
      <c r="J26" s="92" t="s">
        <v>346</v>
      </c>
      <c r="K26" s="92" t="s">
        <v>273</v>
      </c>
      <c r="L26" s="92" t="s">
        <v>347</v>
      </c>
      <c r="M26" s="92" t="s">
        <v>226</v>
      </c>
      <c r="N26" s="92" t="s">
        <v>226</v>
      </c>
      <c r="O26" s="92" t="s">
        <v>227</v>
      </c>
      <c r="P26" s="92" t="s">
        <v>348</v>
      </c>
      <c r="Q26" s="92" t="s">
        <v>349</v>
      </c>
      <c r="R26" s="92">
        <v>3</v>
      </c>
      <c r="S26" s="92">
        <v>99</v>
      </c>
      <c r="T26" s="9">
        <v>44103</v>
      </c>
      <c r="U26" s="9">
        <v>44145</v>
      </c>
    </row>
    <row r="27" spans="1:21" x14ac:dyDescent="0.2">
      <c r="A27" s="10" t="str">
        <f>HYPERLINK("http://www.ofsted.gov.uk/inspection-reports/find-inspection-report/provider/ELS/111451 ","Ofsted School Webpage")</f>
        <v>Ofsted School Webpage</v>
      </c>
      <c r="B27" s="92">
        <v>111451</v>
      </c>
      <c r="C27" s="92">
        <v>8964611</v>
      </c>
      <c r="D27" s="92" t="s">
        <v>350</v>
      </c>
      <c r="E27" s="92" t="s">
        <v>95</v>
      </c>
      <c r="F27" s="92" t="s">
        <v>351</v>
      </c>
      <c r="G27" s="9" t="s">
        <v>270</v>
      </c>
      <c r="H27" s="92" t="s">
        <v>299</v>
      </c>
      <c r="I27" s="92" t="s">
        <v>300</v>
      </c>
      <c r="J27" s="92" t="s">
        <v>352</v>
      </c>
      <c r="K27" s="92" t="s">
        <v>273</v>
      </c>
      <c r="L27" s="92" t="s">
        <v>347</v>
      </c>
      <c r="M27" s="92" t="s">
        <v>168</v>
      </c>
      <c r="N27" s="92" t="s">
        <v>168</v>
      </c>
      <c r="O27" s="92" t="s">
        <v>175</v>
      </c>
      <c r="P27" s="92" t="s">
        <v>353</v>
      </c>
      <c r="Q27" s="92" t="s">
        <v>354</v>
      </c>
      <c r="R27" s="92">
        <v>4</v>
      </c>
      <c r="S27" s="92">
        <v>885</v>
      </c>
      <c r="T27" s="9">
        <v>44103</v>
      </c>
      <c r="U27" s="9">
        <v>44159</v>
      </c>
    </row>
    <row r="28" spans="1:21" x14ac:dyDescent="0.2">
      <c r="A28" s="10" t="str">
        <f>HYPERLINK("http://www.ofsted.gov.uk/inspection-reports/find-inspection-report/provider/ELS/125245 ","Ofsted School Webpage")</f>
        <v>Ofsted School Webpage</v>
      </c>
      <c r="B28" s="92">
        <v>125245</v>
      </c>
      <c r="C28" s="92">
        <v>9363927</v>
      </c>
      <c r="D28" s="92" t="s">
        <v>355</v>
      </c>
      <c r="E28" s="92" t="s">
        <v>94</v>
      </c>
      <c r="F28" s="92" t="s">
        <v>351</v>
      </c>
      <c r="G28" s="9" t="s">
        <v>270</v>
      </c>
      <c r="H28" s="92" t="s">
        <v>271</v>
      </c>
      <c r="I28" s="92" t="s">
        <v>272</v>
      </c>
      <c r="J28" s="92" t="s">
        <v>346</v>
      </c>
      <c r="K28" s="92" t="s">
        <v>273</v>
      </c>
      <c r="L28" s="92" t="s">
        <v>347</v>
      </c>
      <c r="M28" s="92" t="s">
        <v>192</v>
      </c>
      <c r="N28" s="92" t="s">
        <v>192</v>
      </c>
      <c r="O28" s="92" t="s">
        <v>198</v>
      </c>
      <c r="P28" s="92" t="s">
        <v>356</v>
      </c>
      <c r="Q28" s="92" t="s">
        <v>357</v>
      </c>
      <c r="R28" s="92">
        <v>1</v>
      </c>
      <c r="S28" s="92">
        <v>182</v>
      </c>
      <c r="T28" s="9">
        <v>44103</v>
      </c>
      <c r="U28" s="9">
        <v>44140</v>
      </c>
    </row>
    <row r="29" spans="1:21" x14ac:dyDescent="0.2">
      <c r="A29" s="10" t="str">
        <f>HYPERLINK("http://www.ofsted.gov.uk/inspection-reports/find-inspection-report/provider/ELS/100035 ","Ofsted School Webpage")</f>
        <v>Ofsted School Webpage</v>
      </c>
      <c r="B29" s="92">
        <v>100035</v>
      </c>
      <c r="C29" s="92">
        <v>2023391</v>
      </c>
      <c r="D29" s="92" t="s">
        <v>358</v>
      </c>
      <c r="E29" s="92" t="s">
        <v>94</v>
      </c>
      <c r="F29" s="92" t="s">
        <v>351</v>
      </c>
      <c r="G29" s="9" t="s">
        <v>270</v>
      </c>
      <c r="H29" s="92" t="s">
        <v>271</v>
      </c>
      <c r="I29" s="92" t="s">
        <v>272</v>
      </c>
      <c r="J29" s="92" t="s">
        <v>352</v>
      </c>
      <c r="K29" s="92" t="s">
        <v>273</v>
      </c>
      <c r="L29" s="92" t="s">
        <v>347</v>
      </c>
      <c r="M29" s="92" t="s">
        <v>122</v>
      </c>
      <c r="N29" s="92" t="s">
        <v>122</v>
      </c>
      <c r="O29" s="92" t="s">
        <v>127</v>
      </c>
      <c r="P29" s="92" t="s">
        <v>359</v>
      </c>
      <c r="Q29" s="92" t="s">
        <v>360</v>
      </c>
      <c r="R29" s="92">
        <v>4</v>
      </c>
      <c r="S29" s="92">
        <v>309</v>
      </c>
      <c r="T29" s="9">
        <v>44103</v>
      </c>
      <c r="U29" s="9">
        <v>44154</v>
      </c>
    </row>
    <row r="30" spans="1:21" x14ac:dyDescent="0.2">
      <c r="A30" s="10" t="str">
        <f>HYPERLINK("http://www.ofsted.gov.uk/inspection-reports/find-inspection-report/provider/ELS/113328 ","Ofsted School Webpage")</f>
        <v>Ofsted School Webpage</v>
      </c>
      <c r="B30" s="92">
        <v>113328</v>
      </c>
      <c r="C30" s="92">
        <v>8792707</v>
      </c>
      <c r="D30" s="92" t="s">
        <v>361</v>
      </c>
      <c r="E30" s="92" t="s">
        <v>94</v>
      </c>
      <c r="F30" s="92" t="s">
        <v>269</v>
      </c>
      <c r="G30" s="9" t="s">
        <v>270</v>
      </c>
      <c r="H30" s="92" t="s">
        <v>271</v>
      </c>
      <c r="I30" s="92" t="s">
        <v>272</v>
      </c>
      <c r="J30" s="92" t="s">
        <v>273</v>
      </c>
      <c r="K30" s="92" t="s">
        <v>273</v>
      </c>
      <c r="L30" s="92" t="s">
        <v>274</v>
      </c>
      <c r="M30" s="92" t="s">
        <v>211</v>
      </c>
      <c r="N30" s="92" t="s">
        <v>211</v>
      </c>
      <c r="O30" s="92" t="s">
        <v>214</v>
      </c>
      <c r="P30" s="92" t="s">
        <v>362</v>
      </c>
      <c r="Q30" s="92" t="s">
        <v>363</v>
      </c>
      <c r="R30" s="92">
        <v>2</v>
      </c>
      <c r="S30" s="92">
        <v>208</v>
      </c>
      <c r="T30" s="9">
        <v>44103</v>
      </c>
      <c r="U30" s="9">
        <v>44123</v>
      </c>
    </row>
    <row r="31" spans="1:21" x14ac:dyDescent="0.2">
      <c r="A31" s="10" t="str">
        <f>HYPERLINK("http://www.ofsted.gov.uk/inspection-reports/find-inspection-report/provider/ELS/102139 ","Ofsted School Webpage")</f>
        <v>Ofsted School Webpage</v>
      </c>
      <c r="B31" s="92">
        <v>102139</v>
      </c>
      <c r="C31" s="92">
        <v>3093306</v>
      </c>
      <c r="D31" s="92" t="s">
        <v>364</v>
      </c>
      <c r="E31" s="92" t="s">
        <v>94</v>
      </c>
      <c r="F31" s="92" t="s">
        <v>351</v>
      </c>
      <c r="G31" s="92" t="s">
        <v>270</v>
      </c>
      <c r="H31" s="92" t="s">
        <v>271</v>
      </c>
      <c r="I31" s="92" t="s">
        <v>272</v>
      </c>
      <c r="J31" s="92" t="s">
        <v>346</v>
      </c>
      <c r="K31" s="92" t="s">
        <v>273</v>
      </c>
      <c r="L31" s="92" t="s">
        <v>347</v>
      </c>
      <c r="M31" s="92" t="s">
        <v>122</v>
      </c>
      <c r="N31" s="92" t="s">
        <v>122</v>
      </c>
      <c r="O31" s="92" t="s">
        <v>128</v>
      </c>
      <c r="P31" s="92" t="s">
        <v>365</v>
      </c>
      <c r="Q31" s="92" t="s">
        <v>366</v>
      </c>
      <c r="R31" s="92">
        <v>4</v>
      </c>
      <c r="S31" s="92">
        <v>533</v>
      </c>
      <c r="T31" s="9">
        <v>44103</v>
      </c>
      <c r="U31" s="9">
        <v>44137</v>
      </c>
    </row>
    <row r="32" spans="1:21" x14ac:dyDescent="0.2">
      <c r="A32" s="10" t="str">
        <f>HYPERLINK("http://www.ofsted.gov.uk/inspection-reports/find-inspection-report/provider/ELS/112357 ","Ofsted School Webpage")</f>
        <v>Ofsted School Webpage</v>
      </c>
      <c r="B32" s="92">
        <v>112357</v>
      </c>
      <c r="C32" s="92">
        <v>9093551</v>
      </c>
      <c r="D32" s="92" t="s">
        <v>367</v>
      </c>
      <c r="E32" s="92" t="s">
        <v>94</v>
      </c>
      <c r="F32" s="92" t="s">
        <v>351</v>
      </c>
      <c r="G32" s="92" t="s">
        <v>270</v>
      </c>
      <c r="H32" s="92" t="s">
        <v>271</v>
      </c>
      <c r="I32" s="92" t="s">
        <v>272</v>
      </c>
      <c r="J32" s="92" t="s">
        <v>352</v>
      </c>
      <c r="K32" s="92" t="s">
        <v>273</v>
      </c>
      <c r="L32" s="92" t="s">
        <v>347</v>
      </c>
      <c r="M32" s="92" t="s">
        <v>168</v>
      </c>
      <c r="N32" s="92" t="s">
        <v>168</v>
      </c>
      <c r="O32" s="92" t="s">
        <v>176</v>
      </c>
      <c r="P32" s="92" t="s">
        <v>368</v>
      </c>
      <c r="Q32" s="92" t="s">
        <v>369</v>
      </c>
      <c r="R32" s="92">
        <v>3</v>
      </c>
      <c r="S32" s="92">
        <v>97</v>
      </c>
      <c r="T32" s="9">
        <v>44103</v>
      </c>
      <c r="U32" s="9">
        <v>44157</v>
      </c>
    </row>
    <row r="33" spans="1:21" x14ac:dyDescent="0.2">
      <c r="A33" s="10" t="str">
        <f>HYPERLINK("http://www.ofsted.gov.uk/inspection-reports/find-inspection-report/provider/ELS/107992 ","Ofsted School Webpage")</f>
        <v>Ofsted School Webpage</v>
      </c>
      <c r="B33" s="92">
        <v>107992</v>
      </c>
      <c r="C33" s="92">
        <v>3833040</v>
      </c>
      <c r="D33" s="92" t="s">
        <v>370</v>
      </c>
      <c r="E33" s="92" t="s">
        <v>94</v>
      </c>
      <c r="F33" s="92" t="s">
        <v>345</v>
      </c>
      <c r="G33" s="9" t="s">
        <v>270</v>
      </c>
      <c r="H33" s="92" t="s">
        <v>271</v>
      </c>
      <c r="I33" s="92" t="s">
        <v>272</v>
      </c>
      <c r="J33" s="92" t="s">
        <v>346</v>
      </c>
      <c r="K33" s="92" t="s">
        <v>273</v>
      </c>
      <c r="L33" s="92" t="s">
        <v>347</v>
      </c>
      <c r="M33" s="92" t="s">
        <v>261</v>
      </c>
      <c r="N33" s="92" t="s">
        <v>241</v>
      </c>
      <c r="O33" s="92" t="s">
        <v>244</v>
      </c>
      <c r="P33" s="92" t="s">
        <v>371</v>
      </c>
      <c r="Q33" s="92" t="s">
        <v>372</v>
      </c>
      <c r="R33" s="92">
        <v>4</v>
      </c>
      <c r="S33" s="92">
        <v>114</v>
      </c>
      <c r="T33" s="9">
        <v>44103</v>
      </c>
      <c r="U33" s="9">
        <v>44140</v>
      </c>
    </row>
    <row r="34" spans="1:21" x14ac:dyDescent="0.2">
      <c r="A34" s="10" t="str">
        <f>HYPERLINK("http://www.ofsted.gov.uk/inspection-reports/find-inspection-report/provider/ELS/132170 ","Ofsted School Webpage")</f>
        <v>Ofsted School Webpage</v>
      </c>
      <c r="B34" s="92">
        <v>132170</v>
      </c>
      <c r="C34" s="92">
        <v>9092716</v>
      </c>
      <c r="D34" s="92" t="s">
        <v>373</v>
      </c>
      <c r="E34" s="92" t="s">
        <v>94</v>
      </c>
      <c r="F34" s="92" t="s">
        <v>345</v>
      </c>
      <c r="G34" s="9">
        <v>36770</v>
      </c>
      <c r="H34" s="92" t="s">
        <v>271</v>
      </c>
      <c r="I34" s="92" t="s">
        <v>272</v>
      </c>
      <c r="J34" s="92" t="s">
        <v>346</v>
      </c>
      <c r="K34" s="92" t="s">
        <v>273</v>
      </c>
      <c r="L34" s="92" t="s">
        <v>347</v>
      </c>
      <c r="M34" s="92" t="s">
        <v>168</v>
      </c>
      <c r="N34" s="92" t="s">
        <v>168</v>
      </c>
      <c r="O34" s="92" t="s">
        <v>176</v>
      </c>
      <c r="P34" s="92" t="s">
        <v>374</v>
      </c>
      <c r="Q34" s="92" t="s">
        <v>375</v>
      </c>
      <c r="R34" s="92">
        <v>4</v>
      </c>
      <c r="S34" s="92">
        <v>151</v>
      </c>
      <c r="T34" s="9">
        <v>44103</v>
      </c>
      <c r="U34" s="9">
        <v>44139</v>
      </c>
    </row>
    <row r="35" spans="1:21" x14ac:dyDescent="0.2">
      <c r="A35" s="10" t="str">
        <f>HYPERLINK("http://www.ofsted.gov.uk/inspection-reports/find-inspection-report/provider/ELS/119656 ","Ofsted School Webpage")</f>
        <v>Ofsted School Webpage</v>
      </c>
      <c r="B35" s="92">
        <v>119656</v>
      </c>
      <c r="C35" s="92">
        <v>8883762</v>
      </c>
      <c r="D35" s="92" t="s">
        <v>376</v>
      </c>
      <c r="E35" s="92" t="s">
        <v>94</v>
      </c>
      <c r="F35" s="92" t="s">
        <v>351</v>
      </c>
      <c r="G35" s="92" t="s">
        <v>270</v>
      </c>
      <c r="H35" s="92" t="s">
        <v>271</v>
      </c>
      <c r="I35" s="92" t="s">
        <v>272</v>
      </c>
      <c r="J35" s="92" t="s">
        <v>352</v>
      </c>
      <c r="K35" s="92" t="s">
        <v>273</v>
      </c>
      <c r="L35" s="92" t="s">
        <v>347</v>
      </c>
      <c r="M35" s="92" t="s">
        <v>168</v>
      </c>
      <c r="N35" s="92" t="s">
        <v>168</v>
      </c>
      <c r="O35" s="92" t="s">
        <v>169</v>
      </c>
      <c r="P35" s="92" t="s">
        <v>377</v>
      </c>
      <c r="Q35" s="92" t="s">
        <v>378</v>
      </c>
      <c r="R35" s="92">
        <v>5</v>
      </c>
      <c r="S35" s="92">
        <v>251</v>
      </c>
      <c r="T35" s="9">
        <v>44103</v>
      </c>
      <c r="U35" s="9">
        <v>44144</v>
      </c>
    </row>
    <row r="36" spans="1:21" x14ac:dyDescent="0.2">
      <c r="A36" s="10" t="str">
        <f>HYPERLINK("http://www.ofsted.gov.uk/inspection-reports/find-inspection-report/provider/ELS/105525 ","Ofsted School Webpage")</f>
        <v>Ofsted School Webpage</v>
      </c>
      <c r="B36" s="92">
        <v>105525</v>
      </c>
      <c r="C36" s="92">
        <v>3523434</v>
      </c>
      <c r="D36" s="92" t="s">
        <v>379</v>
      </c>
      <c r="E36" s="92" t="s">
        <v>94</v>
      </c>
      <c r="F36" s="92" t="s">
        <v>351</v>
      </c>
      <c r="G36" s="9">
        <v>1</v>
      </c>
      <c r="H36" s="92" t="s">
        <v>271</v>
      </c>
      <c r="I36" s="92" t="s">
        <v>272</v>
      </c>
      <c r="J36" s="92" t="s">
        <v>352</v>
      </c>
      <c r="K36" s="92" t="s">
        <v>273</v>
      </c>
      <c r="L36" s="92" t="s">
        <v>347</v>
      </c>
      <c r="M36" s="92" t="s">
        <v>168</v>
      </c>
      <c r="N36" s="92" t="s">
        <v>168</v>
      </c>
      <c r="O36" s="92" t="s">
        <v>171</v>
      </c>
      <c r="P36" s="92" t="s">
        <v>287</v>
      </c>
      <c r="Q36" s="92" t="s">
        <v>380</v>
      </c>
      <c r="R36" s="92">
        <v>5</v>
      </c>
      <c r="S36" s="92">
        <v>238</v>
      </c>
      <c r="T36" s="9">
        <v>44103</v>
      </c>
      <c r="U36" s="9">
        <v>44119</v>
      </c>
    </row>
    <row r="37" spans="1:21" x14ac:dyDescent="0.2">
      <c r="A37" s="10" t="str">
        <f>HYPERLINK("http://www.ofsted.gov.uk/inspection-reports/find-inspection-report/provider/ELS/115703 ","Ofsted School Webpage")</f>
        <v>Ofsted School Webpage</v>
      </c>
      <c r="B37" s="92">
        <v>115703</v>
      </c>
      <c r="C37" s="92">
        <v>9163352</v>
      </c>
      <c r="D37" s="92" t="s">
        <v>381</v>
      </c>
      <c r="E37" s="92" t="s">
        <v>94</v>
      </c>
      <c r="F37" s="92" t="s">
        <v>351</v>
      </c>
      <c r="G37" s="92" t="s">
        <v>270</v>
      </c>
      <c r="H37" s="92" t="s">
        <v>271</v>
      </c>
      <c r="I37" s="92" t="s">
        <v>272</v>
      </c>
      <c r="J37" s="92" t="s">
        <v>346</v>
      </c>
      <c r="K37" s="92" t="s">
        <v>273</v>
      </c>
      <c r="L37" s="92" t="s">
        <v>347</v>
      </c>
      <c r="M37" s="92" t="s">
        <v>211</v>
      </c>
      <c r="N37" s="92" t="s">
        <v>211</v>
      </c>
      <c r="O37" s="92" t="s">
        <v>217</v>
      </c>
      <c r="P37" s="92" t="s">
        <v>382</v>
      </c>
      <c r="Q37" s="92" t="s">
        <v>383</v>
      </c>
      <c r="R37" s="92">
        <v>1</v>
      </c>
      <c r="S37" s="92">
        <v>44</v>
      </c>
      <c r="T37" s="9">
        <v>44103</v>
      </c>
      <c r="U37" s="9">
        <v>44138</v>
      </c>
    </row>
    <row r="38" spans="1:21" x14ac:dyDescent="0.2">
      <c r="A38" s="10" t="str">
        <f>HYPERLINK("http://www.ofsted.gov.uk/inspection-reports/find-inspection-report/provider/ELS/118654 ","Ofsted School Webpage")</f>
        <v>Ofsted School Webpage</v>
      </c>
      <c r="B38" s="92">
        <v>118654</v>
      </c>
      <c r="C38" s="92">
        <v>8863122</v>
      </c>
      <c r="D38" s="92" t="s">
        <v>384</v>
      </c>
      <c r="E38" s="92" t="s">
        <v>94</v>
      </c>
      <c r="F38" s="92" t="s">
        <v>345</v>
      </c>
      <c r="G38" s="92" t="s">
        <v>270</v>
      </c>
      <c r="H38" s="92" t="s">
        <v>271</v>
      </c>
      <c r="I38" s="92" t="s">
        <v>272</v>
      </c>
      <c r="J38" s="92" t="s">
        <v>346</v>
      </c>
      <c r="K38" s="92" t="s">
        <v>273</v>
      </c>
      <c r="L38" s="92" t="s">
        <v>347</v>
      </c>
      <c r="M38" s="92" t="s">
        <v>192</v>
      </c>
      <c r="N38" s="92" t="s">
        <v>192</v>
      </c>
      <c r="O38" s="92" t="s">
        <v>194</v>
      </c>
      <c r="P38" s="92" t="s">
        <v>385</v>
      </c>
      <c r="Q38" s="92" t="s">
        <v>386</v>
      </c>
      <c r="R38" s="92">
        <v>2</v>
      </c>
      <c r="S38" s="92">
        <v>418</v>
      </c>
      <c r="T38" s="9">
        <v>44103</v>
      </c>
      <c r="U38" s="9">
        <v>44146</v>
      </c>
    </row>
    <row r="39" spans="1:21" x14ac:dyDescent="0.2">
      <c r="A39" s="10" t="str">
        <f>HYPERLINK("http://www.ofsted.gov.uk/inspection-reports/find-inspection-report/provider/ELS/134722 ","Ofsted School Webpage")</f>
        <v>Ofsted School Webpage</v>
      </c>
      <c r="B39" s="92">
        <v>134722</v>
      </c>
      <c r="C39" s="92">
        <v>3413963</v>
      </c>
      <c r="D39" s="92" t="s">
        <v>387</v>
      </c>
      <c r="E39" s="92" t="s">
        <v>94</v>
      </c>
      <c r="F39" s="92" t="s">
        <v>351</v>
      </c>
      <c r="G39" s="9">
        <v>38231</v>
      </c>
      <c r="H39" s="92" t="s">
        <v>271</v>
      </c>
      <c r="I39" s="92" t="s">
        <v>272</v>
      </c>
      <c r="J39" s="92" t="s">
        <v>352</v>
      </c>
      <c r="K39" s="92" t="s">
        <v>273</v>
      </c>
      <c r="L39" s="92" t="s">
        <v>347</v>
      </c>
      <c r="M39" s="92" t="s">
        <v>168</v>
      </c>
      <c r="N39" s="92" t="s">
        <v>168</v>
      </c>
      <c r="O39" s="92" t="s">
        <v>170</v>
      </c>
      <c r="P39" s="92" t="s">
        <v>388</v>
      </c>
      <c r="Q39" s="92" t="s">
        <v>389</v>
      </c>
      <c r="R39" s="92">
        <v>5</v>
      </c>
      <c r="S39" s="92">
        <v>354</v>
      </c>
      <c r="T39" s="9">
        <v>44103</v>
      </c>
      <c r="U39" s="9">
        <v>44158</v>
      </c>
    </row>
    <row r="40" spans="1:21" x14ac:dyDescent="0.2">
      <c r="A40" s="10" t="str">
        <f>HYPERLINK("http://www.ofsted.gov.uk/inspection-reports/find-inspection-report/provider/ELS/109974 ","Ofsted School Webpage")</f>
        <v>Ofsted School Webpage</v>
      </c>
      <c r="B40" s="92">
        <v>109974</v>
      </c>
      <c r="C40" s="92">
        <v>8693039</v>
      </c>
      <c r="D40" s="92" t="s">
        <v>390</v>
      </c>
      <c r="E40" s="92" t="s">
        <v>94</v>
      </c>
      <c r="F40" s="92" t="s">
        <v>345</v>
      </c>
      <c r="G40" s="92" t="s">
        <v>270</v>
      </c>
      <c r="H40" s="92" t="s">
        <v>271</v>
      </c>
      <c r="I40" s="92" t="s">
        <v>272</v>
      </c>
      <c r="J40" s="92" t="s">
        <v>346</v>
      </c>
      <c r="K40" s="92" t="s">
        <v>273</v>
      </c>
      <c r="L40" s="92" t="s">
        <v>347</v>
      </c>
      <c r="M40" s="92" t="s">
        <v>192</v>
      </c>
      <c r="N40" s="92" t="s">
        <v>192</v>
      </c>
      <c r="O40" s="92" t="s">
        <v>199</v>
      </c>
      <c r="P40" s="92" t="s">
        <v>391</v>
      </c>
      <c r="Q40" s="92" t="s">
        <v>392</v>
      </c>
      <c r="R40" s="92">
        <v>2</v>
      </c>
      <c r="S40" s="92">
        <v>81</v>
      </c>
      <c r="T40" s="9">
        <v>44103</v>
      </c>
      <c r="U40" s="9">
        <v>44151</v>
      </c>
    </row>
    <row r="41" spans="1:21" x14ac:dyDescent="0.2">
      <c r="A41" s="10" t="str">
        <f>HYPERLINK("http://www.ofsted.gov.uk/inspection-reports/find-inspection-report/provider/ELS/118003 ","Ofsted School Webpage")</f>
        <v>Ofsted School Webpage</v>
      </c>
      <c r="B41" s="92">
        <v>118003</v>
      </c>
      <c r="C41" s="92">
        <v>8113050</v>
      </c>
      <c r="D41" s="92" t="s">
        <v>393</v>
      </c>
      <c r="E41" s="92" t="s">
        <v>94</v>
      </c>
      <c r="F41" s="92" t="s">
        <v>345</v>
      </c>
      <c r="G41" s="9" t="s">
        <v>270</v>
      </c>
      <c r="H41" s="92" t="s">
        <v>271</v>
      </c>
      <c r="I41" s="92" t="s">
        <v>272</v>
      </c>
      <c r="J41" s="92" t="s">
        <v>346</v>
      </c>
      <c r="K41" s="92" t="s">
        <v>273</v>
      </c>
      <c r="L41" s="92" t="s">
        <v>347</v>
      </c>
      <c r="M41" s="92" t="s">
        <v>261</v>
      </c>
      <c r="N41" s="92" t="s">
        <v>241</v>
      </c>
      <c r="O41" s="92" t="s">
        <v>243</v>
      </c>
      <c r="P41" s="92" t="s">
        <v>394</v>
      </c>
      <c r="Q41" s="92" t="s">
        <v>395</v>
      </c>
      <c r="R41" s="92">
        <v>1</v>
      </c>
      <c r="S41" s="92">
        <v>235</v>
      </c>
      <c r="T41" s="9">
        <v>44103</v>
      </c>
      <c r="U41" s="9">
        <v>44154</v>
      </c>
    </row>
    <row r="42" spans="1:21" x14ac:dyDescent="0.2">
      <c r="A42" s="10" t="str">
        <f>HYPERLINK("http://www.ofsted.gov.uk/inspection-reports/find-inspection-report/provider/ELS/131591 ","Ofsted School Webpage")</f>
        <v>Ofsted School Webpage</v>
      </c>
      <c r="B42" s="92">
        <v>131591</v>
      </c>
      <c r="C42" s="92">
        <v>3332186</v>
      </c>
      <c r="D42" s="92" t="s">
        <v>396</v>
      </c>
      <c r="E42" s="92" t="s">
        <v>94</v>
      </c>
      <c r="F42" s="92" t="s">
        <v>397</v>
      </c>
      <c r="G42" s="9">
        <v>36039</v>
      </c>
      <c r="H42" s="92" t="s">
        <v>271</v>
      </c>
      <c r="I42" s="92" t="s">
        <v>271</v>
      </c>
      <c r="J42" s="92" t="s">
        <v>273</v>
      </c>
      <c r="K42" s="92" t="s">
        <v>273</v>
      </c>
      <c r="L42" s="92" t="s">
        <v>274</v>
      </c>
      <c r="M42" s="92" t="s">
        <v>226</v>
      </c>
      <c r="N42" s="92" t="s">
        <v>226</v>
      </c>
      <c r="O42" s="92" t="s">
        <v>228</v>
      </c>
      <c r="P42" s="92" t="s">
        <v>398</v>
      </c>
      <c r="Q42" s="92" t="s">
        <v>399</v>
      </c>
      <c r="R42" s="92">
        <v>5</v>
      </c>
      <c r="S42" s="92">
        <v>492</v>
      </c>
      <c r="T42" s="9">
        <v>44103</v>
      </c>
      <c r="U42" s="9">
        <v>44119</v>
      </c>
    </row>
    <row r="43" spans="1:21" x14ac:dyDescent="0.2">
      <c r="A43" s="10" t="str">
        <f>HYPERLINK("http://www.ofsted.gov.uk/inspection-reports/find-inspection-report/provider/ELS/109743 ","Ofsted School Webpage")</f>
        <v>Ofsted School Webpage</v>
      </c>
      <c r="B43" s="92">
        <v>109743</v>
      </c>
      <c r="C43" s="92">
        <v>8217014</v>
      </c>
      <c r="D43" s="92" t="s">
        <v>400</v>
      </c>
      <c r="E43" s="92" t="s">
        <v>96</v>
      </c>
      <c r="F43" s="92" t="s">
        <v>401</v>
      </c>
      <c r="G43" s="92" t="s">
        <v>270</v>
      </c>
      <c r="H43" s="92" t="s">
        <v>271</v>
      </c>
      <c r="I43" s="92" t="s">
        <v>271</v>
      </c>
      <c r="J43" s="92" t="s">
        <v>273</v>
      </c>
      <c r="K43" s="92" t="s">
        <v>273</v>
      </c>
      <c r="L43" s="92" t="s">
        <v>274</v>
      </c>
      <c r="M43" s="92" t="s">
        <v>110</v>
      </c>
      <c r="N43" s="92" t="s">
        <v>110</v>
      </c>
      <c r="O43" s="92" t="s">
        <v>116</v>
      </c>
      <c r="P43" s="92" t="s">
        <v>402</v>
      </c>
      <c r="Q43" s="92" t="s">
        <v>403</v>
      </c>
      <c r="R43" s="92">
        <v>4</v>
      </c>
      <c r="S43" s="92">
        <v>232</v>
      </c>
      <c r="T43" s="9">
        <v>44103</v>
      </c>
      <c r="U43" s="9">
        <v>44147</v>
      </c>
    </row>
    <row r="44" spans="1:21" x14ac:dyDescent="0.2">
      <c r="A44" s="10" t="str">
        <f>HYPERLINK("http://www.ofsted.gov.uk/inspection-reports/find-inspection-report/provider/ELS/119103 ","Ofsted School Webpage")</f>
        <v>Ofsted School Webpage</v>
      </c>
      <c r="B44" s="92">
        <v>119103</v>
      </c>
      <c r="C44" s="92">
        <v>8881100</v>
      </c>
      <c r="D44" s="92" t="s">
        <v>404</v>
      </c>
      <c r="E44" s="92" t="s">
        <v>98</v>
      </c>
      <c r="F44" s="92" t="s">
        <v>405</v>
      </c>
      <c r="G44" s="92" t="s">
        <v>270</v>
      </c>
      <c r="H44" s="92" t="s">
        <v>271</v>
      </c>
      <c r="I44" s="92" t="s">
        <v>271</v>
      </c>
      <c r="J44" s="92" t="s">
        <v>273</v>
      </c>
      <c r="K44" s="92" t="s">
        <v>273</v>
      </c>
      <c r="L44" s="92" t="s">
        <v>274</v>
      </c>
      <c r="M44" s="92" t="s">
        <v>168</v>
      </c>
      <c r="N44" s="92" t="s">
        <v>168</v>
      </c>
      <c r="O44" s="92" t="s">
        <v>169</v>
      </c>
      <c r="P44" s="92" t="s">
        <v>406</v>
      </c>
      <c r="Q44" s="92" t="s">
        <v>407</v>
      </c>
      <c r="R44" s="92">
        <v>1</v>
      </c>
      <c r="S44" s="92">
        <v>11</v>
      </c>
      <c r="T44" s="9">
        <v>44103</v>
      </c>
      <c r="U44" s="9">
        <v>44154</v>
      </c>
    </row>
    <row r="45" spans="1:21" x14ac:dyDescent="0.2">
      <c r="A45" s="10" t="str">
        <f>HYPERLINK("http://www.ofsted.gov.uk/inspection-reports/find-inspection-report/provider/ELS/135904 ","Ofsted School Webpage")</f>
        <v>Ofsted School Webpage</v>
      </c>
      <c r="B45" s="92">
        <v>135904</v>
      </c>
      <c r="C45" s="92">
        <v>9266906</v>
      </c>
      <c r="D45" s="92" t="s">
        <v>408</v>
      </c>
      <c r="E45" s="92" t="s">
        <v>95</v>
      </c>
      <c r="F45" s="92" t="s">
        <v>409</v>
      </c>
      <c r="G45" s="9">
        <v>40057</v>
      </c>
      <c r="H45" s="92" t="s">
        <v>299</v>
      </c>
      <c r="I45" s="92" t="s">
        <v>300</v>
      </c>
      <c r="J45" s="92" t="s">
        <v>273</v>
      </c>
      <c r="K45" s="92" t="s">
        <v>410</v>
      </c>
      <c r="L45" s="92" t="s">
        <v>274</v>
      </c>
      <c r="M45" s="92" t="s">
        <v>110</v>
      </c>
      <c r="N45" s="92" t="s">
        <v>110</v>
      </c>
      <c r="O45" s="92" t="s">
        <v>118</v>
      </c>
      <c r="P45" s="92" t="s">
        <v>411</v>
      </c>
      <c r="Q45" s="92" t="s">
        <v>412</v>
      </c>
      <c r="R45" s="92">
        <v>5</v>
      </c>
      <c r="S45" s="92">
        <v>604</v>
      </c>
      <c r="T45" s="9">
        <v>44103</v>
      </c>
      <c r="U45" s="9">
        <v>44147</v>
      </c>
    </row>
    <row r="46" spans="1:21" x14ac:dyDescent="0.2">
      <c r="A46" s="10" t="str">
        <f>HYPERLINK("http://www.ofsted.gov.uk/inspection-reports/find-inspection-report/provider/ELS/140220 ","Ofsted School Webpage")</f>
        <v>Ofsted School Webpage</v>
      </c>
      <c r="B46" s="92">
        <v>140220</v>
      </c>
      <c r="C46" s="92">
        <v>9332012</v>
      </c>
      <c r="D46" s="92" t="s">
        <v>413</v>
      </c>
      <c r="E46" s="92" t="s">
        <v>94</v>
      </c>
      <c r="F46" s="92" t="s">
        <v>409</v>
      </c>
      <c r="G46" s="9">
        <v>41883</v>
      </c>
      <c r="H46" s="92" t="s">
        <v>299</v>
      </c>
      <c r="I46" s="92" t="s">
        <v>272</v>
      </c>
      <c r="J46" s="92" t="s">
        <v>410</v>
      </c>
      <c r="K46" s="92" t="s">
        <v>410</v>
      </c>
      <c r="L46" s="92" t="s">
        <v>274</v>
      </c>
      <c r="M46" s="92" t="s">
        <v>211</v>
      </c>
      <c r="N46" s="92" t="s">
        <v>211</v>
      </c>
      <c r="O46" s="92" t="s">
        <v>218</v>
      </c>
      <c r="P46" s="92" t="s">
        <v>414</v>
      </c>
      <c r="Q46" s="92" t="s">
        <v>415</v>
      </c>
      <c r="R46" s="92">
        <v>4</v>
      </c>
      <c r="S46" s="92">
        <v>248</v>
      </c>
      <c r="T46" s="9">
        <v>44103</v>
      </c>
      <c r="U46" s="9">
        <v>44140</v>
      </c>
    </row>
    <row r="47" spans="1:21" x14ac:dyDescent="0.2">
      <c r="A47" s="10" t="str">
        <f>HYPERLINK("http://www.ofsted.gov.uk/inspection-reports/find-inspection-report/provider/ELS/121270 ","Ofsted School Webpage")</f>
        <v>Ofsted School Webpage</v>
      </c>
      <c r="B47" s="92">
        <v>121270</v>
      </c>
      <c r="C47" s="92">
        <v>8161100</v>
      </c>
      <c r="D47" s="92" t="s">
        <v>416</v>
      </c>
      <c r="E47" s="92" t="s">
        <v>98</v>
      </c>
      <c r="F47" s="92" t="s">
        <v>405</v>
      </c>
      <c r="G47" s="9" t="s">
        <v>270</v>
      </c>
      <c r="H47" s="92" t="s">
        <v>271</v>
      </c>
      <c r="I47" s="92" t="s">
        <v>271</v>
      </c>
      <c r="J47" s="92" t="s">
        <v>273</v>
      </c>
      <c r="K47" s="92" t="s">
        <v>273</v>
      </c>
      <c r="L47" s="92" t="s">
        <v>274</v>
      </c>
      <c r="M47" s="92" t="s">
        <v>261</v>
      </c>
      <c r="N47" s="92" t="s">
        <v>241</v>
      </c>
      <c r="O47" s="92" t="s">
        <v>245</v>
      </c>
      <c r="P47" s="92" t="s">
        <v>417</v>
      </c>
      <c r="Q47" s="92" t="s">
        <v>418</v>
      </c>
      <c r="R47" s="92">
        <v>1</v>
      </c>
      <c r="S47" s="92">
        <v>215</v>
      </c>
      <c r="T47" s="9">
        <v>44103</v>
      </c>
      <c r="U47" s="9">
        <v>44144</v>
      </c>
    </row>
    <row r="48" spans="1:21" x14ac:dyDescent="0.2">
      <c r="A48" s="10" t="str">
        <f>HYPERLINK("http://www.ofsted.gov.uk/inspection-reports/find-inspection-report/provider/ELS/124220 ","Ofsted School Webpage")</f>
        <v>Ofsted School Webpage</v>
      </c>
      <c r="B48" s="92">
        <v>124220</v>
      </c>
      <c r="C48" s="92">
        <v>8602424</v>
      </c>
      <c r="D48" s="92" t="s">
        <v>419</v>
      </c>
      <c r="E48" s="92" t="s">
        <v>94</v>
      </c>
      <c r="F48" s="92" t="s">
        <v>397</v>
      </c>
      <c r="G48" s="9" t="s">
        <v>270</v>
      </c>
      <c r="H48" s="92" t="s">
        <v>271</v>
      </c>
      <c r="I48" s="92" t="s">
        <v>272</v>
      </c>
      <c r="J48" s="92" t="s">
        <v>273</v>
      </c>
      <c r="K48" s="92" t="s">
        <v>273</v>
      </c>
      <c r="L48" s="92" t="s">
        <v>274</v>
      </c>
      <c r="M48" s="92" t="s">
        <v>226</v>
      </c>
      <c r="N48" s="92" t="s">
        <v>226</v>
      </c>
      <c r="O48" s="92" t="s">
        <v>229</v>
      </c>
      <c r="P48" s="92" t="s">
        <v>420</v>
      </c>
      <c r="Q48" s="92" t="s">
        <v>421</v>
      </c>
      <c r="R48" s="92">
        <v>5</v>
      </c>
      <c r="S48" s="92">
        <v>362</v>
      </c>
      <c r="T48" s="9">
        <v>44103</v>
      </c>
      <c r="U48" s="9">
        <v>44144</v>
      </c>
    </row>
    <row r="49" spans="1:21" x14ac:dyDescent="0.2">
      <c r="A49" s="10" t="str">
        <f>HYPERLINK("http://www.ofsted.gov.uk/inspection-reports/find-inspection-report/provider/ELS/102555 ","Ofsted School Webpage")</f>
        <v>Ofsted School Webpage</v>
      </c>
      <c r="B49" s="92">
        <v>102555</v>
      </c>
      <c r="C49" s="92">
        <v>3137006</v>
      </c>
      <c r="D49" s="92" t="s">
        <v>422</v>
      </c>
      <c r="E49" s="92" t="s">
        <v>96</v>
      </c>
      <c r="F49" s="92" t="s">
        <v>401</v>
      </c>
      <c r="G49" s="9" t="s">
        <v>270</v>
      </c>
      <c r="H49" s="92" t="s">
        <v>271</v>
      </c>
      <c r="I49" s="92" t="s">
        <v>300</v>
      </c>
      <c r="J49" s="92" t="s">
        <v>273</v>
      </c>
      <c r="K49" s="92" t="s">
        <v>273</v>
      </c>
      <c r="L49" s="92" t="s">
        <v>274</v>
      </c>
      <c r="M49" s="92" t="s">
        <v>122</v>
      </c>
      <c r="N49" s="92" t="s">
        <v>122</v>
      </c>
      <c r="O49" s="92" t="s">
        <v>129</v>
      </c>
      <c r="P49" s="92" t="s">
        <v>423</v>
      </c>
      <c r="Q49" s="92" t="s">
        <v>424</v>
      </c>
      <c r="R49" s="92">
        <v>3</v>
      </c>
      <c r="S49" s="92">
        <v>152</v>
      </c>
      <c r="T49" s="9">
        <v>44103</v>
      </c>
      <c r="U49" s="9">
        <v>44137</v>
      </c>
    </row>
    <row r="50" spans="1:21" x14ac:dyDescent="0.2">
      <c r="A50" s="10" t="str">
        <f>HYPERLINK("http://www.ofsted.gov.uk/inspection-reports/find-inspection-report/provider/ELS/139049 ","Ofsted School Webpage")</f>
        <v>Ofsted School Webpage</v>
      </c>
      <c r="B50" s="92">
        <v>139049</v>
      </c>
      <c r="C50" s="92">
        <v>8014005</v>
      </c>
      <c r="D50" s="92" t="s">
        <v>425</v>
      </c>
      <c r="E50" s="92" t="s">
        <v>95</v>
      </c>
      <c r="F50" s="92" t="s">
        <v>409</v>
      </c>
      <c r="G50" s="9">
        <v>41334</v>
      </c>
      <c r="H50" s="92" t="s">
        <v>299</v>
      </c>
      <c r="I50" s="92" t="s">
        <v>272</v>
      </c>
      <c r="J50" s="92" t="s">
        <v>410</v>
      </c>
      <c r="K50" s="92" t="s">
        <v>410</v>
      </c>
      <c r="L50" s="92" t="s">
        <v>274</v>
      </c>
      <c r="M50" s="92" t="s">
        <v>211</v>
      </c>
      <c r="N50" s="92" t="s">
        <v>211</v>
      </c>
      <c r="O50" s="92" t="s">
        <v>212</v>
      </c>
      <c r="P50" s="92" t="s">
        <v>426</v>
      </c>
      <c r="Q50" s="92" t="s">
        <v>427</v>
      </c>
      <c r="R50" s="92">
        <v>5</v>
      </c>
      <c r="S50" s="92">
        <v>942</v>
      </c>
      <c r="T50" s="9">
        <v>44103</v>
      </c>
      <c r="U50" s="9">
        <v>44119</v>
      </c>
    </row>
    <row r="51" spans="1:21" x14ac:dyDescent="0.2">
      <c r="A51" s="10" t="str">
        <f>HYPERLINK("http://www.ofsted.gov.uk/inspection-reports/find-inspection-report/provider/ELS/137598 ","Ofsted School Webpage")</f>
        <v>Ofsted School Webpage</v>
      </c>
      <c r="B51" s="92">
        <v>137598</v>
      </c>
      <c r="C51" s="92">
        <v>9294437</v>
      </c>
      <c r="D51" s="92" t="s">
        <v>428</v>
      </c>
      <c r="E51" s="92" t="s">
        <v>95</v>
      </c>
      <c r="F51" s="92" t="s">
        <v>429</v>
      </c>
      <c r="G51" s="9">
        <v>40848</v>
      </c>
      <c r="H51" s="92" t="s">
        <v>299</v>
      </c>
      <c r="I51" s="92" t="s">
        <v>300</v>
      </c>
      <c r="J51" s="92" t="s">
        <v>273</v>
      </c>
      <c r="K51" s="92" t="s">
        <v>273</v>
      </c>
      <c r="L51" s="92" t="s">
        <v>274</v>
      </c>
      <c r="M51" s="92" t="s">
        <v>261</v>
      </c>
      <c r="N51" s="92" t="s">
        <v>155</v>
      </c>
      <c r="O51" s="92" t="s">
        <v>158</v>
      </c>
      <c r="P51" s="92" t="s">
        <v>430</v>
      </c>
      <c r="Q51" s="92" t="s">
        <v>431</v>
      </c>
      <c r="R51" s="92">
        <v>3</v>
      </c>
      <c r="S51" s="92">
        <v>472</v>
      </c>
      <c r="T51" s="9">
        <v>44103</v>
      </c>
      <c r="U51" s="9">
        <v>44144</v>
      </c>
    </row>
    <row r="52" spans="1:21" x14ac:dyDescent="0.2">
      <c r="A52" s="10" t="str">
        <f>HYPERLINK("http://www.ofsted.gov.uk/inspection-reports/find-inspection-report/provider/ELS/136146 ","Ofsted School Webpage")</f>
        <v>Ofsted School Webpage</v>
      </c>
      <c r="B52" s="92">
        <v>136146</v>
      </c>
      <c r="C52" s="92">
        <v>8086906</v>
      </c>
      <c r="D52" s="92" t="s">
        <v>432</v>
      </c>
      <c r="E52" s="92" t="s">
        <v>95</v>
      </c>
      <c r="F52" s="92" t="s">
        <v>409</v>
      </c>
      <c r="G52" s="9">
        <v>40422</v>
      </c>
      <c r="H52" s="92" t="s">
        <v>299</v>
      </c>
      <c r="I52" s="92" t="s">
        <v>271</v>
      </c>
      <c r="J52" s="92" t="s">
        <v>273</v>
      </c>
      <c r="K52" s="92" t="s">
        <v>410</v>
      </c>
      <c r="L52" s="92" t="s">
        <v>274</v>
      </c>
      <c r="M52" s="92" t="s">
        <v>261</v>
      </c>
      <c r="N52" s="92" t="s">
        <v>155</v>
      </c>
      <c r="O52" s="92" t="s">
        <v>159</v>
      </c>
      <c r="P52" s="92" t="s">
        <v>433</v>
      </c>
      <c r="Q52" s="92" t="s">
        <v>434</v>
      </c>
      <c r="R52" s="92">
        <v>5</v>
      </c>
      <c r="S52" s="92">
        <v>633</v>
      </c>
      <c r="T52" s="9">
        <v>44103</v>
      </c>
      <c r="U52" s="9">
        <v>44151</v>
      </c>
    </row>
    <row r="53" spans="1:21" x14ac:dyDescent="0.2">
      <c r="A53" s="10" t="str">
        <f>HYPERLINK("http://www.ofsted.gov.uk/inspection-reports/find-inspection-report/provider/ELS/136027 ","Ofsted School Webpage")</f>
        <v>Ofsted School Webpage</v>
      </c>
      <c r="B53" s="92">
        <v>136027</v>
      </c>
      <c r="C53" s="92">
        <v>3536905</v>
      </c>
      <c r="D53" s="92" t="s">
        <v>435</v>
      </c>
      <c r="E53" s="92" t="s">
        <v>95</v>
      </c>
      <c r="F53" s="92" t="s">
        <v>409</v>
      </c>
      <c r="G53" s="9">
        <v>40422</v>
      </c>
      <c r="H53" s="92" t="s">
        <v>299</v>
      </c>
      <c r="I53" s="92" t="s">
        <v>271</v>
      </c>
      <c r="J53" s="92" t="s">
        <v>273</v>
      </c>
      <c r="K53" s="92" t="s">
        <v>410</v>
      </c>
      <c r="L53" s="92" t="s">
        <v>274</v>
      </c>
      <c r="M53" s="92" t="s">
        <v>168</v>
      </c>
      <c r="N53" s="92" t="s">
        <v>168</v>
      </c>
      <c r="O53" s="92" t="s">
        <v>172</v>
      </c>
      <c r="P53" s="92" t="s">
        <v>436</v>
      </c>
      <c r="Q53" s="92" t="s">
        <v>437</v>
      </c>
      <c r="R53" s="92">
        <v>5</v>
      </c>
      <c r="S53" s="92">
        <v>1426</v>
      </c>
      <c r="T53" s="9">
        <v>44103</v>
      </c>
      <c r="U53" s="9">
        <v>44123</v>
      </c>
    </row>
    <row r="54" spans="1:21" x14ac:dyDescent="0.2">
      <c r="A54" s="10" t="str">
        <f>HYPERLINK("http://www.ofsted.gov.uk/inspection-reports/find-inspection-report/provider/ELS/137193 ","Ofsted School Webpage")</f>
        <v>Ofsted School Webpage</v>
      </c>
      <c r="B54" s="92">
        <v>137193</v>
      </c>
      <c r="C54" s="92">
        <v>9334451</v>
      </c>
      <c r="D54" s="92" t="s">
        <v>438</v>
      </c>
      <c r="E54" s="92" t="s">
        <v>95</v>
      </c>
      <c r="F54" s="92" t="s">
        <v>429</v>
      </c>
      <c r="G54" s="9">
        <v>40756</v>
      </c>
      <c r="H54" s="92" t="s">
        <v>299</v>
      </c>
      <c r="I54" s="92" t="s">
        <v>272</v>
      </c>
      <c r="J54" s="92" t="s">
        <v>273</v>
      </c>
      <c r="K54" s="92" t="s">
        <v>273</v>
      </c>
      <c r="L54" s="92" t="s">
        <v>274</v>
      </c>
      <c r="M54" s="92" t="s">
        <v>211</v>
      </c>
      <c r="N54" s="92" t="s">
        <v>211</v>
      </c>
      <c r="O54" s="92" t="s">
        <v>218</v>
      </c>
      <c r="P54" s="92" t="s">
        <v>439</v>
      </c>
      <c r="Q54" s="92" t="s">
        <v>440</v>
      </c>
      <c r="R54" s="92">
        <v>4</v>
      </c>
      <c r="S54" s="92">
        <v>795</v>
      </c>
      <c r="T54" s="9">
        <v>44103</v>
      </c>
      <c r="U54" s="9">
        <v>44144</v>
      </c>
    </row>
    <row r="55" spans="1:21" x14ac:dyDescent="0.2">
      <c r="A55" s="10" t="str">
        <f>HYPERLINK("http://www.ofsted.gov.uk/inspection-reports/find-inspection-report/provider/ELS/141710 ","Ofsted School Webpage")</f>
        <v>Ofsted School Webpage</v>
      </c>
      <c r="B55" s="92">
        <v>141710</v>
      </c>
      <c r="C55" s="92">
        <v>9082009</v>
      </c>
      <c r="D55" s="92" t="s">
        <v>441</v>
      </c>
      <c r="E55" s="92" t="s">
        <v>94</v>
      </c>
      <c r="F55" s="92" t="s">
        <v>429</v>
      </c>
      <c r="G55" s="9">
        <v>42036</v>
      </c>
      <c r="H55" s="92" t="s">
        <v>271</v>
      </c>
      <c r="I55" s="92" t="s">
        <v>272</v>
      </c>
      <c r="J55" s="92" t="s">
        <v>273</v>
      </c>
      <c r="K55" s="92" t="s">
        <v>273</v>
      </c>
      <c r="L55" s="92" t="s">
        <v>274</v>
      </c>
      <c r="M55" s="92" t="s">
        <v>211</v>
      </c>
      <c r="N55" s="92" t="s">
        <v>211</v>
      </c>
      <c r="O55" s="92" t="s">
        <v>219</v>
      </c>
      <c r="P55" s="92" t="s">
        <v>442</v>
      </c>
      <c r="Q55" s="92" t="s">
        <v>443</v>
      </c>
      <c r="R55" s="92">
        <v>3</v>
      </c>
      <c r="S55" s="92">
        <v>399</v>
      </c>
      <c r="T55" s="9">
        <v>44103</v>
      </c>
      <c r="U55" s="9">
        <v>44146</v>
      </c>
    </row>
    <row r="56" spans="1:21" x14ac:dyDescent="0.2">
      <c r="A56" s="10" t="str">
        <f>HYPERLINK("http://www.ofsted.gov.uk/inspection-reports/find-inspection-report/provider/ELS/136463 ","Ofsted School Webpage")</f>
        <v>Ofsted School Webpage</v>
      </c>
      <c r="B56" s="92">
        <v>136463</v>
      </c>
      <c r="C56" s="92">
        <v>8735406</v>
      </c>
      <c r="D56" s="92" t="s">
        <v>444</v>
      </c>
      <c r="E56" s="92" t="s">
        <v>95</v>
      </c>
      <c r="F56" s="92" t="s">
        <v>429</v>
      </c>
      <c r="G56" s="9">
        <v>40575</v>
      </c>
      <c r="H56" s="92" t="s">
        <v>299</v>
      </c>
      <c r="I56" s="92" t="s">
        <v>300</v>
      </c>
      <c r="J56" s="92" t="s">
        <v>410</v>
      </c>
      <c r="K56" s="92" t="s">
        <v>273</v>
      </c>
      <c r="L56" s="92" t="s">
        <v>274</v>
      </c>
      <c r="M56" s="92" t="s">
        <v>110</v>
      </c>
      <c r="N56" s="92" t="s">
        <v>110</v>
      </c>
      <c r="O56" s="92" t="s">
        <v>112</v>
      </c>
      <c r="P56" s="92" t="s">
        <v>445</v>
      </c>
      <c r="Q56" s="92" t="s">
        <v>446</v>
      </c>
      <c r="R56" s="92">
        <v>1</v>
      </c>
      <c r="S56" s="92">
        <v>1906</v>
      </c>
      <c r="T56" s="9">
        <v>44103</v>
      </c>
      <c r="U56" s="9">
        <v>44123</v>
      </c>
    </row>
    <row r="57" spans="1:21" x14ac:dyDescent="0.2">
      <c r="A57" s="10" t="str">
        <f>HYPERLINK("http://www.ofsted.gov.uk/inspection-reports/find-inspection-report/provider/ELS/137549 ","Ofsted School Webpage")</f>
        <v>Ofsted School Webpage</v>
      </c>
      <c r="B57" s="92">
        <v>137549</v>
      </c>
      <c r="C57" s="92">
        <v>8834394</v>
      </c>
      <c r="D57" s="92" t="s">
        <v>447</v>
      </c>
      <c r="E57" s="92" t="s">
        <v>95</v>
      </c>
      <c r="F57" s="92" t="s">
        <v>429</v>
      </c>
      <c r="G57" s="9">
        <v>40817</v>
      </c>
      <c r="H57" s="92" t="s">
        <v>299</v>
      </c>
      <c r="I57" s="92" t="s">
        <v>300</v>
      </c>
      <c r="J57" s="92" t="s">
        <v>410</v>
      </c>
      <c r="K57" s="92" t="s">
        <v>273</v>
      </c>
      <c r="L57" s="92" t="s">
        <v>274</v>
      </c>
      <c r="M57" s="92" t="s">
        <v>110</v>
      </c>
      <c r="N57" s="92" t="s">
        <v>110</v>
      </c>
      <c r="O57" s="92" t="s">
        <v>113</v>
      </c>
      <c r="P57" s="92" t="s">
        <v>113</v>
      </c>
      <c r="Q57" s="92" t="s">
        <v>448</v>
      </c>
      <c r="R57" s="92">
        <v>2</v>
      </c>
      <c r="S57" s="92">
        <v>1354</v>
      </c>
      <c r="T57" s="9">
        <v>44103</v>
      </c>
      <c r="U57" s="9">
        <v>44123</v>
      </c>
    </row>
    <row r="58" spans="1:21" x14ac:dyDescent="0.2">
      <c r="A58" s="10" t="str">
        <f>HYPERLINK("http://www.ofsted.gov.uk/inspection-reports/find-inspection-report/provider/ELS/140285 ","Ofsted School Webpage")</f>
        <v>Ofsted School Webpage</v>
      </c>
      <c r="B58" s="92">
        <v>140285</v>
      </c>
      <c r="C58" s="92">
        <v>8612092</v>
      </c>
      <c r="D58" s="92" t="s">
        <v>449</v>
      </c>
      <c r="E58" s="92" t="s">
        <v>94</v>
      </c>
      <c r="F58" s="92" t="s">
        <v>429</v>
      </c>
      <c r="G58" s="9">
        <v>41579</v>
      </c>
      <c r="H58" s="92" t="s">
        <v>271</v>
      </c>
      <c r="I58" s="92" t="s">
        <v>272</v>
      </c>
      <c r="J58" s="92" t="s">
        <v>273</v>
      </c>
      <c r="K58" s="92" t="s">
        <v>273</v>
      </c>
      <c r="L58" s="92" t="s">
        <v>274</v>
      </c>
      <c r="M58" s="92" t="s">
        <v>226</v>
      </c>
      <c r="N58" s="92" t="s">
        <v>226</v>
      </c>
      <c r="O58" s="92" t="s">
        <v>234</v>
      </c>
      <c r="P58" s="92" t="s">
        <v>450</v>
      </c>
      <c r="Q58" s="92" t="s">
        <v>451</v>
      </c>
      <c r="R58" s="92">
        <v>5</v>
      </c>
      <c r="S58" s="92">
        <v>404</v>
      </c>
      <c r="T58" s="9">
        <v>44103</v>
      </c>
      <c r="U58" s="9">
        <v>44140</v>
      </c>
    </row>
    <row r="59" spans="1:21" x14ac:dyDescent="0.2">
      <c r="A59" s="10" t="str">
        <f>HYPERLINK("http://www.ofsted.gov.uk/inspection-reports/find-inspection-report/provider/ELS/140586 ","Ofsted School Webpage")</f>
        <v>Ofsted School Webpage</v>
      </c>
      <c r="B59" s="92">
        <v>140586</v>
      </c>
      <c r="C59" s="92">
        <v>3364117</v>
      </c>
      <c r="D59" s="92" t="s">
        <v>452</v>
      </c>
      <c r="E59" s="92" t="s">
        <v>95</v>
      </c>
      <c r="F59" s="92" t="s">
        <v>429</v>
      </c>
      <c r="G59" s="9">
        <v>41671</v>
      </c>
      <c r="H59" s="92" t="s">
        <v>299</v>
      </c>
      <c r="I59" s="92" t="s">
        <v>300</v>
      </c>
      <c r="J59" s="92" t="s">
        <v>273</v>
      </c>
      <c r="K59" s="92" t="s">
        <v>273</v>
      </c>
      <c r="L59" s="92" t="s">
        <v>274</v>
      </c>
      <c r="M59" s="92" t="s">
        <v>226</v>
      </c>
      <c r="N59" s="92" t="s">
        <v>226</v>
      </c>
      <c r="O59" s="92" t="s">
        <v>231</v>
      </c>
      <c r="P59" s="92" t="s">
        <v>278</v>
      </c>
      <c r="Q59" s="92" t="s">
        <v>453</v>
      </c>
      <c r="R59" s="92">
        <v>4</v>
      </c>
      <c r="S59" s="92">
        <v>862</v>
      </c>
      <c r="T59" s="9">
        <v>44103</v>
      </c>
      <c r="U59" s="9">
        <v>44144</v>
      </c>
    </row>
    <row r="60" spans="1:21" x14ac:dyDescent="0.2">
      <c r="A60" s="10" t="str">
        <f>HYPERLINK("http://www.ofsted.gov.uk/inspection-reports/find-inspection-report/provider/ELS/136576 ","Ofsted School Webpage")</f>
        <v>Ofsted School Webpage</v>
      </c>
      <c r="B60" s="92">
        <v>136576</v>
      </c>
      <c r="C60" s="92">
        <v>3114003</v>
      </c>
      <c r="D60" s="92" t="s">
        <v>454</v>
      </c>
      <c r="E60" s="92" t="s">
        <v>95</v>
      </c>
      <c r="F60" s="92" t="s">
        <v>429</v>
      </c>
      <c r="G60" s="9">
        <v>40634</v>
      </c>
      <c r="H60" s="92" t="s">
        <v>299</v>
      </c>
      <c r="I60" s="92" t="s">
        <v>272</v>
      </c>
      <c r="J60" s="92" t="s">
        <v>410</v>
      </c>
      <c r="K60" s="92" t="s">
        <v>273</v>
      </c>
      <c r="L60" s="92" t="s">
        <v>274</v>
      </c>
      <c r="M60" s="92" t="s">
        <v>122</v>
      </c>
      <c r="N60" s="92" t="s">
        <v>122</v>
      </c>
      <c r="O60" s="92" t="s">
        <v>124</v>
      </c>
      <c r="P60" s="92" t="s">
        <v>455</v>
      </c>
      <c r="Q60" s="92" t="s">
        <v>456</v>
      </c>
      <c r="R60" s="92">
        <v>4</v>
      </c>
      <c r="S60" s="92">
        <v>690</v>
      </c>
      <c r="T60" s="9">
        <v>44103</v>
      </c>
      <c r="U60" s="9">
        <v>44119</v>
      </c>
    </row>
    <row r="61" spans="1:21" x14ac:dyDescent="0.2">
      <c r="A61" s="10" t="str">
        <f>HYPERLINK("http://www.ofsted.gov.uk/inspection-reports/find-inspection-report/provider/ELS/141187 ","Ofsted School Webpage")</f>
        <v>Ofsted School Webpage</v>
      </c>
      <c r="B61" s="92">
        <v>141187</v>
      </c>
      <c r="C61" s="92">
        <v>8507004</v>
      </c>
      <c r="D61" s="92" t="s">
        <v>457</v>
      </c>
      <c r="E61" s="92" t="s">
        <v>96</v>
      </c>
      <c r="F61" s="92" t="s">
        <v>458</v>
      </c>
      <c r="G61" s="9">
        <v>41883</v>
      </c>
      <c r="H61" s="92" t="s">
        <v>271</v>
      </c>
      <c r="I61" s="92" t="s">
        <v>272</v>
      </c>
      <c r="J61" s="92" t="s">
        <v>273</v>
      </c>
      <c r="K61" s="92" t="s">
        <v>410</v>
      </c>
      <c r="L61" s="92" t="s">
        <v>274</v>
      </c>
      <c r="M61" s="92" t="s">
        <v>192</v>
      </c>
      <c r="N61" s="92" t="s">
        <v>192</v>
      </c>
      <c r="O61" s="92" t="s">
        <v>193</v>
      </c>
      <c r="P61" s="92" t="s">
        <v>459</v>
      </c>
      <c r="Q61" s="92" t="s">
        <v>460</v>
      </c>
      <c r="R61" s="92">
        <v>3</v>
      </c>
      <c r="S61" s="92">
        <v>70</v>
      </c>
      <c r="T61" s="9">
        <v>44103</v>
      </c>
      <c r="U61" s="9">
        <v>44130</v>
      </c>
    </row>
    <row r="62" spans="1:21" x14ac:dyDescent="0.2">
      <c r="A62" s="10" t="str">
        <f>HYPERLINK("http://www.ofsted.gov.uk/inspection-reports/find-inspection-report/provider/ELS/136613 ","Ofsted School Webpage")</f>
        <v>Ofsted School Webpage</v>
      </c>
      <c r="B62" s="92">
        <v>136613</v>
      </c>
      <c r="C62" s="92">
        <v>3844026</v>
      </c>
      <c r="D62" s="92" t="s">
        <v>461</v>
      </c>
      <c r="E62" s="92" t="s">
        <v>95</v>
      </c>
      <c r="F62" s="92" t="s">
        <v>429</v>
      </c>
      <c r="G62" s="9">
        <v>40634</v>
      </c>
      <c r="H62" s="92" t="s">
        <v>299</v>
      </c>
      <c r="I62" s="92" t="s">
        <v>300</v>
      </c>
      <c r="J62" s="92" t="s">
        <v>273</v>
      </c>
      <c r="K62" s="92" t="s">
        <v>273</v>
      </c>
      <c r="L62" s="92" t="s">
        <v>274</v>
      </c>
      <c r="M62" s="92" t="s">
        <v>261</v>
      </c>
      <c r="N62" s="92" t="s">
        <v>241</v>
      </c>
      <c r="O62" s="92" t="s">
        <v>246</v>
      </c>
      <c r="P62" s="92" t="s">
        <v>462</v>
      </c>
      <c r="Q62" s="92" t="s">
        <v>463</v>
      </c>
      <c r="R62" s="92">
        <v>5</v>
      </c>
      <c r="S62" s="92">
        <v>1025</v>
      </c>
      <c r="T62" s="9">
        <v>44103</v>
      </c>
      <c r="U62" s="9">
        <v>44146</v>
      </c>
    </row>
    <row r="63" spans="1:21" x14ac:dyDescent="0.2">
      <c r="A63" s="10" t="str">
        <f>HYPERLINK("http://www.ofsted.gov.uk/inspection-reports/find-inspection-report/provider/ELS/138863 ","Ofsted School Webpage")</f>
        <v>Ofsted School Webpage</v>
      </c>
      <c r="B63" s="92">
        <v>138863</v>
      </c>
      <c r="C63" s="92">
        <v>8804001</v>
      </c>
      <c r="D63" s="92" t="s">
        <v>464</v>
      </c>
      <c r="E63" s="92" t="s">
        <v>95</v>
      </c>
      <c r="F63" s="92" t="s">
        <v>429</v>
      </c>
      <c r="G63" s="9">
        <v>41183</v>
      </c>
      <c r="H63" s="92" t="s">
        <v>299</v>
      </c>
      <c r="I63" s="92" t="s">
        <v>272</v>
      </c>
      <c r="J63" s="92" t="s">
        <v>273</v>
      </c>
      <c r="K63" s="92" t="s">
        <v>273</v>
      </c>
      <c r="L63" s="92" t="s">
        <v>274</v>
      </c>
      <c r="M63" s="92" t="s">
        <v>211</v>
      </c>
      <c r="N63" s="92" t="s">
        <v>211</v>
      </c>
      <c r="O63" s="92" t="s">
        <v>215</v>
      </c>
      <c r="P63" s="92" t="s">
        <v>465</v>
      </c>
      <c r="Q63" s="92" t="s">
        <v>466</v>
      </c>
      <c r="R63" s="92">
        <v>4</v>
      </c>
      <c r="S63" s="92">
        <v>1374</v>
      </c>
      <c r="T63" s="9">
        <v>44103</v>
      </c>
      <c r="U63" s="9">
        <v>44153</v>
      </c>
    </row>
    <row r="64" spans="1:21" x14ac:dyDescent="0.2">
      <c r="A64" s="10" t="str">
        <f>HYPERLINK("http://www.ofsted.gov.uk/inspection-reports/find-inspection-report/provider/ELS/140183 ","Ofsted School Webpage")</f>
        <v>Ofsted School Webpage</v>
      </c>
      <c r="B64" s="92">
        <v>140183</v>
      </c>
      <c r="C64" s="92">
        <v>8842002</v>
      </c>
      <c r="D64" s="92" t="s">
        <v>467</v>
      </c>
      <c r="E64" s="92" t="s">
        <v>94</v>
      </c>
      <c r="F64" s="92" t="s">
        <v>409</v>
      </c>
      <c r="G64" s="9">
        <v>41640</v>
      </c>
      <c r="H64" s="92" t="s">
        <v>271</v>
      </c>
      <c r="I64" s="92" t="s">
        <v>272</v>
      </c>
      <c r="J64" s="92" t="s">
        <v>346</v>
      </c>
      <c r="K64" s="92" t="s">
        <v>410</v>
      </c>
      <c r="L64" s="92" t="s">
        <v>347</v>
      </c>
      <c r="M64" s="92" t="s">
        <v>226</v>
      </c>
      <c r="N64" s="92" t="s">
        <v>226</v>
      </c>
      <c r="O64" s="92" t="s">
        <v>227</v>
      </c>
      <c r="P64" s="92" t="s">
        <v>348</v>
      </c>
      <c r="Q64" s="92" t="s">
        <v>468</v>
      </c>
      <c r="R64" s="92">
        <v>3</v>
      </c>
      <c r="S64" s="92">
        <v>203</v>
      </c>
      <c r="T64" s="9">
        <v>44103</v>
      </c>
      <c r="U64" s="9">
        <v>44123</v>
      </c>
    </row>
    <row r="65" spans="1:21" x14ac:dyDescent="0.2">
      <c r="A65" s="10" t="str">
        <f>HYPERLINK("http://www.ofsted.gov.uk/inspection-reports/find-inspection-report/provider/ELS/139063 ","Ofsted School Webpage")</f>
        <v>Ofsted School Webpage</v>
      </c>
      <c r="B65" s="92">
        <v>139063</v>
      </c>
      <c r="C65" s="92">
        <v>8914015</v>
      </c>
      <c r="D65" s="92" t="s">
        <v>469</v>
      </c>
      <c r="E65" s="92" t="s">
        <v>95</v>
      </c>
      <c r="F65" s="92" t="s">
        <v>409</v>
      </c>
      <c r="G65" s="9">
        <v>41275</v>
      </c>
      <c r="H65" s="92" t="s">
        <v>299</v>
      </c>
      <c r="I65" s="92" t="s">
        <v>300</v>
      </c>
      <c r="J65" s="92" t="s">
        <v>273</v>
      </c>
      <c r="K65" s="92" t="s">
        <v>410</v>
      </c>
      <c r="L65" s="92" t="s">
        <v>274</v>
      </c>
      <c r="M65" s="92" t="s">
        <v>100</v>
      </c>
      <c r="N65" s="92" t="s">
        <v>100</v>
      </c>
      <c r="O65" s="92" t="s">
        <v>105</v>
      </c>
      <c r="P65" s="92" t="s">
        <v>470</v>
      </c>
      <c r="Q65" s="92" t="s">
        <v>471</v>
      </c>
      <c r="R65" s="92">
        <v>5</v>
      </c>
      <c r="S65" s="92">
        <v>712</v>
      </c>
      <c r="T65" s="9">
        <v>44103</v>
      </c>
      <c r="U65" s="9">
        <v>44146</v>
      </c>
    </row>
    <row r="66" spans="1:21" x14ac:dyDescent="0.2">
      <c r="A66" s="10" t="str">
        <f>HYPERLINK("http://www.ofsted.gov.uk/inspection-reports/find-inspection-report/provider/ELS/139517 ","Ofsted School Webpage")</f>
        <v>Ofsted School Webpage</v>
      </c>
      <c r="B66" s="92">
        <v>139517</v>
      </c>
      <c r="C66" s="92">
        <v>8224605</v>
      </c>
      <c r="D66" s="92" t="s">
        <v>472</v>
      </c>
      <c r="E66" s="92" t="s">
        <v>95</v>
      </c>
      <c r="F66" s="92" t="s">
        <v>429</v>
      </c>
      <c r="G66" s="9">
        <v>41365</v>
      </c>
      <c r="H66" s="92" t="s">
        <v>299</v>
      </c>
      <c r="I66" s="92" t="s">
        <v>300</v>
      </c>
      <c r="J66" s="92" t="s">
        <v>352</v>
      </c>
      <c r="K66" s="92" t="s">
        <v>273</v>
      </c>
      <c r="L66" s="92" t="s">
        <v>347</v>
      </c>
      <c r="M66" s="92" t="s">
        <v>110</v>
      </c>
      <c r="N66" s="92" t="s">
        <v>110</v>
      </c>
      <c r="O66" s="92" t="s">
        <v>111</v>
      </c>
      <c r="P66" s="92" t="s">
        <v>473</v>
      </c>
      <c r="Q66" s="92" t="s">
        <v>474</v>
      </c>
      <c r="R66" s="92">
        <v>3</v>
      </c>
      <c r="S66" s="92">
        <v>971</v>
      </c>
      <c r="T66" s="9">
        <v>44103</v>
      </c>
      <c r="U66" s="9">
        <v>44123</v>
      </c>
    </row>
    <row r="67" spans="1:21" x14ac:dyDescent="0.2">
      <c r="A67" s="10" t="str">
        <f>HYPERLINK("http://www.ofsted.gov.uk/inspection-reports/find-inspection-report/provider/ELS/137358 ","Ofsted School Webpage")</f>
        <v>Ofsted School Webpage</v>
      </c>
      <c r="B67" s="92">
        <v>137358</v>
      </c>
      <c r="C67" s="92">
        <v>8572316</v>
      </c>
      <c r="D67" s="92" t="s">
        <v>475</v>
      </c>
      <c r="E67" s="92" t="s">
        <v>94</v>
      </c>
      <c r="F67" s="92" t="s">
        <v>429</v>
      </c>
      <c r="G67" s="9">
        <v>40787</v>
      </c>
      <c r="H67" s="92" t="s">
        <v>271</v>
      </c>
      <c r="I67" s="92" t="s">
        <v>271</v>
      </c>
      <c r="J67" s="92" t="s">
        <v>273</v>
      </c>
      <c r="K67" s="92" t="s">
        <v>273</v>
      </c>
      <c r="L67" s="92" t="s">
        <v>274</v>
      </c>
      <c r="M67" s="92" t="s">
        <v>100</v>
      </c>
      <c r="N67" s="92" t="s">
        <v>100</v>
      </c>
      <c r="O67" s="92" t="s">
        <v>103</v>
      </c>
      <c r="P67" s="92" t="s">
        <v>476</v>
      </c>
      <c r="Q67" s="92" t="s">
        <v>477</v>
      </c>
      <c r="R67" s="92">
        <v>1</v>
      </c>
      <c r="S67" s="92">
        <v>346</v>
      </c>
      <c r="T67" s="9">
        <v>44103</v>
      </c>
      <c r="U67" s="9">
        <v>44119</v>
      </c>
    </row>
    <row r="68" spans="1:21" x14ac:dyDescent="0.2">
      <c r="A68" s="10" t="str">
        <f>HYPERLINK("http://www.ofsted.gov.uk/inspection-reports/find-inspection-report/provider/ELS/143181 ","Ofsted School Webpage")</f>
        <v>Ofsted School Webpage</v>
      </c>
      <c r="B68" s="92">
        <v>143181</v>
      </c>
      <c r="C68" s="92">
        <v>8302240</v>
      </c>
      <c r="D68" s="92" t="s">
        <v>478</v>
      </c>
      <c r="E68" s="92" t="s">
        <v>94</v>
      </c>
      <c r="F68" s="92" t="s">
        <v>429</v>
      </c>
      <c r="G68" s="9">
        <v>42614</v>
      </c>
      <c r="H68" s="92" t="s">
        <v>271</v>
      </c>
      <c r="I68" s="92" t="s">
        <v>272</v>
      </c>
      <c r="J68" s="92" t="s">
        <v>273</v>
      </c>
      <c r="K68" s="92" t="s">
        <v>273</v>
      </c>
      <c r="L68" s="92" t="s">
        <v>274</v>
      </c>
      <c r="M68" s="92" t="s">
        <v>100</v>
      </c>
      <c r="N68" s="92" t="s">
        <v>100</v>
      </c>
      <c r="O68" s="92" t="s">
        <v>101</v>
      </c>
      <c r="P68" s="92" t="s">
        <v>293</v>
      </c>
      <c r="Q68" s="92" t="s">
        <v>479</v>
      </c>
      <c r="R68" s="92">
        <v>5</v>
      </c>
      <c r="S68" s="92">
        <v>104</v>
      </c>
      <c r="T68" s="9">
        <v>44103</v>
      </c>
      <c r="U68" s="9">
        <v>44144</v>
      </c>
    </row>
    <row r="69" spans="1:21" x14ac:dyDescent="0.2">
      <c r="A69" s="10" t="str">
        <f>HYPERLINK("http://www.ofsted.gov.uk/inspection-reports/find-inspection-report/provider/ELS/142469 ","Ofsted School Webpage")</f>
        <v>Ofsted School Webpage</v>
      </c>
      <c r="B69" s="92">
        <v>142469</v>
      </c>
      <c r="C69" s="92">
        <v>8904003</v>
      </c>
      <c r="D69" s="92" t="s">
        <v>480</v>
      </c>
      <c r="E69" s="92" t="s">
        <v>95</v>
      </c>
      <c r="F69" s="92" t="s">
        <v>409</v>
      </c>
      <c r="G69" s="9">
        <v>42461</v>
      </c>
      <c r="H69" s="92" t="s">
        <v>299</v>
      </c>
      <c r="I69" s="92" t="s">
        <v>272</v>
      </c>
      <c r="J69" s="92" t="s">
        <v>273</v>
      </c>
      <c r="K69" s="92" t="s">
        <v>410</v>
      </c>
      <c r="L69" s="92" t="s">
        <v>274</v>
      </c>
      <c r="M69" s="92" t="s">
        <v>168</v>
      </c>
      <c r="N69" s="92" t="s">
        <v>168</v>
      </c>
      <c r="O69" s="92" t="s">
        <v>177</v>
      </c>
      <c r="P69" s="92" t="s">
        <v>481</v>
      </c>
      <c r="Q69" s="92" t="s">
        <v>482</v>
      </c>
      <c r="R69" s="92">
        <v>5</v>
      </c>
      <c r="S69" s="92">
        <v>727</v>
      </c>
      <c r="T69" s="9">
        <v>44103</v>
      </c>
      <c r="U69" s="9">
        <v>44145</v>
      </c>
    </row>
    <row r="70" spans="1:21" x14ac:dyDescent="0.2">
      <c r="A70" s="10" t="str">
        <f>HYPERLINK("http://www.ofsted.gov.uk/inspection-reports/find-inspection-report/provider/ELS/142817 ","Ofsted School Webpage")</f>
        <v>Ofsted School Webpage</v>
      </c>
      <c r="B70" s="92">
        <v>142817</v>
      </c>
      <c r="C70" s="92">
        <v>8872017</v>
      </c>
      <c r="D70" s="92" t="s">
        <v>483</v>
      </c>
      <c r="E70" s="92" t="s">
        <v>94</v>
      </c>
      <c r="F70" s="92" t="s">
        <v>409</v>
      </c>
      <c r="G70" s="9">
        <v>42522</v>
      </c>
      <c r="H70" s="92" t="s">
        <v>271</v>
      </c>
      <c r="I70" s="92" t="s">
        <v>272</v>
      </c>
      <c r="J70" s="92" t="s">
        <v>273</v>
      </c>
      <c r="K70" s="92" t="s">
        <v>484</v>
      </c>
      <c r="L70" s="92" t="s">
        <v>274</v>
      </c>
      <c r="M70" s="92" t="s">
        <v>192</v>
      </c>
      <c r="N70" s="92" t="s">
        <v>192</v>
      </c>
      <c r="O70" s="92" t="s">
        <v>195</v>
      </c>
      <c r="P70" s="92" t="s">
        <v>485</v>
      </c>
      <c r="Q70" s="92" t="s">
        <v>486</v>
      </c>
      <c r="R70" s="92">
        <v>4</v>
      </c>
      <c r="S70" s="92">
        <v>623</v>
      </c>
      <c r="T70" s="9">
        <v>44103</v>
      </c>
      <c r="U70" s="9">
        <v>44119</v>
      </c>
    </row>
    <row r="71" spans="1:21" x14ac:dyDescent="0.2">
      <c r="A71" s="10" t="str">
        <f>HYPERLINK("http://www.ofsted.gov.uk/inspection-reports/find-inspection-report/provider/ELS/139691 ","Ofsted School Webpage")</f>
        <v>Ofsted School Webpage</v>
      </c>
      <c r="B71" s="92">
        <v>139691</v>
      </c>
      <c r="C71" s="92">
        <v>8417000</v>
      </c>
      <c r="D71" s="92" t="s">
        <v>487</v>
      </c>
      <c r="E71" s="92" t="s">
        <v>96</v>
      </c>
      <c r="F71" s="92" t="s">
        <v>488</v>
      </c>
      <c r="G71" s="9">
        <v>41518</v>
      </c>
      <c r="H71" s="92" t="s">
        <v>271</v>
      </c>
      <c r="I71" s="92" t="s">
        <v>272</v>
      </c>
      <c r="J71" s="92" t="s">
        <v>273</v>
      </c>
      <c r="K71" s="92" t="s">
        <v>410</v>
      </c>
      <c r="L71" s="92" t="s">
        <v>274</v>
      </c>
      <c r="M71" s="92" t="s">
        <v>261</v>
      </c>
      <c r="N71" s="92" t="s">
        <v>155</v>
      </c>
      <c r="O71" s="92" t="s">
        <v>160</v>
      </c>
      <c r="P71" s="92" t="s">
        <v>160</v>
      </c>
      <c r="Q71" s="92" t="s">
        <v>489</v>
      </c>
      <c r="R71" s="92">
        <v>4</v>
      </c>
      <c r="S71" s="92">
        <v>32</v>
      </c>
      <c r="T71" s="9">
        <v>44103</v>
      </c>
      <c r="U71" s="9">
        <v>44150</v>
      </c>
    </row>
    <row r="72" spans="1:21" x14ac:dyDescent="0.2">
      <c r="A72" s="10" t="str">
        <f>HYPERLINK("http://www.ofsted.gov.uk/inspection-reports/find-inspection-report/provider/ELS/141038 ","Ofsted School Webpage")</f>
        <v>Ofsted School Webpage</v>
      </c>
      <c r="B72" s="92">
        <v>141038</v>
      </c>
      <c r="C72" s="92">
        <v>9384011</v>
      </c>
      <c r="D72" s="92" t="s">
        <v>490</v>
      </c>
      <c r="E72" s="92" t="s">
        <v>95</v>
      </c>
      <c r="F72" s="92" t="s">
        <v>491</v>
      </c>
      <c r="G72" s="9">
        <v>41883</v>
      </c>
      <c r="H72" s="92" t="s">
        <v>484</v>
      </c>
      <c r="I72" s="92" t="s">
        <v>272</v>
      </c>
      <c r="J72" s="92" t="s">
        <v>410</v>
      </c>
      <c r="K72" s="92" t="s">
        <v>410</v>
      </c>
      <c r="L72" s="92" t="s">
        <v>274</v>
      </c>
      <c r="M72" s="92" t="s">
        <v>192</v>
      </c>
      <c r="N72" s="92" t="s">
        <v>192</v>
      </c>
      <c r="O72" s="92" t="s">
        <v>200</v>
      </c>
      <c r="P72" s="92" t="s">
        <v>492</v>
      </c>
      <c r="Q72" s="92" t="s">
        <v>493</v>
      </c>
      <c r="R72" s="92">
        <v>3</v>
      </c>
      <c r="S72" s="92">
        <v>761</v>
      </c>
      <c r="T72" s="9">
        <v>44103</v>
      </c>
      <c r="U72" s="9">
        <v>44139</v>
      </c>
    </row>
    <row r="73" spans="1:21" x14ac:dyDescent="0.2">
      <c r="A73" s="10" t="str">
        <f>HYPERLINK("http://www.ofsted.gov.uk/inspection-reports/find-inspection-report/provider/ELS/142221 ","Ofsted School Webpage")</f>
        <v>Ofsted School Webpage</v>
      </c>
      <c r="B73" s="92">
        <v>142221</v>
      </c>
      <c r="C73" s="92">
        <v>9192051</v>
      </c>
      <c r="D73" s="92" t="s">
        <v>494</v>
      </c>
      <c r="E73" s="92" t="s">
        <v>94</v>
      </c>
      <c r="F73" s="92" t="s">
        <v>491</v>
      </c>
      <c r="G73" s="9">
        <v>42620</v>
      </c>
      <c r="H73" s="92" t="s">
        <v>484</v>
      </c>
      <c r="I73" s="92" t="s">
        <v>272</v>
      </c>
      <c r="J73" s="92" t="s">
        <v>495</v>
      </c>
      <c r="K73" s="92" t="s">
        <v>346</v>
      </c>
      <c r="L73" s="92" t="s">
        <v>347</v>
      </c>
      <c r="M73" s="92" t="s">
        <v>110</v>
      </c>
      <c r="N73" s="92" t="s">
        <v>110</v>
      </c>
      <c r="O73" s="92" t="s">
        <v>117</v>
      </c>
      <c r="P73" s="92" t="s">
        <v>496</v>
      </c>
      <c r="Q73" s="92" t="s">
        <v>497</v>
      </c>
      <c r="R73" s="92">
        <v>2</v>
      </c>
      <c r="S73" s="92">
        <v>177</v>
      </c>
      <c r="T73" s="9">
        <v>44103</v>
      </c>
      <c r="U73" s="9">
        <v>44145</v>
      </c>
    </row>
    <row r="74" spans="1:21" x14ac:dyDescent="0.2">
      <c r="A74" s="10" t="str">
        <f>HYPERLINK("http://www.ofsted.gov.uk/inspection-reports/find-inspection-report/provider/ELS/145348 ","Ofsted School Webpage")</f>
        <v>Ofsted School Webpage</v>
      </c>
      <c r="B74" s="92">
        <v>145348</v>
      </c>
      <c r="C74" s="92">
        <v>3074030</v>
      </c>
      <c r="D74" s="92" t="s">
        <v>498</v>
      </c>
      <c r="E74" s="92" t="s">
        <v>95</v>
      </c>
      <c r="F74" s="92" t="s">
        <v>429</v>
      </c>
      <c r="G74" s="9">
        <v>43101</v>
      </c>
      <c r="H74" s="92" t="s">
        <v>299</v>
      </c>
      <c r="I74" s="92" t="s">
        <v>300</v>
      </c>
      <c r="J74" s="92" t="s">
        <v>273</v>
      </c>
      <c r="K74" s="92" t="s">
        <v>273</v>
      </c>
      <c r="L74" s="92" t="s">
        <v>274</v>
      </c>
      <c r="M74" s="92" t="s">
        <v>122</v>
      </c>
      <c r="N74" s="92" t="s">
        <v>122</v>
      </c>
      <c r="O74" s="92" t="s">
        <v>123</v>
      </c>
      <c r="P74" s="92" t="s">
        <v>499</v>
      </c>
      <c r="Q74" s="92" t="s">
        <v>500</v>
      </c>
      <c r="R74" s="92">
        <v>3</v>
      </c>
      <c r="S74" s="92">
        <v>1442</v>
      </c>
      <c r="T74" s="9">
        <v>44103</v>
      </c>
      <c r="U74" s="9">
        <v>44131</v>
      </c>
    </row>
    <row r="75" spans="1:21" x14ac:dyDescent="0.2">
      <c r="A75" s="10" t="str">
        <f>HYPERLINK("http://www.ofsted.gov.uk/inspection-reports/find-inspection-report/provider/ELS/145450 ","Ofsted School Webpage")</f>
        <v>Ofsted School Webpage</v>
      </c>
      <c r="B75" s="92">
        <v>145450</v>
      </c>
      <c r="C75" s="92">
        <v>8512658</v>
      </c>
      <c r="D75" s="92" t="s">
        <v>501</v>
      </c>
      <c r="E75" s="92" t="s">
        <v>94</v>
      </c>
      <c r="F75" s="92" t="s">
        <v>429</v>
      </c>
      <c r="G75" s="9">
        <v>43132</v>
      </c>
      <c r="H75" s="92" t="s">
        <v>271</v>
      </c>
      <c r="I75" s="92" t="s">
        <v>272</v>
      </c>
      <c r="J75" s="92" t="s">
        <v>273</v>
      </c>
      <c r="K75" s="92" t="s">
        <v>273</v>
      </c>
      <c r="L75" s="92" t="s">
        <v>274</v>
      </c>
      <c r="M75" s="92" t="s">
        <v>192</v>
      </c>
      <c r="N75" s="92" t="s">
        <v>192</v>
      </c>
      <c r="O75" s="92" t="s">
        <v>196</v>
      </c>
      <c r="P75" s="92" t="s">
        <v>502</v>
      </c>
      <c r="Q75" s="92" t="s">
        <v>503</v>
      </c>
      <c r="R75" s="92">
        <v>4</v>
      </c>
      <c r="S75" s="92">
        <v>472</v>
      </c>
      <c r="T75" s="9">
        <v>44103</v>
      </c>
      <c r="U75" s="9">
        <v>44119</v>
      </c>
    </row>
    <row r="76" spans="1:21" x14ac:dyDescent="0.2">
      <c r="A76" s="10" t="str">
        <f>HYPERLINK("http://www.ofsted.gov.uk/inspection-reports/find-inspection-report/provider/ELS/145671 ","Ofsted School Webpage")</f>
        <v>Ofsted School Webpage</v>
      </c>
      <c r="B76" s="92">
        <v>145671</v>
      </c>
      <c r="C76" s="92">
        <v>8073007</v>
      </c>
      <c r="D76" s="92" t="s">
        <v>504</v>
      </c>
      <c r="E76" s="92" t="s">
        <v>94</v>
      </c>
      <c r="F76" s="92" t="s">
        <v>429</v>
      </c>
      <c r="G76" s="9">
        <v>43191</v>
      </c>
      <c r="H76" s="92" t="s">
        <v>271</v>
      </c>
      <c r="I76" s="92" t="s">
        <v>272</v>
      </c>
      <c r="J76" s="92" t="s">
        <v>346</v>
      </c>
      <c r="K76" s="92" t="s">
        <v>273</v>
      </c>
      <c r="L76" s="92" t="s">
        <v>347</v>
      </c>
      <c r="M76" s="92" t="s">
        <v>261</v>
      </c>
      <c r="N76" s="92" t="s">
        <v>155</v>
      </c>
      <c r="O76" s="92" t="s">
        <v>161</v>
      </c>
      <c r="P76" s="92" t="s">
        <v>505</v>
      </c>
      <c r="Q76" s="92" t="s">
        <v>506</v>
      </c>
      <c r="R76" s="92">
        <v>5</v>
      </c>
      <c r="S76" s="92">
        <v>346</v>
      </c>
      <c r="T76" s="9">
        <v>44103</v>
      </c>
      <c r="U76" s="9">
        <v>44154</v>
      </c>
    </row>
    <row r="77" spans="1:21" x14ac:dyDescent="0.2">
      <c r="A77" s="10" t="str">
        <f>HYPERLINK("http://www.ofsted.gov.uk/inspection-reports/find-inspection-report/provider/ELS/143466 ","Ofsted School Webpage")</f>
        <v>Ofsted School Webpage</v>
      </c>
      <c r="B77" s="92">
        <v>143466</v>
      </c>
      <c r="C77" s="92">
        <v>8153245</v>
      </c>
      <c r="D77" s="92" t="s">
        <v>507</v>
      </c>
      <c r="E77" s="92" t="s">
        <v>94</v>
      </c>
      <c r="F77" s="92" t="s">
        <v>429</v>
      </c>
      <c r="G77" s="9">
        <v>42767</v>
      </c>
      <c r="H77" s="92" t="s">
        <v>271</v>
      </c>
      <c r="I77" s="92" t="s">
        <v>272</v>
      </c>
      <c r="J77" s="92" t="s">
        <v>346</v>
      </c>
      <c r="K77" s="92" t="s">
        <v>273</v>
      </c>
      <c r="L77" s="92" t="s">
        <v>347</v>
      </c>
      <c r="M77" s="92" t="s">
        <v>261</v>
      </c>
      <c r="N77" s="92" t="s">
        <v>241</v>
      </c>
      <c r="O77" s="92" t="s">
        <v>247</v>
      </c>
      <c r="P77" s="92" t="s">
        <v>508</v>
      </c>
      <c r="Q77" s="92" t="s">
        <v>509</v>
      </c>
      <c r="R77" s="92">
        <v>1</v>
      </c>
      <c r="S77" s="92">
        <v>151</v>
      </c>
      <c r="T77" s="9">
        <v>44103</v>
      </c>
      <c r="U77" s="9">
        <v>44139</v>
      </c>
    </row>
    <row r="78" spans="1:21" x14ac:dyDescent="0.2">
      <c r="A78" s="10" t="str">
        <f>HYPERLINK("http://www.ofsted.gov.uk/inspection-reports/find-inspection-report/provider/ELS/144136 ","Ofsted School Webpage")</f>
        <v>Ofsted School Webpage</v>
      </c>
      <c r="B78" s="92">
        <v>144136</v>
      </c>
      <c r="C78" s="92">
        <v>8062331</v>
      </c>
      <c r="D78" s="92" t="s">
        <v>510</v>
      </c>
      <c r="E78" s="92" t="s">
        <v>94</v>
      </c>
      <c r="F78" s="92" t="s">
        <v>429</v>
      </c>
      <c r="G78" s="9">
        <v>42826</v>
      </c>
      <c r="H78" s="92" t="s">
        <v>271</v>
      </c>
      <c r="I78" s="92" t="s">
        <v>272</v>
      </c>
      <c r="J78" s="92" t="s">
        <v>273</v>
      </c>
      <c r="K78" s="92" t="s">
        <v>273</v>
      </c>
      <c r="L78" s="92" t="s">
        <v>274</v>
      </c>
      <c r="M78" s="92" t="s">
        <v>261</v>
      </c>
      <c r="N78" s="92" t="s">
        <v>155</v>
      </c>
      <c r="O78" s="92" t="s">
        <v>162</v>
      </c>
      <c r="P78" s="92" t="s">
        <v>162</v>
      </c>
      <c r="Q78" s="92" t="s">
        <v>511</v>
      </c>
      <c r="R78" s="92">
        <v>5</v>
      </c>
      <c r="S78" s="92">
        <v>649</v>
      </c>
      <c r="T78" s="9">
        <v>44103</v>
      </c>
      <c r="U78" s="9">
        <v>44145</v>
      </c>
    </row>
    <row r="79" spans="1:21" x14ac:dyDescent="0.2">
      <c r="A79" s="10" t="str">
        <f>HYPERLINK("http://www.ofsted.gov.uk/inspection-reports/find-inspection-report/provider/ELS/144072 ","Ofsted School Webpage")</f>
        <v>Ofsted School Webpage</v>
      </c>
      <c r="B79" s="92">
        <v>144072</v>
      </c>
      <c r="C79" s="92">
        <v>8782022</v>
      </c>
      <c r="D79" s="92" t="s">
        <v>512</v>
      </c>
      <c r="E79" s="92" t="s">
        <v>94</v>
      </c>
      <c r="F79" s="92" t="s">
        <v>429</v>
      </c>
      <c r="G79" s="9">
        <v>42826</v>
      </c>
      <c r="H79" s="92" t="s">
        <v>271</v>
      </c>
      <c r="I79" s="92" t="s">
        <v>272</v>
      </c>
      <c r="J79" s="92" t="s">
        <v>273</v>
      </c>
      <c r="K79" s="92" t="s">
        <v>273</v>
      </c>
      <c r="L79" s="92" t="s">
        <v>274</v>
      </c>
      <c r="M79" s="92" t="s">
        <v>211</v>
      </c>
      <c r="N79" s="92" t="s">
        <v>211</v>
      </c>
      <c r="O79" s="92" t="s">
        <v>220</v>
      </c>
      <c r="P79" s="92" t="s">
        <v>513</v>
      </c>
      <c r="Q79" s="92" t="s">
        <v>514</v>
      </c>
      <c r="R79" s="92">
        <v>3</v>
      </c>
      <c r="S79" s="92">
        <v>612</v>
      </c>
      <c r="T79" s="9">
        <v>44103</v>
      </c>
      <c r="U79" s="9">
        <v>44144</v>
      </c>
    </row>
    <row r="80" spans="1:21" x14ac:dyDescent="0.2">
      <c r="A80" s="10" t="str">
        <f>HYPERLINK("http://www.ofsted.gov.uk/inspection-reports/find-inspection-report/provider/ELS/144355 ","Ofsted School Webpage")</f>
        <v>Ofsted School Webpage</v>
      </c>
      <c r="B80" s="92">
        <v>144355</v>
      </c>
      <c r="C80" s="92">
        <v>3402006</v>
      </c>
      <c r="D80" s="92" t="s">
        <v>515</v>
      </c>
      <c r="E80" s="92" t="s">
        <v>94</v>
      </c>
      <c r="F80" s="92" t="s">
        <v>409</v>
      </c>
      <c r="G80" s="9">
        <v>42979</v>
      </c>
      <c r="H80" s="92" t="s">
        <v>271</v>
      </c>
      <c r="I80" s="92" t="s">
        <v>272</v>
      </c>
      <c r="J80" s="92" t="s">
        <v>273</v>
      </c>
      <c r="K80" s="92" t="s">
        <v>484</v>
      </c>
      <c r="L80" s="92" t="s">
        <v>274</v>
      </c>
      <c r="M80" s="92" t="s">
        <v>168</v>
      </c>
      <c r="N80" s="92" t="s">
        <v>168</v>
      </c>
      <c r="O80" s="92" t="s">
        <v>178</v>
      </c>
      <c r="P80" s="92" t="s">
        <v>178</v>
      </c>
      <c r="Q80" s="92" t="s">
        <v>516</v>
      </c>
      <c r="R80" s="92">
        <v>4</v>
      </c>
      <c r="S80" s="92">
        <v>225</v>
      </c>
      <c r="T80" s="9">
        <v>44103</v>
      </c>
      <c r="U80" s="9">
        <v>44154</v>
      </c>
    </row>
    <row r="81" spans="1:21" x14ac:dyDescent="0.2">
      <c r="A81" s="10" t="str">
        <f>HYPERLINK("http://www.ofsted.gov.uk/inspection-reports/find-inspection-report/provider/ELS/146170 ","Ofsted School Webpage")</f>
        <v>Ofsted School Webpage</v>
      </c>
      <c r="B81" s="92">
        <v>146170</v>
      </c>
      <c r="C81" s="92">
        <v>9283048</v>
      </c>
      <c r="D81" s="92" t="s">
        <v>517</v>
      </c>
      <c r="E81" s="92" t="s">
        <v>94</v>
      </c>
      <c r="F81" s="92" t="s">
        <v>429</v>
      </c>
      <c r="G81" s="9">
        <v>43435</v>
      </c>
      <c r="H81" s="92" t="s">
        <v>271</v>
      </c>
      <c r="I81" s="92" t="s">
        <v>272</v>
      </c>
      <c r="J81" s="92" t="s">
        <v>346</v>
      </c>
      <c r="K81" s="92" t="s">
        <v>273</v>
      </c>
      <c r="L81" s="92" t="s">
        <v>347</v>
      </c>
      <c r="M81" s="92" t="s">
        <v>100</v>
      </c>
      <c r="N81" s="92" t="s">
        <v>100</v>
      </c>
      <c r="O81" s="92" t="s">
        <v>107</v>
      </c>
      <c r="P81" s="92" t="s">
        <v>518</v>
      </c>
      <c r="Q81" s="92" t="s">
        <v>519</v>
      </c>
      <c r="R81" s="92">
        <v>1</v>
      </c>
      <c r="S81" s="92">
        <v>385</v>
      </c>
      <c r="T81" s="9">
        <v>44105</v>
      </c>
      <c r="U81" s="9">
        <v>44144</v>
      </c>
    </row>
    <row r="82" spans="1:21" x14ac:dyDescent="0.2">
      <c r="A82" s="10" t="str">
        <f>HYPERLINK("http://www.ofsted.gov.uk/inspection-reports/find-inspection-report/provider/ELS/143497 ","Ofsted School Webpage")</f>
        <v>Ofsted School Webpage</v>
      </c>
      <c r="B82" s="92">
        <v>143497</v>
      </c>
      <c r="C82" s="92">
        <v>9372049</v>
      </c>
      <c r="D82" s="92" t="s">
        <v>520</v>
      </c>
      <c r="E82" s="92" t="s">
        <v>94</v>
      </c>
      <c r="F82" s="92" t="s">
        <v>429</v>
      </c>
      <c r="G82" s="9">
        <v>43132</v>
      </c>
      <c r="H82" s="92" t="s">
        <v>271</v>
      </c>
      <c r="I82" s="92" t="s">
        <v>272</v>
      </c>
      <c r="J82" s="92" t="s">
        <v>273</v>
      </c>
      <c r="K82" s="92" t="s">
        <v>273</v>
      </c>
      <c r="L82" s="92" t="s">
        <v>274</v>
      </c>
      <c r="M82" s="92" t="s">
        <v>226</v>
      </c>
      <c r="N82" s="92" t="s">
        <v>226</v>
      </c>
      <c r="O82" s="92" t="s">
        <v>235</v>
      </c>
      <c r="P82" s="92" t="s">
        <v>521</v>
      </c>
      <c r="Q82" s="92" t="s">
        <v>522</v>
      </c>
      <c r="R82" s="92">
        <v>1</v>
      </c>
      <c r="S82" s="92">
        <v>99</v>
      </c>
      <c r="T82" s="9">
        <v>44105</v>
      </c>
      <c r="U82" s="9">
        <v>44147</v>
      </c>
    </row>
    <row r="83" spans="1:21" x14ac:dyDescent="0.2">
      <c r="A83" s="10" t="str">
        <f>HYPERLINK("http://www.ofsted.gov.uk/inspection-reports/find-inspection-report/provider/ELS/145955 ","Ofsted School Webpage")</f>
        <v>Ofsted School Webpage</v>
      </c>
      <c r="B83" s="92">
        <v>145955</v>
      </c>
      <c r="C83" s="92">
        <v>3082022</v>
      </c>
      <c r="D83" s="92" t="s">
        <v>523</v>
      </c>
      <c r="E83" s="92" t="s">
        <v>94</v>
      </c>
      <c r="F83" s="92" t="s">
        <v>429</v>
      </c>
      <c r="G83" s="9">
        <v>43221</v>
      </c>
      <c r="H83" s="92" t="s">
        <v>299</v>
      </c>
      <c r="I83" s="92" t="s">
        <v>271</v>
      </c>
      <c r="J83" s="92" t="s">
        <v>410</v>
      </c>
      <c r="K83" s="92" t="s">
        <v>273</v>
      </c>
      <c r="L83" s="92" t="s">
        <v>274</v>
      </c>
      <c r="M83" s="92" t="s">
        <v>122</v>
      </c>
      <c r="N83" s="92" t="s">
        <v>122</v>
      </c>
      <c r="O83" s="92" t="s">
        <v>130</v>
      </c>
      <c r="P83" s="92" t="s">
        <v>524</v>
      </c>
      <c r="Q83" s="92" t="s">
        <v>525</v>
      </c>
      <c r="R83" s="92">
        <v>5</v>
      </c>
      <c r="S83" s="92">
        <v>121</v>
      </c>
      <c r="T83" s="9">
        <v>44105</v>
      </c>
      <c r="U83" s="9">
        <v>44157</v>
      </c>
    </row>
    <row r="84" spans="1:21" x14ac:dyDescent="0.2">
      <c r="A84" s="10" t="str">
        <f>HYPERLINK("http://www.ofsted.gov.uk/inspection-reports/find-inspection-report/provider/ELS/143331 ","Ofsted School Webpage")</f>
        <v>Ofsted School Webpage</v>
      </c>
      <c r="B84" s="92">
        <v>143331</v>
      </c>
      <c r="C84" s="92">
        <v>9333232</v>
      </c>
      <c r="D84" s="92" t="s">
        <v>526</v>
      </c>
      <c r="E84" s="92" t="s">
        <v>94</v>
      </c>
      <c r="F84" s="92" t="s">
        <v>429</v>
      </c>
      <c r="G84" s="9">
        <v>42675</v>
      </c>
      <c r="H84" s="92" t="s">
        <v>271</v>
      </c>
      <c r="I84" s="92" t="s">
        <v>272</v>
      </c>
      <c r="J84" s="92" t="s">
        <v>346</v>
      </c>
      <c r="K84" s="92" t="s">
        <v>273</v>
      </c>
      <c r="L84" s="92" t="s">
        <v>347</v>
      </c>
      <c r="M84" s="92" t="s">
        <v>211</v>
      </c>
      <c r="N84" s="92" t="s">
        <v>211</v>
      </c>
      <c r="O84" s="92" t="s">
        <v>218</v>
      </c>
      <c r="P84" s="92" t="s">
        <v>527</v>
      </c>
      <c r="Q84" s="92" t="s">
        <v>528</v>
      </c>
      <c r="R84" s="92">
        <v>3</v>
      </c>
      <c r="S84" s="92">
        <v>82</v>
      </c>
      <c r="T84" s="9">
        <v>44105</v>
      </c>
      <c r="U84" s="9">
        <v>44145</v>
      </c>
    </row>
    <row r="85" spans="1:21" x14ac:dyDescent="0.2">
      <c r="A85" s="10" t="str">
        <f>HYPERLINK("http://www.ofsted.gov.uk/inspection-reports/find-inspection-report/provider/ELS/145272 ","Ofsted School Webpage")</f>
        <v>Ofsted School Webpage</v>
      </c>
      <c r="B85" s="92">
        <v>145272</v>
      </c>
      <c r="C85" s="92">
        <v>8742451</v>
      </c>
      <c r="D85" s="92" t="s">
        <v>529</v>
      </c>
      <c r="E85" s="92" t="s">
        <v>94</v>
      </c>
      <c r="F85" s="92" t="s">
        <v>429</v>
      </c>
      <c r="G85" s="9">
        <v>43101</v>
      </c>
      <c r="H85" s="92" t="s">
        <v>271</v>
      </c>
      <c r="I85" s="92" t="s">
        <v>272</v>
      </c>
      <c r="J85" s="92" t="s">
        <v>273</v>
      </c>
      <c r="K85" s="92" t="s">
        <v>273</v>
      </c>
      <c r="L85" s="92" t="s">
        <v>274</v>
      </c>
      <c r="M85" s="92" t="s">
        <v>110</v>
      </c>
      <c r="N85" s="92" t="s">
        <v>110</v>
      </c>
      <c r="O85" s="92" t="s">
        <v>115</v>
      </c>
      <c r="P85" s="92" t="s">
        <v>115</v>
      </c>
      <c r="Q85" s="92" t="s">
        <v>530</v>
      </c>
      <c r="R85" s="92">
        <v>3</v>
      </c>
      <c r="S85" s="92">
        <v>411</v>
      </c>
      <c r="T85" s="9">
        <v>44105</v>
      </c>
      <c r="U85" s="9">
        <v>44147</v>
      </c>
    </row>
    <row r="86" spans="1:21" x14ac:dyDescent="0.2">
      <c r="A86" s="10" t="str">
        <f>HYPERLINK("http://www.ofsted.gov.uk/inspection-reports/find-inspection-report/provider/ELS/145286 ","Ofsted School Webpage")</f>
        <v>Ofsted School Webpage</v>
      </c>
      <c r="B86" s="92">
        <v>145286</v>
      </c>
      <c r="C86" s="92">
        <v>8724048</v>
      </c>
      <c r="D86" s="92" t="s">
        <v>531</v>
      </c>
      <c r="E86" s="92" t="s">
        <v>95</v>
      </c>
      <c r="F86" s="92" t="s">
        <v>429</v>
      </c>
      <c r="G86" s="9">
        <v>43132</v>
      </c>
      <c r="H86" s="92" t="s">
        <v>299</v>
      </c>
      <c r="I86" s="92" t="s">
        <v>300</v>
      </c>
      <c r="J86" s="92" t="s">
        <v>273</v>
      </c>
      <c r="K86" s="92" t="s">
        <v>273</v>
      </c>
      <c r="L86" s="92" t="s">
        <v>274</v>
      </c>
      <c r="M86" s="92" t="s">
        <v>192</v>
      </c>
      <c r="N86" s="92" t="s">
        <v>192</v>
      </c>
      <c r="O86" s="92" t="s">
        <v>201</v>
      </c>
      <c r="P86" s="92" t="s">
        <v>201</v>
      </c>
      <c r="Q86" s="92" t="s">
        <v>532</v>
      </c>
      <c r="R86" s="92">
        <v>1</v>
      </c>
      <c r="S86" s="92">
        <v>1181</v>
      </c>
      <c r="T86" s="9">
        <v>44105</v>
      </c>
      <c r="U86" s="9">
        <v>44144</v>
      </c>
    </row>
    <row r="87" spans="1:21" x14ac:dyDescent="0.2">
      <c r="A87" s="10" t="str">
        <f>HYPERLINK("http://www.ofsted.gov.uk/inspection-reports/find-inspection-report/provider/ELS/144528 ","Ofsted School Webpage")</f>
        <v>Ofsted School Webpage</v>
      </c>
      <c r="B87" s="92">
        <v>144528</v>
      </c>
      <c r="C87" s="92">
        <v>8222294</v>
      </c>
      <c r="D87" s="92" t="s">
        <v>533</v>
      </c>
      <c r="E87" s="92" t="s">
        <v>94</v>
      </c>
      <c r="F87" s="92" t="s">
        <v>429</v>
      </c>
      <c r="G87" s="9">
        <v>42887</v>
      </c>
      <c r="H87" s="92" t="s">
        <v>271</v>
      </c>
      <c r="I87" s="92" t="s">
        <v>272</v>
      </c>
      <c r="J87" s="92" t="s">
        <v>273</v>
      </c>
      <c r="K87" s="92" t="s">
        <v>273</v>
      </c>
      <c r="L87" s="92" t="s">
        <v>274</v>
      </c>
      <c r="M87" s="92" t="s">
        <v>110</v>
      </c>
      <c r="N87" s="92" t="s">
        <v>110</v>
      </c>
      <c r="O87" s="92" t="s">
        <v>111</v>
      </c>
      <c r="P87" s="92" t="s">
        <v>111</v>
      </c>
      <c r="Q87" s="92" t="s">
        <v>534</v>
      </c>
      <c r="R87" s="92">
        <v>4</v>
      </c>
      <c r="S87" s="92">
        <v>401</v>
      </c>
      <c r="T87" s="9">
        <v>44105</v>
      </c>
      <c r="U87" s="9">
        <v>44146</v>
      </c>
    </row>
    <row r="88" spans="1:21" x14ac:dyDescent="0.2">
      <c r="A88" s="10" t="str">
        <f>HYPERLINK("http://www.ofsted.gov.uk/inspection-reports/find-inspection-report/provider/ELS/144708 ","Ofsted School Webpage")</f>
        <v>Ofsted School Webpage</v>
      </c>
      <c r="B88" s="92">
        <v>144708</v>
      </c>
      <c r="C88" s="92">
        <v>8162028</v>
      </c>
      <c r="D88" s="92" t="s">
        <v>535</v>
      </c>
      <c r="E88" s="92" t="s">
        <v>94</v>
      </c>
      <c r="F88" s="92" t="s">
        <v>429</v>
      </c>
      <c r="G88" s="9">
        <v>43221</v>
      </c>
      <c r="H88" s="92" t="s">
        <v>271</v>
      </c>
      <c r="I88" s="92" t="s">
        <v>272</v>
      </c>
      <c r="J88" s="92" t="s">
        <v>273</v>
      </c>
      <c r="K88" s="92" t="s">
        <v>273</v>
      </c>
      <c r="L88" s="92" t="s">
        <v>274</v>
      </c>
      <c r="M88" s="92" t="s">
        <v>261</v>
      </c>
      <c r="N88" s="92" t="s">
        <v>241</v>
      </c>
      <c r="O88" s="92" t="s">
        <v>245</v>
      </c>
      <c r="P88" s="92" t="s">
        <v>417</v>
      </c>
      <c r="Q88" s="92" t="s">
        <v>536</v>
      </c>
      <c r="R88" s="92">
        <v>4</v>
      </c>
      <c r="S88" s="92">
        <v>313</v>
      </c>
      <c r="T88" s="9">
        <v>44105</v>
      </c>
      <c r="U88" s="9">
        <v>44146</v>
      </c>
    </row>
    <row r="89" spans="1:21" x14ac:dyDescent="0.2">
      <c r="A89" s="10" t="str">
        <f>HYPERLINK("http://www.ofsted.gov.uk/inspection-reports/find-inspection-report/provider/ELS/142464 ","Ofsted School Webpage")</f>
        <v>Ofsted School Webpage</v>
      </c>
      <c r="B89" s="92">
        <v>142464</v>
      </c>
      <c r="C89" s="92">
        <v>3712005</v>
      </c>
      <c r="D89" s="92" t="s">
        <v>537</v>
      </c>
      <c r="E89" s="92" t="s">
        <v>94</v>
      </c>
      <c r="F89" s="92" t="s">
        <v>409</v>
      </c>
      <c r="G89" s="9">
        <v>42461</v>
      </c>
      <c r="H89" s="92" t="s">
        <v>271</v>
      </c>
      <c r="I89" s="92" t="s">
        <v>272</v>
      </c>
      <c r="J89" s="92" t="s">
        <v>273</v>
      </c>
      <c r="K89" s="92" t="s">
        <v>410</v>
      </c>
      <c r="L89" s="92" t="s">
        <v>274</v>
      </c>
      <c r="M89" s="92" t="s">
        <v>261</v>
      </c>
      <c r="N89" s="92" t="s">
        <v>241</v>
      </c>
      <c r="O89" s="92" t="s">
        <v>248</v>
      </c>
      <c r="P89" s="92" t="s">
        <v>538</v>
      </c>
      <c r="Q89" s="92" t="s">
        <v>539</v>
      </c>
      <c r="R89" s="92">
        <v>4</v>
      </c>
      <c r="S89" s="92">
        <v>289</v>
      </c>
      <c r="T89" s="9">
        <v>44105</v>
      </c>
      <c r="U89" s="9">
        <v>44154</v>
      </c>
    </row>
    <row r="90" spans="1:21" x14ac:dyDescent="0.2">
      <c r="A90" s="10" t="str">
        <f>HYPERLINK("http://www.ofsted.gov.uk/inspection-reports/find-inspection-report/provider/ELS/138641 ","Ofsted School Webpage")</f>
        <v>Ofsted School Webpage</v>
      </c>
      <c r="B90" s="92">
        <v>138641</v>
      </c>
      <c r="C90" s="92">
        <v>8914226</v>
      </c>
      <c r="D90" s="92" t="s">
        <v>540</v>
      </c>
      <c r="E90" s="92" t="s">
        <v>95</v>
      </c>
      <c r="F90" s="92" t="s">
        <v>429</v>
      </c>
      <c r="G90" s="9">
        <v>41153</v>
      </c>
      <c r="H90" s="92" t="s">
        <v>299</v>
      </c>
      <c r="I90" s="92" t="s">
        <v>300</v>
      </c>
      <c r="J90" s="92" t="s">
        <v>410</v>
      </c>
      <c r="K90" s="92" t="s">
        <v>273</v>
      </c>
      <c r="L90" s="92" t="s">
        <v>274</v>
      </c>
      <c r="M90" s="92" t="s">
        <v>100</v>
      </c>
      <c r="N90" s="92" t="s">
        <v>100</v>
      </c>
      <c r="O90" s="92" t="s">
        <v>105</v>
      </c>
      <c r="P90" s="92" t="s">
        <v>541</v>
      </c>
      <c r="Q90" s="92" t="s">
        <v>542</v>
      </c>
      <c r="R90" s="92">
        <v>3</v>
      </c>
      <c r="S90" s="92">
        <v>1326</v>
      </c>
      <c r="T90" s="9">
        <v>44105</v>
      </c>
      <c r="U90" s="9">
        <v>44146</v>
      </c>
    </row>
    <row r="91" spans="1:21" x14ac:dyDescent="0.2">
      <c r="A91" s="10" t="str">
        <f>HYPERLINK("http://www.ofsted.gov.uk/inspection-reports/find-inspection-report/provider/ELS/136974 ","Ofsted School Webpage")</f>
        <v>Ofsted School Webpage</v>
      </c>
      <c r="B91" s="92">
        <v>136974</v>
      </c>
      <c r="C91" s="92">
        <v>8735403</v>
      </c>
      <c r="D91" s="92" t="s">
        <v>543</v>
      </c>
      <c r="E91" s="92" t="s">
        <v>95</v>
      </c>
      <c r="F91" s="92" t="s">
        <v>429</v>
      </c>
      <c r="G91" s="9">
        <v>40756</v>
      </c>
      <c r="H91" s="92" t="s">
        <v>299</v>
      </c>
      <c r="I91" s="92" t="s">
        <v>300</v>
      </c>
      <c r="J91" s="92" t="s">
        <v>410</v>
      </c>
      <c r="K91" s="92" t="s">
        <v>273</v>
      </c>
      <c r="L91" s="92" t="s">
        <v>274</v>
      </c>
      <c r="M91" s="92" t="s">
        <v>110</v>
      </c>
      <c r="N91" s="92" t="s">
        <v>110</v>
      </c>
      <c r="O91" s="92" t="s">
        <v>112</v>
      </c>
      <c r="P91" s="92" t="s">
        <v>544</v>
      </c>
      <c r="Q91" s="92" t="s">
        <v>545</v>
      </c>
      <c r="R91" s="92">
        <v>1</v>
      </c>
      <c r="S91" s="92">
        <v>850</v>
      </c>
      <c r="T91" s="9">
        <v>44105</v>
      </c>
      <c r="U91" s="9">
        <v>44145</v>
      </c>
    </row>
    <row r="92" spans="1:21" x14ac:dyDescent="0.2">
      <c r="A92" s="10" t="str">
        <f>HYPERLINK("http://www.ofsted.gov.uk/inspection-reports/find-inspection-report/provider/ELS/138776 ","Ofsted School Webpage")</f>
        <v>Ofsted School Webpage</v>
      </c>
      <c r="B92" s="92">
        <v>138776</v>
      </c>
      <c r="C92" s="92">
        <v>8314000</v>
      </c>
      <c r="D92" s="92" t="s">
        <v>546</v>
      </c>
      <c r="E92" s="92" t="s">
        <v>94</v>
      </c>
      <c r="F92" s="92" t="s">
        <v>491</v>
      </c>
      <c r="G92" s="9">
        <v>41153</v>
      </c>
      <c r="H92" s="92" t="s">
        <v>271</v>
      </c>
      <c r="I92" s="92" t="s">
        <v>272</v>
      </c>
      <c r="J92" s="92" t="s">
        <v>547</v>
      </c>
      <c r="K92" s="92" t="s">
        <v>410</v>
      </c>
      <c r="L92" s="92" t="s">
        <v>547</v>
      </c>
      <c r="M92" s="92" t="s">
        <v>100</v>
      </c>
      <c r="N92" s="92" t="s">
        <v>100</v>
      </c>
      <c r="O92" s="92" t="s">
        <v>106</v>
      </c>
      <c r="P92" s="92" t="s">
        <v>548</v>
      </c>
      <c r="Q92" s="92" t="s">
        <v>549</v>
      </c>
      <c r="R92" s="92">
        <v>5</v>
      </c>
      <c r="S92" s="92">
        <v>302</v>
      </c>
      <c r="T92" s="9">
        <v>44105</v>
      </c>
      <c r="U92" s="9">
        <v>44146</v>
      </c>
    </row>
    <row r="93" spans="1:21" x14ac:dyDescent="0.2">
      <c r="A93" s="10" t="str">
        <f>HYPERLINK("http://www.ofsted.gov.uk/inspection-reports/find-inspection-report/provider/ELS/138773 ","Ofsted School Webpage")</f>
        <v>Ofsted School Webpage</v>
      </c>
      <c r="B93" s="92">
        <v>138773</v>
      </c>
      <c r="C93" s="92">
        <v>8802003</v>
      </c>
      <c r="D93" s="92" t="s">
        <v>550</v>
      </c>
      <c r="E93" s="92" t="s">
        <v>94</v>
      </c>
      <c r="F93" s="92" t="s">
        <v>429</v>
      </c>
      <c r="G93" s="9">
        <v>41153</v>
      </c>
      <c r="H93" s="92" t="s">
        <v>299</v>
      </c>
      <c r="I93" s="92" t="s">
        <v>271</v>
      </c>
      <c r="J93" s="92" t="s">
        <v>273</v>
      </c>
      <c r="K93" s="92" t="s">
        <v>273</v>
      </c>
      <c r="L93" s="92" t="s">
        <v>274</v>
      </c>
      <c r="M93" s="92" t="s">
        <v>211</v>
      </c>
      <c r="N93" s="92" t="s">
        <v>211</v>
      </c>
      <c r="O93" s="92" t="s">
        <v>215</v>
      </c>
      <c r="P93" s="92" t="s">
        <v>465</v>
      </c>
      <c r="Q93" s="92" t="s">
        <v>551</v>
      </c>
      <c r="R93" s="92">
        <v>5</v>
      </c>
      <c r="S93" s="92">
        <v>448</v>
      </c>
      <c r="T93" s="9">
        <v>44105</v>
      </c>
      <c r="U93" s="9">
        <v>44119</v>
      </c>
    </row>
    <row r="94" spans="1:21" x14ac:dyDescent="0.2">
      <c r="A94" s="10" t="str">
        <f>HYPERLINK("http://www.ofsted.gov.uk/inspection-reports/find-inspection-report/provider/ELS/137566 ","Ofsted School Webpage")</f>
        <v>Ofsted School Webpage</v>
      </c>
      <c r="B94" s="92">
        <v>137566</v>
      </c>
      <c r="C94" s="92">
        <v>2062643</v>
      </c>
      <c r="D94" s="92" t="s">
        <v>552</v>
      </c>
      <c r="E94" s="92" t="s">
        <v>94</v>
      </c>
      <c r="F94" s="92" t="s">
        <v>429</v>
      </c>
      <c r="G94" s="9">
        <v>40817</v>
      </c>
      <c r="H94" s="92" t="s">
        <v>271</v>
      </c>
      <c r="I94" s="92" t="s">
        <v>271</v>
      </c>
      <c r="J94" s="92" t="s">
        <v>273</v>
      </c>
      <c r="K94" s="92" t="s">
        <v>273</v>
      </c>
      <c r="L94" s="92" t="s">
        <v>274</v>
      </c>
      <c r="M94" s="92" t="s">
        <v>122</v>
      </c>
      <c r="N94" s="92" t="s">
        <v>122</v>
      </c>
      <c r="O94" s="92" t="s">
        <v>133</v>
      </c>
      <c r="P94" s="92" t="s">
        <v>553</v>
      </c>
      <c r="Q94" s="92" t="s">
        <v>554</v>
      </c>
      <c r="R94" s="92">
        <v>5</v>
      </c>
      <c r="S94" s="92">
        <v>446</v>
      </c>
      <c r="T94" s="9">
        <v>44105</v>
      </c>
      <c r="U94" s="9">
        <v>44146</v>
      </c>
    </row>
    <row r="95" spans="1:21" x14ac:dyDescent="0.2">
      <c r="A95" s="10" t="str">
        <f>HYPERLINK("http://www.ofsted.gov.uk/inspection-reports/find-inspection-report/provider/ELS/140858 ","Ofsted School Webpage")</f>
        <v>Ofsted School Webpage</v>
      </c>
      <c r="B95" s="92">
        <v>140858</v>
      </c>
      <c r="C95" s="92">
        <v>8602011</v>
      </c>
      <c r="D95" s="92" t="s">
        <v>555</v>
      </c>
      <c r="E95" s="92" t="s">
        <v>94</v>
      </c>
      <c r="F95" s="92" t="s">
        <v>409</v>
      </c>
      <c r="G95" s="9">
        <v>41821</v>
      </c>
      <c r="H95" s="92" t="s">
        <v>271</v>
      </c>
      <c r="I95" s="92" t="s">
        <v>272</v>
      </c>
      <c r="J95" s="92" t="s">
        <v>346</v>
      </c>
      <c r="K95" s="92" t="s">
        <v>410</v>
      </c>
      <c r="L95" s="92" t="s">
        <v>347</v>
      </c>
      <c r="M95" s="92" t="s">
        <v>226</v>
      </c>
      <c r="N95" s="92" t="s">
        <v>226</v>
      </c>
      <c r="O95" s="92" t="s">
        <v>229</v>
      </c>
      <c r="P95" s="92" t="s">
        <v>556</v>
      </c>
      <c r="Q95" s="92" t="s">
        <v>557</v>
      </c>
      <c r="R95" s="92">
        <v>3</v>
      </c>
      <c r="S95" s="92">
        <v>164</v>
      </c>
      <c r="T95" s="9">
        <v>44105</v>
      </c>
      <c r="U95" s="9">
        <v>44145</v>
      </c>
    </row>
    <row r="96" spans="1:21" x14ac:dyDescent="0.2">
      <c r="A96" s="10" t="str">
        <f>HYPERLINK("http://www.ofsted.gov.uk/inspection-reports/find-inspection-report/provider/ELS/137294 ","Ofsted School Webpage")</f>
        <v>Ofsted School Webpage</v>
      </c>
      <c r="B96" s="92">
        <v>137294</v>
      </c>
      <c r="C96" s="92">
        <v>3534605</v>
      </c>
      <c r="D96" s="92" t="s">
        <v>558</v>
      </c>
      <c r="E96" s="92" t="s">
        <v>95</v>
      </c>
      <c r="F96" s="92" t="s">
        <v>429</v>
      </c>
      <c r="G96" s="9">
        <v>40772</v>
      </c>
      <c r="H96" s="92" t="s">
        <v>299</v>
      </c>
      <c r="I96" s="92" t="s">
        <v>300</v>
      </c>
      <c r="J96" s="92" t="s">
        <v>346</v>
      </c>
      <c r="K96" s="92" t="s">
        <v>273</v>
      </c>
      <c r="L96" s="92" t="s">
        <v>347</v>
      </c>
      <c r="M96" s="92" t="s">
        <v>168</v>
      </c>
      <c r="N96" s="92" t="s">
        <v>168</v>
      </c>
      <c r="O96" s="92" t="s">
        <v>172</v>
      </c>
      <c r="P96" s="92" t="s">
        <v>559</v>
      </c>
      <c r="Q96" s="92" t="s">
        <v>560</v>
      </c>
      <c r="R96" s="92">
        <v>3</v>
      </c>
      <c r="S96" s="92">
        <v>1494</v>
      </c>
      <c r="T96" s="9">
        <v>44105</v>
      </c>
      <c r="U96" s="9">
        <v>44158</v>
      </c>
    </row>
    <row r="97" spans="1:21" x14ac:dyDescent="0.2">
      <c r="A97" s="10" t="str">
        <f>HYPERLINK("http://www.ofsted.gov.uk/inspection-reports/find-inspection-report/provider/ELS/141248 ","Ofsted School Webpage")</f>
        <v>Ofsted School Webpage</v>
      </c>
      <c r="B97" s="92">
        <v>141248</v>
      </c>
      <c r="C97" s="92">
        <v>3534027</v>
      </c>
      <c r="D97" s="92" t="s">
        <v>561</v>
      </c>
      <c r="E97" s="92" t="s">
        <v>95</v>
      </c>
      <c r="F97" s="92" t="s">
        <v>429</v>
      </c>
      <c r="G97" s="9">
        <v>41883</v>
      </c>
      <c r="H97" s="92" t="s">
        <v>299</v>
      </c>
      <c r="I97" s="92" t="s">
        <v>300</v>
      </c>
      <c r="J97" s="92" t="s">
        <v>410</v>
      </c>
      <c r="K97" s="92" t="s">
        <v>273</v>
      </c>
      <c r="L97" s="92" t="s">
        <v>274</v>
      </c>
      <c r="M97" s="92" t="s">
        <v>168</v>
      </c>
      <c r="N97" s="92" t="s">
        <v>168</v>
      </c>
      <c r="O97" s="92" t="s">
        <v>172</v>
      </c>
      <c r="P97" s="92" t="s">
        <v>436</v>
      </c>
      <c r="Q97" s="92" t="s">
        <v>562</v>
      </c>
      <c r="R97" s="92">
        <v>3</v>
      </c>
      <c r="S97" s="92">
        <v>1551</v>
      </c>
      <c r="T97" s="9">
        <v>44105</v>
      </c>
      <c r="U97" s="9">
        <v>44151</v>
      </c>
    </row>
    <row r="98" spans="1:21" x14ac:dyDescent="0.2">
      <c r="A98" s="10" t="str">
        <f>HYPERLINK("http://www.ofsted.gov.uk/inspection-reports/find-inspection-report/provider/ELS/141767 ","Ofsted School Webpage")</f>
        <v>Ofsted School Webpage</v>
      </c>
      <c r="B98" s="92">
        <v>141767</v>
      </c>
      <c r="C98" s="92">
        <v>8002239</v>
      </c>
      <c r="D98" s="92" t="s">
        <v>563</v>
      </c>
      <c r="E98" s="92" t="s">
        <v>94</v>
      </c>
      <c r="F98" s="92" t="s">
        <v>429</v>
      </c>
      <c r="G98" s="9">
        <v>42064</v>
      </c>
      <c r="H98" s="92" t="s">
        <v>271</v>
      </c>
      <c r="I98" s="92" t="s">
        <v>272</v>
      </c>
      <c r="J98" s="92" t="s">
        <v>273</v>
      </c>
      <c r="K98" s="92" t="s">
        <v>273</v>
      </c>
      <c r="L98" s="92" t="s">
        <v>274</v>
      </c>
      <c r="M98" s="92" t="s">
        <v>211</v>
      </c>
      <c r="N98" s="92" t="s">
        <v>211</v>
      </c>
      <c r="O98" s="92" t="s">
        <v>221</v>
      </c>
      <c r="P98" s="92" t="s">
        <v>564</v>
      </c>
      <c r="Q98" s="92" t="s">
        <v>565</v>
      </c>
      <c r="R98" s="92">
        <v>2</v>
      </c>
      <c r="S98" s="92">
        <v>132</v>
      </c>
      <c r="T98" s="9">
        <v>44105</v>
      </c>
      <c r="U98" s="9">
        <v>44147</v>
      </c>
    </row>
    <row r="99" spans="1:21" x14ac:dyDescent="0.2">
      <c r="A99" s="10" t="str">
        <f>HYPERLINK("http://www.ofsted.gov.uk/inspection-reports/find-inspection-report/provider/ELS/136656 ","Ofsted School Webpage")</f>
        <v>Ofsted School Webpage</v>
      </c>
      <c r="B99" s="92">
        <v>136656</v>
      </c>
      <c r="C99" s="92">
        <v>3045400</v>
      </c>
      <c r="D99" s="92" t="s">
        <v>566</v>
      </c>
      <c r="E99" s="92" t="s">
        <v>95</v>
      </c>
      <c r="F99" s="92" t="s">
        <v>429</v>
      </c>
      <c r="G99" s="9">
        <v>40634</v>
      </c>
      <c r="H99" s="92" t="s">
        <v>299</v>
      </c>
      <c r="I99" s="92" t="s">
        <v>300</v>
      </c>
      <c r="J99" s="92" t="s">
        <v>410</v>
      </c>
      <c r="K99" s="92" t="s">
        <v>273</v>
      </c>
      <c r="L99" s="92" t="s">
        <v>274</v>
      </c>
      <c r="M99" s="92" t="s">
        <v>122</v>
      </c>
      <c r="N99" s="92" t="s">
        <v>122</v>
      </c>
      <c r="O99" s="92" t="s">
        <v>132</v>
      </c>
      <c r="P99" s="92" t="s">
        <v>567</v>
      </c>
      <c r="Q99" s="92" t="s">
        <v>568</v>
      </c>
      <c r="R99" s="92">
        <v>2</v>
      </c>
      <c r="S99" s="92">
        <v>1643</v>
      </c>
      <c r="T99" s="9">
        <v>44105</v>
      </c>
      <c r="U99" s="9">
        <v>44147</v>
      </c>
    </row>
    <row r="100" spans="1:21" x14ac:dyDescent="0.2">
      <c r="A100" s="10" t="str">
        <f>HYPERLINK("http://www.ofsted.gov.uk/inspection-reports/find-inspection-report/provider/ELS/138452 ","Ofsted School Webpage")</f>
        <v>Ofsted School Webpage</v>
      </c>
      <c r="B100" s="92">
        <v>138452</v>
      </c>
      <c r="C100" s="92">
        <v>3352010</v>
      </c>
      <c r="D100" s="92" t="s">
        <v>569</v>
      </c>
      <c r="E100" s="92" t="s">
        <v>94</v>
      </c>
      <c r="F100" s="92" t="s">
        <v>409</v>
      </c>
      <c r="G100" s="9">
        <v>41153</v>
      </c>
      <c r="H100" s="92" t="s">
        <v>484</v>
      </c>
      <c r="I100" s="92" t="s">
        <v>271</v>
      </c>
      <c r="J100" s="92" t="s">
        <v>410</v>
      </c>
      <c r="K100" s="92" t="s">
        <v>410</v>
      </c>
      <c r="L100" s="92" t="s">
        <v>274</v>
      </c>
      <c r="M100" s="92" t="s">
        <v>226</v>
      </c>
      <c r="N100" s="92" t="s">
        <v>226</v>
      </c>
      <c r="O100" s="92" t="s">
        <v>230</v>
      </c>
      <c r="P100" s="92" t="s">
        <v>570</v>
      </c>
      <c r="Q100" s="92" t="s">
        <v>571</v>
      </c>
      <c r="R100" s="92">
        <v>5</v>
      </c>
      <c r="S100" s="92">
        <v>484</v>
      </c>
      <c r="T100" s="9">
        <v>44105</v>
      </c>
      <c r="U100" s="9">
        <v>44147</v>
      </c>
    </row>
    <row r="101" spans="1:21" x14ac:dyDescent="0.2">
      <c r="A101" s="10" t="str">
        <f>HYPERLINK("http://www.ofsted.gov.uk/inspection-reports/find-inspection-report/provider/ELS/139354 ","Ofsted School Webpage")</f>
        <v>Ofsted School Webpage</v>
      </c>
      <c r="B101" s="92">
        <v>139354</v>
      </c>
      <c r="C101" s="92">
        <v>3833363</v>
      </c>
      <c r="D101" s="92" t="s">
        <v>572</v>
      </c>
      <c r="E101" s="92" t="s">
        <v>94</v>
      </c>
      <c r="F101" s="92" t="s">
        <v>429</v>
      </c>
      <c r="G101" s="9">
        <v>41365</v>
      </c>
      <c r="H101" s="92" t="s">
        <v>271</v>
      </c>
      <c r="I101" s="92" t="s">
        <v>272</v>
      </c>
      <c r="J101" s="92" t="s">
        <v>352</v>
      </c>
      <c r="K101" s="92" t="s">
        <v>273</v>
      </c>
      <c r="L101" s="92" t="s">
        <v>347</v>
      </c>
      <c r="M101" s="92" t="s">
        <v>261</v>
      </c>
      <c r="N101" s="92" t="s">
        <v>241</v>
      </c>
      <c r="O101" s="92" t="s">
        <v>244</v>
      </c>
      <c r="P101" s="92" t="s">
        <v>573</v>
      </c>
      <c r="Q101" s="92" t="s">
        <v>574</v>
      </c>
      <c r="R101" s="92">
        <v>2</v>
      </c>
      <c r="S101" s="92">
        <v>215</v>
      </c>
      <c r="T101" s="9">
        <v>44105</v>
      </c>
      <c r="U101" s="9">
        <v>44158</v>
      </c>
    </row>
    <row r="102" spans="1:21" x14ac:dyDescent="0.2">
      <c r="A102" s="10" t="str">
        <f>HYPERLINK("http://www.ofsted.gov.uk/inspection-reports/find-inspection-report/provider/ELS/136957 ","Ofsted School Webpage")</f>
        <v>Ofsted School Webpage</v>
      </c>
      <c r="B102" s="92">
        <v>136957</v>
      </c>
      <c r="C102" s="92">
        <v>9082754</v>
      </c>
      <c r="D102" s="92" t="s">
        <v>575</v>
      </c>
      <c r="E102" s="92" t="s">
        <v>94</v>
      </c>
      <c r="F102" s="92" t="s">
        <v>429</v>
      </c>
      <c r="G102" s="9">
        <v>40756</v>
      </c>
      <c r="H102" s="92" t="s">
        <v>271</v>
      </c>
      <c r="I102" s="92" t="s">
        <v>271</v>
      </c>
      <c r="J102" s="92" t="s">
        <v>273</v>
      </c>
      <c r="K102" s="92" t="s">
        <v>273</v>
      </c>
      <c r="L102" s="92" t="s">
        <v>274</v>
      </c>
      <c r="M102" s="92" t="s">
        <v>211</v>
      </c>
      <c r="N102" s="92" t="s">
        <v>211</v>
      </c>
      <c r="O102" s="92" t="s">
        <v>219</v>
      </c>
      <c r="P102" s="92" t="s">
        <v>576</v>
      </c>
      <c r="Q102" s="92" t="s">
        <v>577</v>
      </c>
      <c r="R102" s="92">
        <v>3</v>
      </c>
      <c r="S102" s="92">
        <v>332</v>
      </c>
      <c r="T102" s="9">
        <v>44105</v>
      </c>
      <c r="U102" s="9">
        <v>44138</v>
      </c>
    </row>
    <row r="103" spans="1:21" x14ac:dyDescent="0.2">
      <c r="A103" s="10" t="str">
        <f>HYPERLINK("http://www.ofsted.gov.uk/inspection-reports/find-inspection-report/provider/ELS/141159 ","Ofsted School Webpage")</f>
        <v>Ofsted School Webpage</v>
      </c>
      <c r="B103" s="92">
        <v>141159</v>
      </c>
      <c r="C103" s="92">
        <v>9333189</v>
      </c>
      <c r="D103" s="92" t="s">
        <v>578</v>
      </c>
      <c r="E103" s="92" t="s">
        <v>94</v>
      </c>
      <c r="F103" s="92" t="s">
        <v>429</v>
      </c>
      <c r="G103" s="9">
        <v>41852</v>
      </c>
      <c r="H103" s="92" t="s">
        <v>271</v>
      </c>
      <c r="I103" s="92" t="s">
        <v>272</v>
      </c>
      <c r="J103" s="92" t="s">
        <v>346</v>
      </c>
      <c r="K103" s="92" t="s">
        <v>273</v>
      </c>
      <c r="L103" s="92" t="s">
        <v>347</v>
      </c>
      <c r="M103" s="92" t="s">
        <v>211</v>
      </c>
      <c r="N103" s="92" t="s">
        <v>211</v>
      </c>
      <c r="O103" s="92" t="s">
        <v>218</v>
      </c>
      <c r="P103" s="92" t="s">
        <v>579</v>
      </c>
      <c r="Q103" s="92" t="s">
        <v>580</v>
      </c>
      <c r="R103" s="92">
        <v>2</v>
      </c>
      <c r="S103" s="92">
        <v>207</v>
      </c>
      <c r="T103" s="9">
        <v>44105</v>
      </c>
      <c r="U103" s="9">
        <v>44146</v>
      </c>
    </row>
    <row r="104" spans="1:21" x14ac:dyDescent="0.2">
      <c r="A104" s="10" t="str">
        <f>HYPERLINK("http://www.ofsted.gov.uk/inspection-reports/find-inspection-report/provider/ELS/137100 ","Ofsted School Webpage")</f>
        <v>Ofsted School Webpage</v>
      </c>
      <c r="B104" s="92">
        <v>137100</v>
      </c>
      <c r="C104" s="92">
        <v>8604002</v>
      </c>
      <c r="D104" s="92" t="s">
        <v>581</v>
      </c>
      <c r="E104" s="92" t="s">
        <v>95</v>
      </c>
      <c r="F104" s="92" t="s">
        <v>409</v>
      </c>
      <c r="G104" s="9">
        <v>40787</v>
      </c>
      <c r="H104" s="92" t="s">
        <v>299</v>
      </c>
      <c r="I104" s="92" t="s">
        <v>300</v>
      </c>
      <c r="J104" s="92" t="s">
        <v>410</v>
      </c>
      <c r="K104" s="92" t="s">
        <v>410</v>
      </c>
      <c r="L104" s="92" t="s">
        <v>274</v>
      </c>
      <c r="M104" s="92" t="s">
        <v>226</v>
      </c>
      <c r="N104" s="92" t="s">
        <v>226</v>
      </c>
      <c r="O104" s="92" t="s">
        <v>229</v>
      </c>
      <c r="P104" s="92" t="s">
        <v>420</v>
      </c>
      <c r="Q104" s="92" t="s">
        <v>582</v>
      </c>
      <c r="R104" s="92">
        <v>3</v>
      </c>
      <c r="S104" s="92">
        <v>1179</v>
      </c>
      <c r="T104" s="9">
        <v>44105</v>
      </c>
      <c r="U104" s="9">
        <v>44146</v>
      </c>
    </row>
    <row r="105" spans="1:21" x14ac:dyDescent="0.2">
      <c r="A105" s="10" t="str">
        <f>HYPERLINK("http://www.ofsted.gov.uk/inspection-reports/find-inspection-report/provider/ELS/137008 ","Ofsted School Webpage")</f>
        <v>Ofsted School Webpage</v>
      </c>
      <c r="B105" s="92">
        <v>137008</v>
      </c>
      <c r="C105" s="92">
        <v>3344019</v>
      </c>
      <c r="D105" s="92" t="s">
        <v>583</v>
      </c>
      <c r="E105" s="92" t="s">
        <v>95</v>
      </c>
      <c r="F105" s="92" t="s">
        <v>429</v>
      </c>
      <c r="G105" s="9">
        <v>40756</v>
      </c>
      <c r="H105" s="92" t="s">
        <v>299</v>
      </c>
      <c r="I105" s="92" t="s">
        <v>272</v>
      </c>
      <c r="J105" s="92" t="s">
        <v>273</v>
      </c>
      <c r="K105" s="92" t="s">
        <v>273</v>
      </c>
      <c r="L105" s="92" t="s">
        <v>274</v>
      </c>
      <c r="M105" s="92" t="s">
        <v>226</v>
      </c>
      <c r="N105" s="92" t="s">
        <v>226</v>
      </c>
      <c r="O105" s="92" t="s">
        <v>236</v>
      </c>
      <c r="P105" s="92" t="s">
        <v>236</v>
      </c>
      <c r="Q105" s="92" t="s">
        <v>584</v>
      </c>
      <c r="R105" s="92">
        <v>2</v>
      </c>
      <c r="S105" s="92">
        <v>1160</v>
      </c>
      <c r="T105" s="9">
        <v>44105</v>
      </c>
      <c r="U105" s="9">
        <v>44140</v>
      </c>
    </row>
    <row r="106" spans="1:21" x14ac:dyDescent="0.2">
      <c r="A106" s="10" t="str">
        <f>HYPERLINK("http://www.ofsted.gov.uk/inspection-reports/find-inspection-report/provider/ELS/115471 ","Ofsted School Webpage")</f>
        <v>Ofsted School Webpage</v>
      </c>
      <c r="B106" s="92">
        <v>115471</v>
      </c>
      <c r="C106" s="92">
        <v>8817060</v>
      </c>
      <c r="D106" s="92" t="s">
        <v>585</v>
      </c>
      <c r="E106" s="92" t="s">
        <v>96</v>
      </c>
      <c r="F106" s="92" t="s">
        <v>401</v>
      </c>
      <c r="G106" s="92" t="s">
        <v>270</v>
      </c>
      <c r="H106" s="92" t="s">
        <v>271</v>
      </c>
      <c r="I106" s="92" t="s">
        <v>300</v>
      </c>
      <c r="J106" s="92" t="s">
        <v>273</v>
      </c>
      <c r="K106" s="92" t="s">
        <v>273</v>
      </c>
      <c r="L106" s="92" t="s">
        <v>274</v>
      </c>
      <c r="M106" s="92" t="s">
        <v>110</v>
      </c>
      <c r="N106" s="92" t="s">
        <v>110</v>
      </c>
      <c r="O106" s="92" t="s">
        <v>119</v>
      </c>
      <c r="P106" s="92" t="s">
        <v>586</v>
      </c>
      <c r="Q106" s="92" t="s">
        <v>587</v>
      </c>
      <c r="R106" s="92">
        <v>5</v>
      </c>
      <c r="S106" s="92">
        <v>141</v>
      </c>
      <c r="T106" s="9">
        <v>44105</v>
      </c>
      <c r="U106" s="9">
        <v>44146</v>
      </c>
    </row>
    <row r="107" spans="1:21" x14ac:dyDescent="0.2">
      <c r="A107" s="10" t="str">
        <f>HYPERLINK("http://www.ofsted.gov.uk/inspection-reports/find-inspection-report/provider/ELS/119889 ","Ofsted School Webpage")</f>
        <v>Ofsted School Webpage</v>
      </c>
      <c r="B107" s="92">
        <v>119889</v>
      </c>
      <c r="C107" s="92">
        <v>8887089</v>
      </c>
      <c r="D107" s="92" t="s">
        <v>588</v>
      </c>
      <c r="E107" s="92" t="s">
        <v>96</v>
      </c>
      <c r="F107" s="92" t="s">
        <v>401</v>
      </c>
      <c r="G107" s="9" t="s">
        <v>270</v>
      </c>
      <c r="H107" s="92" t="s">
        <v>271</v>
      </c>
      <c r="I107" s="92" t="s">
        <v>300</v>
      </c>
      <c r="J107" s="92" t="s">
        <v>273</v>
      </c>
      <c r="K107" s="92" t="s">
        <v>273</v>
      </c>
      <c r="L107" s="92" t="s">
        <v>274</v>
      </c>
      <c r="M107" s="92" t="s">
        <v>168</v>
      </c>
      <c r="N107" s="92" t="s">
        <v>168</v>
      </c>
      <c r="O107" s="92" t="s">
        <v>169</v>
      </c>
      <c r="P107" s="92" t="s">
        <v>589</v>
      </c>
      <c r="Q107" s="92" t="s">
        <v>590</v>
      </c>
      <c r="R107" s="92">
        <v>3</v>
      </c>
      <c r="S107" s="92">
        <v>122</v>
      </c>
      <c r="T107" s="9">
        <v>44105</v>
      </c>
      <c r="U107" s="9">
        <v>44124</v>
      </c>
    </row>
    <row r="108" spans="1:21" x14ac:dyDescent="0.2">
      <c r="A108" s="10" t="str">
        <f>HYPERLINK("http://www.ofsted.gov.uk/inspection-reports/find-inspection-report/provider/ELS/119093 ","Ofsted School Webpage")</f>
        <v>Ofsted School Webpage</v>
      </c>
      <c r="B108" s="92">
        <v>119093</v>
      </c>
      <c r="C108" s="92">
        <v>8881031</v>
      </c>
      <c r="D108" s="92" t="s">
        <v>591</v>
      </c>
      <c r="E108" s="92" t="s">
        <v>93</v>
      </c>
      <c r="F108" s="92" t="s">
        <v>592</v>
      </c>
      <c r="G108" s="9" t="s">
        <v>270</v>
      </c>
      <c r="H108" s="92" t="s">
        <v>271</v>
      </c>
      <c r="I108" s="92" t="s">
        <v>271</v>
      </c>
      <c r="J108" s="92" t="s">
        <v>273</v>
      </c>
      <c r="K108" s="92" t="s">
        <v>273</v>
      </c>
      <c r="L108" s="92" t="s">
        <v>274</v>
      </c>
      <c r="M108" s="92" t="s">
        <v>168</v>
      </c>
      <c r="N108" s="92" t="s">
        <v>168</v>
      </c>
      <c r="O108" s="92" t="s">
        <v>169</v>
      </c>
      <c r="P108" s="92" t="s">
        <v>377</v>
      </c>
      <c r="Q108" s="92" t="s">
        <v>593</v>
      </c>
      <c r="R108" s="92">
        <v>2</v>
      </c>
      <c r="S108" s="92">
        <v>60</v>
      </c>
      <c r="T108" s="9">
        <v>44105</v>
      </c>
      <c r="U108" s="9">
        <v>44153</v>
      </c>
    </row>
    <row r="109" spans="1:21" x14ac:dyDescent="0.2">
      <c r="A109" s="10" t="str">
        <f>HYPERLINK("http://www.ofsted.gov.uk/inspection-reports/find-inspection-report/provider/ELS/116116 ","Ofsted School Webpage")</f>
        <v>Ofsted School Webpage</v>
      </c>
      <c r="B109" s="92">
        <v>116116</v>
      </c>
      <c r="C109" s="92">
        <v>8522440</v>
      </c>
      <c r="D109" s="92" t="s">
        <v>594</v>
      </c>
      <c r="E109" s="92" t="s">
        <v>94</v>
      </c>
      <c r="F109" s="92" t="s">
        <v>397</v>
      </c>
      <c r="G109" s="92" t="s">
        <v>270</v>
      </c>
      <c r="H109" s="92" t="s">
        <v>271</v>
      </c>
      <c r="I109" s="92" t="s">
        <v>272</v>
      </c>
      <c r="J109" s="92" t="s">
        <v>273</v>
      </c>
      <c r="K109" s="92" t="s">
        <v>273</v>
      </c>
      <c r="L109" s="92" t="s">
        <v>274</v>
      </c>
      <c r="M109" s="92" t="s">
        <v>192</v>
      </c>
      <c r="N109" s="92" t="s">
        <v>192</v>
      </c>
      <c r="O109" s="92" t="s">
        <v>202</v>
      </c>
      <c r="P109" s="92" t="s">
        <v>595</v>
      </c>
      <c r="Q109" s="92" t="s">
        <v>596</v>
      </c>
      <c r="R109" s="92">
        <v>4</v>
      </c>
      <c r="S109" s="92">
        <v>405</v>
      </c>
      <c r="T109" s="9">
        <v>44105</v>
      </c>
      <c r="U109" s="9">
        <v>44158</v>
      </c>
    </row>
    <row r="110" spans="1:21" x14ac:dyDescent="0.2">
      <c r="A110" s="10" t="str">
        <f>HYPERLINK("http://www.ofsted.gov.uk/inspection-reports/find-inspection-report/provider/ELS/111396 ","Ofsted School Webpage")</f>
        <v>Ofsted School Webpage</v>
      </c>
      <c r="B110" s="92">
        <v>111396</v>
      </c>
      <c r="C110" s="92">
        <v>8964006</v>
      </c>
      <c r="D110" s="92" t="s">
        <v>597</v>
      </c>
      <c r="E110" s="92" t="s">
        <v>95</v>
      </c>
      <c r="F110" s="92" t="s">
        <v>397</v>
      </c>
      <c r="G110" s="9" t="s">
        <v>270</v>
      </c>
      <c r="H110" s="92" t="s">
        <v>299</v>
      </c>
      <c r="I110" s="92" t="s">
        <v>272</v>
      </c>
      <c r="J110" s="92" t="s">
        <v>410</v>
      </c>
      <c r="K110" s="92" t="s">
        <v>273</v>
      </c>
      <c r="L110" s="92" t="s">
        <v>274</v>
      </c>
      <c r="M110" s="92" t="s">
        <v>168</v>
      </c>
      <c r="N110" s="92" t="s">
        <v>168</v>
      </c>
      <c r="O110" s="92" t="s">
        <v>175</v>
      </c>
      <c r="P110" s="92" t="s">
        <v>598</v>
      </c>
      <c r="Q110" s="92" t="s">
        <v>599</v>
      </c>
      <c r="R110" s="92">
        <v>5</v>
      </c>
      <c r="S110" s="92">
        <v>607</v>
      </c>
      <c r="T110" s="9">
        <v>44105</v>
      </c>
      <c r="U110" s="9">
        <v>44157</v>
      </c>
    </row>
    <row r="111" spans="1:21" x14ac:dyDescent="0.2">
      <c r="A111" s="10" t="str">
        <f>HYPERLINK("http://www.ofsted.gov.uk/inspection-reports/find-inspection-report/provider/ELS/139212 ","Ofsted School Webpage")</f>
        <v>Ofsted School Webpage</v>
      </c>
      <c r="B111" s="92">
        <v>139212</v>
      </c>
      <c r="C111" s="92">
        <v>3032022</v>
      </c>
      <c r="D111" s="92" t="s">
        <v>600</v>
      </c>
      <c r="E111" s="92" t="s">
        <v>94</v>
      </c>
      <c r="F111" s="92" t="s">
        <v>409</v>
      </c>
      <c r="G111" s="9">
        <v>41395</v>
      </c>
      <c r="H111" s="92" t="s">
        <v>271</v>
      </c>
      <c r="I111" s="92" t="s">
        <v>272</v>
      </c>
      <c r="J111" s="92" t="s">
        <v>346</v>
      </c>
      <c r="K111" s="92" t="s">
        <v>410</v>
      </c>
      <c r="L111" s="92" t="s">
        <v>347</v>
      </c>
      <c r="M111" s="92" t="s">
        <v>122</v>
      </c>
      <c r="N111" s="92" t="s">
        <v>122</v>
      </c>
      <c r="O111" s="92" t="s">
        <v>131</v>
      </c>
      <c r="P111" s="92" t="s">
        <v>601</v>
      </c>
      <c r="Q111" s="92" t="s">
        <v>602</v>
      </c>
      <c r="R111" s="92">
        <v>5</v>
      </c>
      <c r="S111" s="92">
        <v>551</v>
      </c>
      <c r="T111" s="9">
        <v>44105</v>
      </c>
      <c r="U111" s="9">
        <v>44152</v>
      </c>
    </row>
    <row r="112" spans="1:21" x14ac:dyDescent="0.2">
      <c r="A112" s="10" t="str">
        <f>HYPERLINK("http://www.ofsted.gov.uk/inspection-reports/find-inspection-report/provider/ELS/123630 ","Ofsted School Webpage")</f>
        <v>Ofsted School Webpage</v>
      </c>
      <c r="B112" s="92">
        <v>123630</v>
      </c>
      <c r="C112" s="92">
        <v>8937006</v>
      </c>
      <c r="D112" s="92" t="s">
        <v>603</v>
      </c>
      <c r="E112" s="92" t="s">
        <v>96</v>
      </c>
      <c r="F112" s="92" t="s">
        <v>401</v>
      </c>
      <c r="G112" s="92" t="s">
        <v>270</v>
      </c>
      <c r="H112" s="92" t="s">
        <v>271</v>
      </c>
      <c r="I112" s="92" t="s">
        <v>271</v>
      </c>
      <c r="J112" s="92" t="s">
        <v>273</v>
      </c>
      <c r="K112" s="92" t="s">
        <v>273</v>
      </c>
      <c r="L112" s="92" t="s">
        <v>274</v>
      </c>
      <c r="M112" s="92" t="s">
        <v>226</v>
      </c>
      <c r="N112" s="92" t="s">
        <v>226</v>
      </c>
      <c r="O112" s="92" t="s">
        <v>237</v>
      </c>
      <c r="P112" s="92" t="s">
        <v>604</v>
      </c>
      <c r="Q112" s="92" t="s">
        <v>605</v>
      </c>
      <c r="R112" s="92">
        <v>4</v>
      </c>
      <c r="S112" s="92">
        <v>69</v>
      </c>
      <c r="T112" s="9">
        <v>44105</v>
      </c>
      <c r="U112" s="9">
        <v>44146</v>
      </c>
    </row>
    <row r="113" spans="1:21" x14ac:dyDescent="0.2">
      <c r="A113" s="10" t="str">
        <f>HYPERLINK("http://www.ofsted.gov.uk/inspection-reports/find-inspection-report/provider/ELS/113051 ","Ofsted School Webpage")</f>
        <v>Ofsted School Webpage</v>
      </c>
      <c r="B113" s="92">
        <v>113051</v>
      </c>
      <c r="C113" s="92">
        <v>8791008</v>
      </c>
      <c r="D113" s="92" t="s">
        <v>606</v>
      </c>
      <c r="E113" s="92" t="s">
        <v>93</v>
      </c>
      <c r="F113" s="92" t="s">
        <v>592</v>
      </c>
      <c r="G113" s="92" t="s">
        <v>270</v>
      </c>
      <c r="H113" s="92" t="s">
        <v>271</v>
      </c>
      <c r="I113" s="92" t="s">
        <v>271</v>
      </c>
      <c r="J113" s="92" t="s">
        <v>273</v>
      </c>
      <c r="K113" s="92" t="s">
        <v>273</v>
      </c>
      <c r="L113" s="92" t="s">
        <v>274</v>
      </c>
      <c r="M113" s="92" t="s">
        <v>211</v>
      </c>
      <c r="N113" s="92" t="s">
        <v>211</v>
      </c>
      <c r="O113" s="92" t="s">
        <v>214</v>
      </c>
      <c r="P113" s="92" t="s">
        <v>607</v>
      </c>
      <c r="Q113" s="92" t="s">
        <v>608</v>
      </c>
      <c r="R113" s="92">
        <v>4</v>
      </c>
      <c r="S113" s="92">
        <v>68</v>
      </c>
      <c r="T113" s="9">
        <v>44105</v>
      </c>
      <c r="U113" s="9">
        <v>44123</v>
      </c>
    </row>
    <row r="114" spans="1:21" x14ac:dyDescent="0.2">
      <c r="A114" s="10" t="str">
        <f>HYPERLINK("http://www.ofsted.gov.uk/inspection-reports/find-inspection-report/provider/ELS/131099 ","Ofsted School Webpage")</f>
        <v>Ofsted School Webpage</v>
      </c>
      <c r="B114" s="92">
        <v>131099</v>
      </c>
      <c r="C114" s="92">
        <v>8567221</v>
      </c>
      <c r="D114" s="92" t="s">
        <v>609</v>
      </c>
      <c r="E114" s="92" t="s">
        <v>96</v>
      </c>
      <c r="F114" s="92" t="s">
        <v>610</v>
      </c>
      <c r="G114" s="9">
        <v>38718</v>
      </c>
      <c r="H114" s="92" t="s">
        <v>271</v>
      </c>
      <c r="I114" s="92" t="s">
        <v>300</v>
      </c>
      <c r="J114" s="92" t="s">
        <v>273</v>
      </c>
      <c r="K114" s="92" t="s">
        <v>273</v>
      </c>
      <c r="L114" s="92" t="s">
        <v>274</v>
      </c>
      <c r="M114" s="92" t="s">
        <v>100</v>
      </c>
      <c r="N114" s="92" t="s">
        <v>100</v>
      </c>
      <c r="O114" s="92" t="s">
        <v>102</v>
      </c>
      <c r="P114" s="92" t="s">
        <v>611</v>
      </c>
      <c r="Q114" s="92" t="s">
        <v>612</v>
      </c>
      <c r="R114" s="92">
        <v>5</v>
      </c>
      <c r="S114" s="92">
        <v>178</v>
      </c>
      <c r="T114" s="9">
        <v>44105</v>
      </c>
      <c r="U114" s="9">
        <v>44119</v>
      </c>
    </row>
    <row r="115" spans="1:21" x14ac:dyDescent="0.2">
      <c r="A115" s="10" t="str">
        <f>HYPERLINK("http://www.ofsted.gov.uk/inspection-reports/find-inspection-report/provider/ELS/114505 ","Ofsted School Webpage")</f>
        <v>Ofsted School Webpage</v>
      </c>
      <c r="B115" s="92">
        <v>114505</v>
      </c>
      <c r="C115" s="92">
        <v>8453029</v>
      </c>
      <c r="D115" s="92" t="s">
        <v>613</v>
      </c>
      <c r="E115" s="92" t="s">
        <v>94</v>
      </c>
      <c r="F115" s="92" t="s">
        <v>345</v>
      </c>
      <c r="G115" s="92" t="s">
        <v>270</v>
      </c>
      <c r="H115" s="92" t="s">
        <v>271</v>
      </c>
      <c r="I115" s="92" t="s">
        <v>272</v>
      </c>
      <c r="J115" s="92" t="s">
        <v>346</v>
      </c>
      <c r="K115" s="92" t="s">
        <v>273</v>
      </c>
      <c r="L115" s="92" t="s">
        <v>347</v>
      </c>
      <c r="M115" s="92" t="s">
        <v>192</v>
      </c>
      <c r="N115" s="92" t="s">
        <v>192</v>
      </c>
      <c r="O115" s="92" t="s">
        <v>203</v>
      </c>
      <c r="P115" s="92" t="s">
        <v>614</v>
      </c>
      <c r="Q115" s="92" t="s">
        <v>615</v>
      </c>
      <c r="R115" s="92">
        <v>1</v>
      </c>
      <c r="S115" s="92">
        <v>97</v>
      </c>
      <c r="T115" s="9">
        <v>44105</v>
      </c>
      <c r="U115" s="9">
        <v>44145</v>
      </c>
    </row>
    <row r="116" spans="1:21" x14ac:dyDescent="0.2">
      <c r="A116" s="10" t="str">
        <f>HYPERLINK("http://www.ofsted.gov.uk/inspection-reports/find-inspection-report/provider/ELS/116814 ","Ofsted School Webpage")</f>
        <v>Ofsted School Webpage</v>
      </c>
      <c r="B116" s="92">
        <v>116814</v>
      </c>
      <c r="C116" s="92">
        <v>8843047</v>
      </c>
      <c r="D116" s="92" t="s">
        <v>616</v>
      </c>
      <c r="E116" s="92" t="s">
        <v>94</v>
      </c>
      <c r="F116" s="92" t="s">
        <v>345</v>
      </c>
      <c r="G116" s="92" t="s">
        <v>270</v>
      </c>
      <c r="H116" s="92" t="s">
        <v>271</v>
      </c>
      <c r="I116" s="92" t="s">
        <v>272</v>
      </c>
      <c r="J116" s="92" t="s">
        <v>410</v>
      </c>
      <c r="K116" s="92" t="s">
        <v>273</v>
      </c>
      <c r="L116" s="92" t="s">
        <v>274</v>
      </c>
      <c r="M116" s="92" t="s">
        <v>226</v>
      </c>
      <c r="N116" s="92" t="s">
        <v>226</v>
      </c>
      <c r="O116" s="92" t="s">
        <v>227</v>
      </c>
      <c r="P116" s="92" t="s">
        <v>348</v>
      </c>
      <c r="Q116" s="92" t="s">
        <v>617</v>
      </c>
      <c r="R116" s="92">
        <v>2</v>
      </c>
      <c r="S116" s="92">
        <v>201</v>
      </c>
      <c r="T116" s="9">
        <v>44105</v>
      </c>
      <c r="U116" s="9">
        <v>44145</v>
      </c>
    </row>
    <row r="117" spans="1:21" x14ac:dyDescent="0.2">
      <c r="A117" s="10" t="str">
        <f>HYPERLINK("http://www.ofsted.gov.uk/inspection-reports/find-inspection-report/provider/ELS/121486 ","Ofsted School Webpage")</f>
        <v>Ofsted School Webpage</v>
      </c>
      <c r="B117" s="92">
        <v>121486</v>
      </c>
      <c r="C117" s="92">
        <v>8153025</v>
      </c>
      <c r="D117" s="92" t="s">
        <v>618</v>
      </c>
      <c r="E117" s="92" t="s">
        <v>94</v>
      </c>
      <c r="F117" s="92" t="s">
        <v>345</v>
      </c>
      <c r="G117" s="9" t="s">
        <v>270</v>
      </c>
      <c r="H117" s="92" t="s">
        <v>271</v>
      </c>
      <c r="I117" s="92" t="s">
        <v>272</v>
      </c>
      <c r="J117" s="92" t="s">
        <v>346</v>
      </c>
      <c r="K117" s="92" t="s">
        <v>273</v>
      </c>
      <c r="L117" s="92" t="s">
        <v>347</v>
      </c>
      <c r="M117" s="92" t="s">
        <v>261</v>
      </c>
      <c r="N117" s="92" t="s">
        <v>241</v>
      </c>
      <c r="O117" s="92" t="s">
        <v>247</v>
      </c>
      <c r="P117" s="92" t="s">
        <v>619</v>
      </c>
      <c r="Q117" s="92" t="s">
        <v>620</v>
      </c>
      <c r="R117" s="92">
        <v>4</v>
      </c>
      <c r="S117" s="92">
        <v>32</v>
      </c>
      <c r="T117" s="9">
        <v>44105</v>
      </c>
      <c r="U117" s="9">
        <v>44139</v>
      </c>
    </row>
    <row r="118" spans="1:21" x14ac:dyDescent="0.2">
      <c r="A118" s="10" t="str">
        <f>HYPERLINK("http://www.ofsted.gov.uk/inspection-reports/find-inspection-report/provider/ELS/112876 ","Ofsted School Webpage")</f>
        <v>Ofsted School Webpage</v>
      </c>
      <c r="B118" s="92">
        <v>112876</v>
      </c>
      <c r="C118" s="92">
        <v>8303162</v>
      </c>
      <c r="D118" s="92" t="s">
        <v>621</v>
      </c>
      <c r="E118" s="92" t="s">
        <v>94</v>
      </c>
      <c r="F118" s="92" t="s">
        <v>345</v>
      </c>
      <c r="G118" s="9" t="s">
        <v>270</v>
      </c>
      <c r="H118" s="92" t="s">
        <v>271</v>
      </c>
      <c r="I118" s="92" t="s">
        <v>272</v>
      </c>
      <c r="J118" s="92" t="s">
        <v>346</v>
      </c>
      <c r="K118" s="92" t="s">
        <v>273</v>
      </c>
      <c r="L118" s="92" t="s">
        <v>347</v>
      </c>
      <c r="M118" s="92" t="s">
        <v>100</v>
      </c>
      <c r="N118" s="92" t="s">
        <v>100</v>
      </c>
      <c r="O118" s="92" t="s">
        <v>101</v>
      </c>
      <c r="P118" s="92" t="s">
        <v>622</v>
      </c>
      <c r="Q118" s="92" t="s">
        <v>623</v>
      </c>
      <c r="R118" s="92">
        <v>3</v>
      </c>
      <c r="S118" s="92">
        <v>176</v>
      </c>
      <c r="T118" s="9">
        <v>44105</v>
      </c>
      <c r="U118" s="9">
        <v>44146</v>
      </c>
    </row>
    <row r="119" spans="1:21" x14ac:dyDescent="0.2">
      <c r="A119" s="10" t="str">
        <f>HYPERLINK("http://www.ofsted.gov.uk/inspection-reports/find-inspection-report/provider/ELS/109252 ","Ofsted School Webpage")</f>
        <v>Ofsted School Webpage</v>
      </c>
      <c r="B119" s="92">
        <v>109252</v>
      </c>
      <c r="C119" s="92">
        <v>8013413</v>
      </c>
      <c r="D119" s="92" t="s">
        <v>624</v>
      </c>
      <c r="E119" s="92" t="s">
        <v>94</v>
      </c>
      <c r="F119" s="92" t="s">
        <v>351</v>
      </c>
      <c r="G119" s="9">
        <v>1</v>
      </c>
      <c r="H119" s="92" t="s">
        <v>271</v>
      </c>
      <c r="I119" s="92" t="s">
        <v>272</v>
      </c>
      <c r="J119" s="92" t="s">
        <v>352</v>
      </c>
      <c r="K119" s="92" t="s">
        <v>273</v>
      </c>
      <c r="L119" s="92" t="s">
        <v>347</v>
      </c>
      <c r="M119" s="92" t="s">
        <v>211</v>
      </c>
      <c r="N119" s="92" t="s">
        <v>211</v>
      </c>
      <c r="O119" s="92" t="s">
        <v>212</v>
      </c>
      <c r="P119" s="92" t="s">
        <v>426</v>
      </c>
      <c r="Q119" s="92" t="s">
        <v>625</v>
      </c>
      <c r="R119" s="92">
        <v>5</v>
      </c>
      <c r="S119" s="92">
        <v>106</v>
      </c>
      <c r="T119" s="9">
        <v>44105</v>
      </c>
      <c r="U119" s="9">
        <v>44119</v>
      </c>
    </row>
    <row r="120" spans="1:21" x14ac:dyDescent="0.2">
      <c r="A120" s="10" t="str">
        <f>HYPERLINK("http://www.ofsted.gov.uk/inspection-reports/find-inspection-report/provider/ELS/139122 ","Ofsted School Webpage")</f>
        <v>Ofsted School Webpage</v>
      </c>
      <c r="B120" s="92">
        <v>139122</v>
      </c>
      <c r="C120" s="92">
        <v>3182000</v>
      </c>
      <c r="D120" s="92" t="s">
        <v>626</v>
      </c>
      <c r="E120" s="92" t="s">
        <v>94</v>
      </c>
      <c r="F120" s="92" t="s">
        <v>351</v>
      </c>
      <c r="G120" s="9">
        <v>41533</v>
      </c>
      <c r="H120" s="92" t="s">
        <v>271</v>
      </c>
      <c r="I120" s="92" t="s">
        <v>272</v>
      </c>
      <c r="J120" s="92" t="s">
        <v>352</v>
      </c>
      <c r="K120" s="92" t="s">
        <v>273</v>
      </c>
      <c r="L120" s="92" t="s">
        <v>347</v>
      </c>
      <c r="M120" s="92" t="s">
        <v>122</v>
      </c>
      <c r="N120" s="92" t="s">
        <v>122</v>
      </c>
      <c r="O120" s="92" t="s">
        <v>134</v>
      </c>
      <c r="P120" s="92" t="s">
        <v>627</v>
      </c>
      <c r="Q120" s="92" t="s">
        <v>628</v>
      </c>
      <c r="R120" s="92">
        <v>1</v>
      </c>
      <c r="S120" s="92">
        <v>209</v>
      </c>
      <c r="T120" s="9">
        <v>44105</v>
      </c>
      <c r="U120" s="9">
        <v>44150</v>
      </c>
    </row>
    <row r="121" spans="1:21" x14ac:dyDescent="0.2">
      <c r="A121" s="10" t="str">
        <f>HYPERLINK("http://www.ofsted.gov.uk/inspection-reports/find-inspection-report/provider/ELS/118199 ","Ofsted School Webpage")</f>
        <v>Ofsted School Webpage</v>
      </c>
      <c r="B121" s="92">
        <v>118199</v>
      </c>
      <c r="C121" s="92">
        <v>9213314</v>
      </c>
      <c r="D121" s="92" t="s">
        <v>629</v>
      </c>
      <c r="E121" s="92" t="s">
        <v>94</v>
      </c>
      <c r="F121" s="92" t="s">
        <v>351</v>
      </c>
      <c r="G121" s="92" t="s">
        <v>270</v>
      </c>
      <c r="H121" s="92" t="s">
        <v>271</v>
      </c>
      <c r="I121" s="92" t="s">
        <v>272</v>
      </c>
      <c r="J121" s="92" t="s">
        <v>352</v>
      </c>
      <c r="K121" s="92" t="s">
        <v>273</v>
      </c>
      <c r="L121" s="92" t="s">
        <v>347</v>
      </c>
      <c r="M121" s="92" t="s">
        <v>192</v>
      </c>
      <c r="N121" s="92" t="s">
        <v>192</v>
      </c>
      <c r="O121" s="92" t="s">
        <v>205</v>
      </c>
      <c r="P121" s="92" t="s">
        <v>205</v>
      </c>
      <c r="Q121" s="92" t="s">
        <v>630</v>
      </c>
      <c r="R121" s="92">
        <v>3</v>
      </c>
      <c r="S121" s="92">
        <v>192</v>
      </c>
      <c r="T121" s="9">
        <v>44105</v>
      </c>
      <c r="U121" s="9">
        <v>44146</v>
      </c>
    </row>
    <row r="122" spans="1:21" x14ac:dyDescent="0.2">
      <c r="A122" s="10" t="str">
        <f>HYPERLINK("http://www.ofsted.gov.uk/inspection-reports/find-inspection-report/provider/ELS/108496 ","Ofsted School Webpage")</f>
        <v>Ofsted School Webpage</v>
      </c>
      <c r="B122" s="92">
        <v>108496</v>
      </c>
      <c r="C122" s="92">
        <v>3913472</v>
      </c>
      <c r="D122" s="92" t="s">
        <v>631</v>
      </c>
      <c r="E122" s="92" t="s">
        <v>94</v>
      </c>
      <c r="F122" s="92" t="s">
        <v>351</v>
      </c>
      <c r="G122" s="92" t="s">
        <v>270</v>
      </c>
      <c r="H122" s="92" t="s">
        <v>271</v>
      </c>
      <c r="I122" s="92" t="s">
        <v>272</v>
      </c>
      <c r="J122" s="92" t="s">
        <v>352</v>
      </c>
      <c r="K122" s="92" t="s">
        <v>273</v>
      </c>
      <c r="L122" s="92" t="s">
        <v>347</v>
      </c>
      <c r="M122" s="92" t="s">
        <v>261</v>
      </c>
      <c r="N122" s="92" t="s">
        <v>155</v>
      </c>
      <c r="O122" s="92" t="s">
        <v>156</v>
      </c>
      <c r="P122" s="92" t="s">
        <v>632</v>
      </c>
      <c r="Q122" s="92" t="s">
        <v>633</v>
      </c>
      <c r="R122" s="92">
        <v>2</v>
      </c>
      <c r="S122" s="92">
        <v>248</v>
      </c>
      <c r="T122" s="9">
        <v>44105</v>
      </c>
      <c r="U122" s="9">
        <v>44119</v>
      </c>
    </row>
    <row r="123" spans="1:21" x14ac:dyDescent="0.2">
      <c r="A123" s="10" t="str">
        <f>HYPERLINK("http://www.ofsted.gov.uk/inspection-reports/find-inspection-report/provider/ELS/114542 ","Ofsted School Webpage")</f>
        <v>Ofsted School Webpage</v>
      </c>
      <c r="B123" s="92">
        <v>114542</v>
      </c>
      <c r="C123" s="92">
        <v>8463314</v>
      </c>
      <c r="D123" s="92" t="s">
        <v>634</v>
      </c>
      <c r="E123" s="92" t="s">
        <v>94</v>
      </c>
      <c r="F123" s="92" t="s">
        <v>351</v>
      </c>
      <c r="G123" s="92" t="s">
        <v>270</v>
      </c>
      <c r="H123" s="92" t="s">
        <v>271</v>
      </c>
      <c r="I123" s="92" t="s">
        <v>272</v>
      </c>
      <c r="J123" s="92" t="s">
        <v>352</v>
      </c>
      <c r="K123" s="92" t="s">
        <v>273</v>
      </c>
      <c r="L123" s="92" t="s">
        <v>347</v>
      </c>
      <c r="M123" s="92" t="s">
        <v>192</v>
      </c>
      <c r="N123" s="92" t="s">
        <v>192</v>
      </c>
      <c r="O123" s="92" t="s">
        <v>204</v>
      </c>
      <c r="P123" s="92" t="s">
        <v>635</v>
      </c>
      <c r="Q123" s="92" t="s">
        <v>636</v>
      </c>
      <c r="R123" s="92">
        <v>5</v>
      </c>
      <c r="S123" s="92">
        <v>142</v>
      </c>
      <c r="T123" s="9">
        <v>44105</v>
      </c>
      <c r="U123" s="9">
        <v>44146</v>
      </c>
    </row>
    <row r="124" spans="1:21" x14ac:dyDescent="0.2">
      <c r="A124" s="10" t="str">
        <f>HYPERLINK("http://www.ofsted.gov.uk/inspection-reports/find-inspection-report/provider/ELS/121614 ","Ofsted School Webpage")</f>
        <v>Ofsted School Webpage</v>
      </c>
      <c r="B124" s="92">
        <v>121614</v>
      </c>
      <c r="C124" s="92">
        <v>8153320</v>
      </c>
      <c r="D124" s="92" t="s">
        <v>637</v>
      </c>
      <c r="E124" s="92" t="s">
        <v>94</v>
      </c>
      <c r="F124" s="92" t="s">
        <v>351</v>
      </c>
      <c r="G124" s="9" t="s">
        <v>270</v>
      </c>
      <c r="H124" s="92" t="s">
        <v>271</v>
      </c>
      <c r="I124" s="92" t="s">
        <v>272</v>
      </c>
      <c r="J124" s="92" t="s">
        <v>346</v>
      </c>
      <c r="K124" s="92" t="s">
        <v>273</v>
      </c>
      <c r="L124" s="92" t="s">
        <v>347</v>
      </c>
      <c r="M124" s="92" t="s">
        <v>261</v>
      </c>
      <c r="N124" s="92" t="s">
        <v>241</v>
      </c>
      <c r="O124" s="92" t="s">
        <v>247</v>
      </c>
      <c r="P124" s="92" t="s">
        <v>638</v>
      </c>
      <c r="Q124" s="92" t="s">
        <v>639</v>
      </c>
      <c r="R124" s="92">
        <v>1</v>
      </c>
      <c r="S124" s="92">
        <v>40</v>
      </c>
      <c r="T124" s="9">
        <v>44105</v>
      </c>
      <c r="U124" s="9">
        <v>44144</v>
      </c>
    </row>
    <row r="125" spans="1:21" x14ac:dyDescent="0.2">
      <c r="A125" s="10" t="str">
        <f>HYPERLINK("http://www.ofsted.gov.uk/inspection-reports/find-inspection-report/provider/ELS/105508 ","Ofsted School Webpage")</f>
        <v>Ofsted School Webpage</v>
      </c>
      <c r="B125" s="92">
        <v>105508</v>
      </c>
      <c r="C125" s="92">
        <v>3523316</v>
      </c>
      <c r="D125" s="92" t="s">
        <v>640</v>
      </c>
      <c r="E125" s="92" t="s">
        <v>94</v>
      </c>
      <c r="F125" s="92" t="s">
        <v>351</v>
      </c>
      <c r="G125" s="92" t="s">
        <v>270</v>
      </c>
      <c r="H125" s="92" t="s">
        <v>271</v>
      </c>
      <c r="I125" s="92" t="s">
        <v>272</v>
      </c>
      <c r="J125" s="92" t="s">
        <v>346</v>
      </c>
      <c r="K125" s="92" t="s">
        <v>273</v>
      </c>
      <c r="L125" s="92" t="s">
        <v>347</v>
      </c>
      <c r="M125" s="92" t="s">
        <v>168</v>
      </c>
      <c r="N125" s="92" t="s">
        <v>168</v>
      </c>
      <c r="O125" s="92" t="s">
        <v>171</v>
      </c>
      <c r="P125" s="92" t="s">
        <v>641</v>
      </c>
      <c r="Q125" s="92" t="s">
        <v>642</v>
      </c>
      <c r="R125" s="92">
        <v>5</v>
      </c>
      <c r="S125" s="92">
        <v>237</v>
      </c>
      <c r="T125" s="9">
        <v>44105</v>
      </c>
      <c r="U125" s="9">
        <v>44140</v>
      </c>
    </row>
    <row r="126" spans="1:21" x14ac:dyDescent="0.2">
      <c r="A126" s="10" t="str">
        <f>HYPERLINK("http://www.ofsted.gov.uk/inspection-reports/find-inspection-report/provider/ELS/119779 ","Ofsted School Webpage")</f>
        <v>Ofsted School Webpage</v>
      </c>
      <c r="B126" s="92">
        <v>119779</v>
      </c>
      <c r="C126" s="92">
        <v>8884606</v>
      </c>
      <c r="D126" s="92" t="s">
        <v>643</v>
      </c>
      <c r="E126" s="92" t="s">
        <v>95</v>
      </c>
      <c r="F126" s="92" t="s">
        <v>351</v>
      </c>
      <c r="G126" s="92" t="s">
        <v>270</v>
      </c>
      <c r="H126" s="92" t="s">
        <v>299</v>
      </c>
      <c r="I126" s="92" t="s">
        <v>272</v>
      </c>
      <c r="J126" s="92" t="s">
        <v>352</v>
      </c>
      <c r="K126" s="92" t="s">
        <v>273</v>
      </c>
      <c r="L126" s="92" t="s">
        <v>347</v>
      </c>
      <c r="M126" s="92" t="s">
        <v>168</v>
      </c>
      <c r="N126" s="92" t="s">
        <v>168</v>
      </c>
      <c r="O126" s="92" t="s">
        <v>169</v>
      </c>
      <c r="P126" s="92" t="s">
        <v>644</v>
      </c>
      <c r="Q126" s="92" t="s">
        <v>645</v>
      </c>
      <c r="R126" s="92">
        <v>2</v>
      </c>
      <c r="S126" s="92">
        <v>899</v>
      </c>
      <c r="T126" s="9">
        <v>44105</v>
      </c>
      <c r="U126" s="9">
        <v>44146</v>
      </c>
    </row>
    <row r="127" spans="1:21" x14ac:dyDescent="0.2">
      <c r="A127" s="10" t="str">
        <f>HYPERLINK("http://www.ofsted.gov.uk/inspection-reports/find-inspection-report/provider/ELS/110852 ","Ofsted School Webpage")</f>
        <v>Ofsted School Webpage</v>
      </c>
      <c r="B127" s="92">
        <v>110852</v>
      </c>
      <c r="C127" s="92">
        <v>8743376</v>
      </c>
      <c r="D127" s="92" t="s">
        <v>646</v>
      </c>
      <c r="E127" s="92" t="s">
        <v>94</v>
      </c>
      <c r="F127" s="92" t="s">
        <v>351</v>
      </c>
      <c r="G127" s="9">
        <v>1</v>
      </c>
      <c r="H127" s="92" t="s">
        <v>271</v>
      </c>
      <c r="I127" s="92" t="s">
        <v>272</v>
      </c>
      <c r="J127" s="92" t="s">
        <v>346</v>
      </c>
      <c r="K127" s="92" t="s">
        <v>273</v>
      </c>
      <c r="L127" s="92" t="s">
        <v>347</v>
      </c>
      <c r="M127" s="92" t="s">
        <v>110</v>
      </c>
      <c r="N127" s="92" t="s">
        <v>110</v>
      </c>
      <c r="O127" s="92" t="s">
        <v>115</v>
      </c>
      <c r="P127" s="92" t="s">
        <v>115</v>
      </c>
      <c r="Q127" s="92" t="s">
        <v>647</v>
      </c>
      <c r="R127" s="92">
        <v>4</v>
      </c>
      <c r="S127" s="92">
        <v>417</v>
      </c>
      <c r="T127" s="9">
        <v>44105</v>
      </c>
      <c r="U127" s="9">
        <v>44145</v>
      </c>
    </row>
    <row r="128" spans="1:21" x14ac:dyDescent="0.2">
      <c r="A128" s="10" t="str">
        <f>HYPERLINK("http://www.ofsted.gov.uk/inspection-reports/find-inspection-report/provider/ELS/114557 ","Ofsted School Webpage")</f>
        <v>Ofsted School Webpage</v>
      </c>
      <c r="B128" s="92">
        <v>114557</v>
      </c>
      <c r="C128" s="92">
        <v>8453330</v>
      </c>
      <c r="D128" s="92" t="s">
        <v>648</v>
      </c>
      <c r="E128" s="92" t="s">
        <v>94</v>
      </c>
      <c r="F128" s="92" t="s">
        <v>351</v>
      </c>
      <c r="G128" s="92" t="s">
        <v>270</v>
      </c>
      <c r="H128" s="92" t="s">
        <v>271</v>
      </c>
      <c r="I128" s="92" t="s">
        <v>272</v>
      </c>
      <c r="J128" s="92" t="s">
        <v>346</v>
      </c>
      <c r="K128" s="92" t="s">
        <v>273</v>
      </c>
      <c r="L128" s="92" t="s">
        <v>347</v>
      </c>
      <c r="M128" s="92" t="s">
        <v>192</v>
      </c>
      <c r="N128" s="92" t="s">
        <v>192</v>
      </c>
      <c r="O128" s="92" t="s">
        <v>203</v>
      </c>
      <c r="P128" s="92" t="s">
        <v>614</v>
      </c>
      <c r="Q128" s="92" t="s">
        <v>649</v>
      </c>
      <c r="R128" s="92">
        <v>1</v>
      </c>
      <c r="S128" s="92">
        <v>126</v>
      </c>
      <c r="T128" s="9">
        <v>44105</v>
      </c>
      <c r="U128" s="9">
        <v>44146</v>
      </c>
    </row>
    <row r="129" spans="1:21" x14ac:dyDescent="0.2">
      <c r="A129" s="10" t="str">
        <f>HYPERLINK("http://www.ofsted.gov.uk/inspection-reports/find-inspection-report/provider/ELS/110690 ","Ofsted School Webpage")</f>
        <v>Ofsted School Webpage</v>
      </c>
      <c r="B129" s="92">
        <v>110690</v>
      </c>
      <c r="C129" s="92">
        <v>8732222</v>
      </c>
      <c r="D129" s="92" t="s">
        <v>650</v>
      </c>
      <c r="E129" s="92" t="s">
        <v>94</v>
      </c>
      <c r="F129" s="92" t="s">
        <v>269</v>
      </c>
      <c r="G129" s="92" t="s">
        <v>270</v>
      </c>
      <c r="H129" s="92" t="s">
        <v>271</v>
      </c>
      <c r="I129" s="92" t="s">
        <v>272</v>
      </c>
      <c r="J129" s="92" t="s">
        <v>273</v>
      </c>
      <c r="K129" s="92" t="s">
        <v>273</v>
      </c>
      <c r="L129" s="92" t="s">
        <v>274</v>
      </c>
      <c r="M129" s="92" t="s">
        <v>110</v>
      </c>
      <c r="N129" s="92" t="s">
        <v>110</v>
      </c>
      <c r="O129" s="92" t="s">
        <v>112</v>
      </c>
      <c r="P129" s="92" t="s">
        <v>544</v>
      </c>
      <c r="Q129" s="92" t="s">
        <v>651</v>
      </c>
      <c r="R129" s="92">
        <v>1</v>
      </c>
      <c r="S129" s="92">
        <v>102</v>
      </c>
      <c r="T129" s="9">
        <v>44105</v>
      </c>
      <c r="U129" s="9">
        <v>44146</v>
      </c>
    </row>
    <row r="130" spans="1:21" x14ac:dyDescent="0.2">
      <c r="A130" s="10" t="str">
        <f>HYPERLINK("http://www.ofsted.gov.uk/inspection-reports/find-inspection-report/provider/ELS/105505 ","Ofsted School Webpage")</f>
        <v>Ofsted School Webpage</v>
      </c>
      <c r="B130" s="92">
        <v>105505</v>
      </c>
      <c r="C130" s="92">
        <v>3523301</v>
      </c>
      <c r="D130" s="92" t="s">
        <v>652</v>
      </c>
      <c r="E130" s="92" t="s">
        <v>94</v>
      </c>
      <c r="F130" s="92" t="s">
        <v>351</v>
      </c>
      <c r="G130" s="92" t="s">
        <v>270</v>
      </c>
      <c r="H130" s="92" t="s">
        <v>271</v>
      </c>
      <c r="I130" s="92" t="s">
        <v>272</v>
      </c>
      <c r="J130" s="92" t="s">
        <v>346</v>
      </c>
      <c r="K130" s="92" t="s">
        <v>273</v>
      </c>
      <c r="L130" s="92" t="s">
        <v>347</v>
      </c>
      <c r="M130" s="92" t="s">
        <v>168</v>
      </c>
      <c r="N130" s="92" t="s">
        <v>168</v>
      </c>
      <c r="O130" s="92" t="s">
        <v>171</v>
      </c>
      <c r="P130" s="92" t="s">
        <v>653</v>
      </c>
      <c r="Q130" s="92" t="s">
        <v>654</v>
      </c>
      <c r="R130" s="92">
        <v>5</v>
      </c>
      <c r="S130" s="92">
        <v>241</v>
      </c>
      <c r="T130" s="9">
        <v>44105</v>
      </c>
      <c r="U130" s="9">
        <v>44161</v>
      </c>
    </row>
    <row r="131" spans="1:21" x14ac:dyDescent="0.2">
      <c r="A131" s="10" t="str">
        <f>HYPERLINK("http://www.ofsted.gov.uk/inspection-reports/find-inspection-report/provider/ELS/124619 ","Ofsted School Webpage")</f>
        <v>Ofsted School Webpage</v>
      </c>
      <c r="B131" s="92">
        <v>124619</v>
      </c>
      <c r="C131" s="92">
        <v>9352125</v>
      </c>
      <c r="D131" s="92" t="s">
        <v>655</v>
      </c>
      <c r="E131" s="92" t="s">
        <v>94</v>
      </c>
      <c r="F131" s="92" t="s">
        <v>269</v>
      </c>
      <c r="G131" s="9">
        <v>1</v>
      </c>
      <c r="H131" s="92" t="s">
        <v>271</v>
      </c>
      <c r="I131" s="92" t="s">
        <v>272</v>
      </c>
      <c r="J131" s="92" t="s">
        <v>273</v>
      </c>
      <c r="K131" s="92" t="s">
        <v>273</v>
      </c>
      <c r="L131" s="92" t="s">
        <v>274</v>
      </c>
      <c r="M131" s="92" t="s">
        <v>110</v>
      </c>
      <c r="N131" s="92" t="s">
        <v>110</v>
      </c>
      <c r="O131" s="92" t="s">
        <v>114</v>
      </c>
      <c r="P131" s="92" t="s">
        <v>656</v>
      </c>
      <c r="Q131" s="92" t="s">
        <v>657</v>
      </c>
      <c r="R131" s="92">
        <v>2</v>
      </c>
      <c r="S131" s="92">
        <v>211</v>
      </c>
      <c r="T131" s="9">
        <v>44105</v>
      </c>
      <c r="U131" s="9">
        <v>44139</v>
      </c>
    </row>
    <row r="132" spans="1:21" x14ac:dyDescent="0.2">
      <c r="A132" s="10" t="str">
        <f>HYPERLINK("http://www.ofsted.gov.uk/inspection-reports/find-inspection-report/provider/ELS/121469 ","Ofsted School Webpage")</f>
        <v>Ofsted School Webpage</v>
      </c>
      <c r="B132" s="92">
        <v>121469</v>
      </c>
      <c r="C132" s="92">
        <v>8152430</v>
      </c>
      <c r="D132" s="92" t="s">
        <v>658</v>
      </c>
      <c r="E132" s="92" t="s">
        <v>94</v>
      </c>
      <c r="F132" s="92" t="s">
        <v>269</v>
      </c>
      <c r="G132" s="9">
        <v>1</v>
      </c>
      <c r="H132" s="92" t="s">
        <v>271</v>
      </c>
      <c r="I132" s="92" t="s">
        <v>272</v>
      </c>
      <c r="J132" s="92" t="s">
        <v>273</v>
      </c>
      <c r="K132" s="92" t="s">
        <v>273</v>
      </c>
      <c r="L132" s="92" t="s">
        <v>274</v>
      </c>
      <c r="M132" s="92" t="s">
        <v>261</v>
      </c>
      <c r="N132" s="92" t="s">
        <v>241</v>
      </c>
      <c r="O132" s="92" t="s">
        <v>247</v>
      </c>
      <c r="P132" s="92" t="s">
        <v>508</v>
      </c>
      <c r="Q132" s="92" t="s">
        <v>659</v>
      </c>
      <c r="R132" s="92">
        <v>2</v>
      </c>
      <c r="S132" s="92">
        <v>84</v>
      </c>
      <c r="T132" s="9">
        <v>44105</v>
      </c>
      <c r="U132" s="9">
        <v>44146</v>
      </c>
    </row>
    <row r="133" spans="1:21" x14ac:dyDescent="0.2">
      <c r="A133" s="10" t="str">
        <f>HYPERLINK("http://www.ofsted.gov.uk/inspection-reports/find-inspection-report/provider/ELS/119655 ","Ofsted School Webpage")</f>
        <v>Ofsted School Webpage</v>
      </c>
      <c r="B133" s="92">
        <v>119655</v>
      </c>
      <c r="C133" s="92">
        <v>8883759</v>
      </c>
      <c r="D133" s="92" t="s">
        <v>660</v>
      </c>
      <c r="E133" s="92" t="s">
        <v>94</v>
      </c>
      <c r="F133" s="92" t="s">
        <v>351</v>
      </c>
      <c r="G133" s="92" t="s">
        <v>270</v>
      </c>
      <c r="H133" s="92" t="s">
        <v>271</v>
      </c>
      <c r="I133" s="92" t="s">
        <v>272</v>
      </c>
      <c r="J133" s="92" t="s">
        <v>352</v>
      </c>
      <c r="K133" s="92" t="s">
        <v>273</v>
      </c>
      <c r="L133" s="92" t="s">
        <v>347</v>
      </c>
      <c r="M133" s="92" t="s">
        <v>168</v>
      </c>
      <c r="N133" s="92" t="s">
        <v>168</v>
      </c>
      <c r="O133" s="92" t="s">
        <v>169</v>
      </c>
      <c r="P133" s="92" t="s">
        <v>661</v>
      </c>
      <c r="Q133" s="92" t="s">
        <v>662</v>
      </c>
      <c r="R133" s="92">
        <v>4</v>
      </c>
      <c r="S133" s="92">
        <v>213</v>
      </c>
      <c r="T133" s="9">
        <v>44105</v>
      </c>
      <c r="U133" s="9">
        <v>44140</v>
      </c>
    </row>
    <row r="134" spans="1:21" x14ac:dyDescent="0.2">
      <c r="A134" s="10" t="str">
        <f>HYPERLINK("http://www.ofsted.gov.uk/inspection-reports/find-inspection-report/provider/ELS/112647 ","Ofsted School Webpage")</f>
        <v>Ofsted School Webpage</v>
      </c>
      <c r="B134" s="92">
        <v>112647</v>
      </c>
      <c r="C134" s="92">
        <v>8302268</v>
      </c>
      <c r="D134" s="92" t="s">
        <v>663</v>
      </c>
      <c r="E134" s="92" t="s">
        <v>94</v>
      </c>
      <c r="F134" s="92" t="s">
        <v>269</v>
      </c>
      <c r="G134" s="9" t="s">
        <v>270</v>
      </c>
      <c r="H134" s="92" t="s">
        <v>271</v>
      </c>
      <c r="I134" s="92" t="s">
        <v>272</v>
      </c>
      <c r="J134" s="92" t="s">
        <v>273</v>
      </c>
      <c r="K134" s="92" t="s">
        <v>273</v>
      </c>
      <c r="L134" s="92" t="s">
        <v>274</v>
      </c>
      <c r="M134" s="92" t="s">
        <v>100</v>
      </c>
      <c r="N134" s="92" t="s">
        <v>100</v>
      </c>
      <c r="O134" s="92" t="s">
        <v>101</v>
      </c>
      <c r="P134" s="92" t="s">
        <v>301</v>
      </c>
      <c r="Q134" s="92" t="s">
        <v>664</v>
      </c>
      <c r="R134" s="92">
        <v>1</v>
      </c>
      <c r="S134" s="92">
        <v>188</v>
      </c>
      <c r="T134" s="9">
        <v>44105</v>
      </c>
      <c r="U134" s="9">
        <v>44144</v>
      </c>
    </row>
    <row r="135" spans="1:21" x14ac:dyDescent="0.2">
      <c r="A135" s="10" t="str">
        <f>HYPERLINK("http://www.ofsted.gov.uk/inspection-reports/find-inspection-report/provider/ELS/112958 ","Ofsted School Webpage")</f>
        <v>Ofsted School Webpage</v>
      </c>
      <c r="B135" s="92">
        <v>112958</v>
      </c>
      <c r="C135" s="92">
        <v>8304192</v>
      </c>
      <c r="D135" s="92" t="s">
        <v>665</v>
      </c>
      <c r="E135" s="92" t="s">
        <v>95</v>
      </c>
      <c r="F135" s="92" t="s">
        <v>269</v>
      </c>
      <c r="G135" s="92" t="s">
        <v>270</v>
      </c>
      <c r="H135" s="92" t="s">
        <v>299</v>
      </c>
      <c r="I135" s="92" t="s">
        <v>272</v>
      </c>
      <c r="J135" s="92" t="s">
        <v>273</v>
      </c>
      <c r="K135" s="92" t="s">
        <v>273</v>
      </c>
      <c r="L135" s="92" t="s">
        <v>274</v>
      </c>
      <c r="M135" s="92" t="s">
        <v>100</v>
      </c>
      <c r="N135" s="92" t="s">
        <v>100</v>
      </c>
      <c r="O135" s="92" t="s">
        <v>101</v>
      </c>
      <c r="P135" s="92" t="s">
        <v>666</v>
      </c>
      <c r="Q135" s="92" t="s">
        <v>667</v>
      </c>
      <c r="R135" s="92">
        <v>4</v>
      </c>
      <c r="S135" s="92">
        <v>377</v>
      </c>
      <c r="T135" s="9">
        <v>44105</v>
      </c>
      <c r="U135" s="9">
        <v>44143</v>
      </c>
    </row>
    <row r="136" spans="1:21" x14ac:dyDescent="0.2">
      <c r="A136" s="10" t="str">
        <f>HYPERLINK("http://www.ofsted.gov.uk/inspection-reports/find-inspection-report/provider/ELS/117299 ","Ofsted School Webpage")</f>
        <v>Ofsted School Webpage</v>
      </c>
      <c r="B136" s="92">
        <v>117299</v>
      </c>
      <c r="C136" s="92">
        <v>9192365</v>
      </c>
      <c r="D136" s="92" t="s">
        <v>668</v>
      </c>
      <c r="E136" s="92" t="s">
        <v>94</v>
      </c>
      <c r="F136" s="92" t="s">
        <v>269</v>
      </c>
      <c r="G136" s="92" t="s">
        <v>270</v>
      </c>
      <c r="H136" s="92" t="s">
        <v>271</v>
      </c>
      <c r="I136" s="92" t="s">
        <v>272</v>
      </c>
      <c r="J136" s="92" t="s">
        <v>273</v>
      </c>
      <c r="K136" s="92" t="s">
        <v>273</v>
      </c>
      <c r="L136" s="92" t="s">
        <v>274</v>
      </c>
      <c r="M136" s="92" t="s">
        <v>110</v>
      </c>
      <c r="N136" s="92" t="s">
        <v>110</v>
      </c>
      <c r="O136" s="92" t="s">
        <v>117</v>
      </c>
      <c r="P136" s="92" t="s">
        <v>669</v>
      </c>
      <c r="Q136" s="92" t="s">
        <v>670</v>
      </c>
      <c r="R136" s="92">
        <v>2</v>
      </c>
      <c r="S136" s="92">
        <v>482</v>
      </c>
      <c r="T136" s="9">
        <v>44105</v>
      </c>
      <c r="U136" s="9">
        <v>44147</v>
      </c>
    </row>
    <row r="137" spans="1:21" x14ac:dyDescent="0.2">
      <c r="A137" s="10" t="str">
        <f>HYPERLINK("http://www.ofsted.gov.uk/inspection-reports/find-inspection-report/provider/ELS/113112 ","Ofsted School Webpage")</f>
        <v>Ofsted School Webpage</v>
      </c>
      <c r="B137" s="92">
        <v>113112</v>
      </c>
      <c r="C137" s="92">
        <v>8782073</v>
      </c>
      <c r="D137" s="92" t="s">
        <v>671</v>
      </c>
      <c r="E137" s="92" t="s">
        <v>94</v>
      </c>
      <c r="F137" s="92" t="s">
        <v>269</v>
      </c>
      <c r="G137" s="92" t="s">
        <v>270</v>
      </c>
      <c r="H137" s="92" t="s">
        <v>271</v>
      </c>
      <c r="I137" s="92" t="s">
        <v>272</v>
      </c>
      <c r="J137" s="92" t="s">
        <v>273</v>
      </c>
      <c r="K137" s="92" t="s">
        <v>273</v>
      </c>
      <c r="L137" s="92" t="s">
        <v>274</v>
      </c>
      <c r="M137" s="92" t="s">
        <v>211</v>
      </c>
      <c r="N137" s="92" t="s">
        <v>211</v>
      </c>
      <c r="O137" s="92" t="s">
        <v>220</v>
      </c>
      <c r="P137" s="92" t="s">
        <v>672</v>
      </c>
      <c r="Q137" s="92" t="s">
        <v>673</v>
      </c>
      <c r="R137" s="92">
        <v>1</v>
      </c>
      <c r="S137" s="92">
        <v>108</v>
      </c>
      <c r="T137" s="9">
        <v>44105</v>
      </c>
      <c r="U137" s="9">
        <v>44139</v>
      </c>
    </row>
    <row r="138" spans="1:21" x14ac:dyDescent="0.2">
      <c r="A138" s="10" t="str">
        <f>HYPERLINK("http://www.ofsted.gov.uk/inspection-reports/find-inspection-report/provider/ELS/134855 ","Ofsted School Webpage")</f>
        <v>Ofsted School Webpage</v>
      </c>
      <c r="B138" s="92">
        <v>134855</v>
      </c>
      <c r="C138" s="92">
        <v>8403516</v>
      </c>
      <c r="D138" s="92" t="s">
        <v>674</v>
      </c>
      <c r="E138" s="92" t="s">
        <v>94</v>
      </c>
      <c r="F138" s="92" t="s">
        <v>269</v>
      </c>
      <c r="G138" s="9">
        <v>38961</v>
      </c>
      <c r="H138" s="92" t="s">
        <v>271</v>
      </c>
      <c r="I138" s="92" t="s">
        <v>272</v>
      </c>
      <c r="J138" s="92" t="s">
        <v>273</v>
      </c>
      <c r="K138" s="92" t="s">
        <v>273</v>
      </c>
      <c r="L138" s="92" t="s">
        <v>274</v>
      </c>
      <c r="M138" s="92" t="s">
        <v>261</v>
      </c>
      <c r="N138" s="92" t="s">
        <v>155</v>
      </c>
      <c r="O138" s="92" t="s">
        <v>163</v>
      </c>
      <c r="P138" s="92" t="s">
        <v>675</v>
      </c>
      <c r="Q138" s="92" t="s">
        <v>676</v>
      </c>
      <c r="R138" s="92">
        <v>5</v>
      </c>
      <c r="S138" s="92">
        <v>225</v>
      </c>
      <c r="T138" s="9">
        <v>44105</v>
      </c>
      <c r="U138" s="9">
        <v>44154</v>
      </c>
    </row>
    <row r="139" spans="1:21" x14ac:dyDescent="0.2">
      <c r="A139" s="10" t="str">
        <f>HYPERLINK("http://www.ofsted.gov.uk/inspection-reports/find-inspection-report/provider/ELS/112120 ","Ofsted School Webpage")</f>
        <v>Ofsted School Webpage</v>
      </c>
      <c r="B139" s="92">
        <v>112120</v>
      </c>
      <c r="C139" s="92">
        <v>9092054</v>
      </c>
      <c r="D139" s="92" t="s">
        <v>677</v>
      </c>
      <c r="E139" s="92" t="s">
        <v>94</v>
      </c>
      <c r="F139" s="92" t="s">
        <v>269</v>
      </c>
      <c r="G139" s="9" t="s">
        <v>270</v>
      </c>
      <c r="H139" s="92" t="s">
        <v>271</v>
      </c>
      <c r="I139" s="92" t="s">
        <v>272</v>
      </c>
      <c r="J139" s="92" t="s">
        <v>273</v>
      </c>
      <c r="K139" s="92" t="s">
        <v>273</v>
      </c>
      <c r="L139" s="92" t="s">
        <v>274</v>
      </c>
      <c r="M139" s="92" t="s">
        <v>168</v>
      </c>
      <c r="N139" s="92" t="s">
        <v>168</v>
      </c>
      <c r="O139" s="92" t="s">
        <v>176</v>
      </c>
      <c r="P139" s="92" t="s">
        <v>678</v>
      </c>
      <c r="Q139" s="92" t="s">
        <v>679</v>
      </c>
      <c r="R139" s="92">
        <v>1</v>
      </c>
      <c r="S139" s="92">
        <v>80</v>
      </c>
      <c r="T139" s="9">
        <v>44105</v>
      </c>
      <c r="U139" s="9">
        <v>44147</v>
      </c>
    </row>
    <row r="140" spans="1:21" x14ac:dyDescent="0.2">
      <c r="A140" s="10" t="str">
        <f>HYPERLINK("http://www.ofsted.gov.uk/inspection-reports/find-inspection-report/provider/ELS/104569 ","Ofsted School Webpage")</f>
        <v>Ofsted School Webpage</v>
      </c>
      <c r="B140" s="92">
        <v>104569</v>
      </c>
      <c r="C140" s="92">
        <v>3412123</v>
      </c>
      <c r="D140" s="92" t="s">
        <v>680</v>
      </c>
      <c r="E140" s="92" t="s">
        <v>94</v>
      </c>
      <c r="F140" s="92" t="s">
        <v>269</v>
      </c>
      <c r="G140" s="92" t="s">
        <v>270</v>
      </c>
      <c r="H140" s="92" t="s">
        <v>271</v>
      </c>
      <c r="I140" s="92" t="s">
        <v>272</v>
      </c>
      <c r="J140" s="92" t="s">
        <v>273</v>
      </c>
      <c r="K140" s="92" t="s">
        <v>273</v>
      </c>
      <c r="L140" s="92" t="s">
        <v>274</v>
      </c>
      <c r="M140" s="92" t="s">
        <v>168</v>
      </c>
      <c r="N140" s="92" t="s">
        <v>168</v>
      </c>
      <c r="O140" s="92" t="s">
        <v>170</v>
      </c>
      <c r="P140" s="92" t="s">
        <v>388</v>
      </c>
      <c r="Q140" s="92" t="s">
        <v>681</v>
      </c>
      <c r="R140" s="92">
        <v>5</v>
      </c>
      <c r="S140" s="92">
        <v>237</v>
      </c>
      <c r="T140" s="9">
        <v>44105</v>
      </c>
      <c r="U140" s="9">
        <v>44119</v>
      </c>
    </row>
    <row r="141" spans="1:21" x14ac:dyDescent="0.2">
      <c r="A141" s="10" t="str">
        <f>HYPERLINK("http://www.ofsted.gov.uk/inspection-reports/find-inspection-report/provider/ELS/104345 ","Ofsted School Webpage")</f>
        <v>Ofsted School Webpage</v>
      </c>
      <c r="B141" s="92">
        <v>104345</v>
      </c>
      <c r="C141" s="92">
        <v>3362106</v>
      </c>
      <c r="D141" s="92" t="s">
        <v>682</v>
      </c>
      <c r="E141" s="92" t="s">
        <v>94</v>
      </c>
      <c r="F141" s="92" t="s">
        <v>269</v>
      </c>
      <c r="G141" s="92" t="s">
        <v>270</v>
      </c>
      <c r="H141" s="92" t="s">
        <v>271</v>
      </c>
      <c r="I141" s="92" t="s">
        <v>272</v>
      </c>
      <c r="J141" s="92" t="s">
        <v>273</v>
      </c>
      <c r="K141" s="92" t="s">
        <v>273</v>
      </c>
      <c r="L141" s="92" t="s">
        <v>274</v>
      </c>
      <c r="M141" s="92" t="s">
        <v>226</v>
      </c>
      <c r="N141" s="92" t="s">
        <v>226</v>
      </c>
      <c r="O141" s="92" t="s">
        <v>231</v>
      </c>
      <c r="P141" s="92" t="s">
        <v>683</v>
      </c>
      <c r="Q141" s="92" t="s">
        <v>684</v>
      </c>
      <c r="R141" s="92">
        <v>4</v>
      </c>
      <c r="S141" s="92">
        <v>486</v>
      </c>
      <c r="T141" s="9">
        <v>44105</v>
      </c>
      <c r="U141" s="9">
        <v>44144</v>
      </c>
    </row>
    <row r="142" spans="1:21" x14ac:dyDescent="0.2">
      <c r="A142" s="10" t="str">
        <f>HYPERLINK("http://www.ofsted.gov.uk/inspection-reports/find-inspection-report/provider/ELS/109793 ","Ofsted School Webpage")</f>
        <v>Ofsted School Webpage</v>
      </c>
      <c r="B142" s="92">
        <v>109793</v>
      </c>
      <c r="C142" s="92">
        <v>8702024</v>
      </c>
      <c r="D142" s="92" t="s">
        <v>685</v>
      </c>
      <c r="E142" s="92" t="s">
        <v>94</v>
      </c>
      <c r="F142" s="92" t="s">
        <v>269</v>
      </c>
      <c r="G142" s="92" t="s">
        <v>270</v>
      </c>
      <c r="H142" s="92" t="s">
        <v>271</v>
      </c>
      <c r="I142" s="92" t="s">
        <v>272</v>
      </c>
      <c r="J142" s="92" t="s">
        <v>273</v>
      </c>
      <c r="K142" s="92" t="s">
        <v>273</v>
      </c>
      <c r="L142" s="92" t="s">
        <v>274</v>
      </c>
      <c r="M142" s="92" t="s">
        <v>192</v>
      </c>
      <c r="N142" s="92" t="s">
        <v>192</v>
      </c>
      <c r="O142" s="92" t="s">
        <v>206</v>
      </c>
      <c r="P142" s="92" t="s">
        <v>686</v>
      </c>
      <c r="Q142" s="92" t="s">
        <v>687</v>
      </c>
      <c r="R142" s="92">
        <v>3</v>
      </c>
      <c r="S142" s="92">
        <v>466</v>
      </c>
      <c r="T142" s="9">
        <v>44105</v>
      </c>
      <c r="U142" s="9">
        <v>44136</v>
      </c>
    </row>
    <row r="143" spans="1:21" x14ac:dyDescent="0.2">
      <c r="A143" s="10" t="str">
        <f>HYPERLINK("http://www.ofsted.gov.uk/inspection-reports/find-inspection-report/provider/ELS/122233 ","Ofsted School Webpage")</f>
        <v>Ofsted School Webpage</v>
      </c>
      <c r="B143" s="92">
        <v>122233</v>
      </c>
      <c r="C143" s="92">
        <v>9292254</v>
      </c>
      <c r="D143" s="92" t="s">
        <v>688</v>
      </c>
      <c r="E143" s="92" t="s">
        <v>94</v>
      </c>
      <c r="F143" s="92" t="s">
        <v>269</v>
      </c>
      <c r="G143" s="92" t="s">
        <v>270</v>
      </c>
      <c r="H143" s="92" t="s">
        <v>271</v>
      </c>
      <c r="I143" s="92" t="s">
        <v>272</v>
      </c>
      <c r="J143" s="92" t="s">
        <v>273</v>
      </c>
      <c r="K143" s="92" t="s">
        <v>273</v>
      </c>
      <c r="L143" s="92" t="s">
        <v>274</v>
      </c>
      <c r="M143" s="92" t="s">
        <v>261</v>
      </c>
      <c r="N143" s="92" t="s">
        <v>155</v>
      </c>
      <c r="O143" s="92" t="s">
        <v>158</v>
      </c>
      <c r="P143" s="92" t="s">
        <v>689</v>
      </c>
      <c r="Q143" s="92" t="s">
        <v>690</v>
      </c>
      <c r="R143" s="92">
        <v>2</v>
      </c>
      <c r="S143" s="92">
        <v>10</v>
      </c>
      <c r="T143" s="9">
        <v>44105</v>
      </c>
      <c r="U143" s="9">
        <v>44147</v>
      </c>
    </row>
    <row r="144" spans="1:21" x14ac:dyDescent="0.2">
      <c r="A144" s="10" t="str">
        <f>HYPERLINK("http://www.ofsted.gov.uk/inspection-reports/find-inspection-report/provider/ELS/113104 ","Ofsted School Webpage")</f>
        <v>Ofsted School Webpage</v>
      </c>
      <c r="B144" s="92">
        <v>113104</v>
      </c>
      <c r="C144" s="92">
        <v>8782055</v>
      </c>
      <c r="D144" s="92" t="s">
        <v>691</v>
      </c>
      <c r="E144" s="92" t="s">
        <v>94</v>
      </c>
      <c r="F144" s="92" t="s">
        <v>269</v>
      </c>
      <c r="G144" s="9" t="s">
        <v>270</v>
      </c>
      <c r="H144" s="92" t="s">
        <v>271</v>
      </c>
      <c r="I144" s="92" t="s">
        <v>272</v>
      </c>
      <c r="J144" s="92" t="s">
        <v>273</v>
      </c>
      <c r="K144" s="92" t="s">
        <v>273</v>
      </c>
      <c r="L144" s="92" t="s">
        <v>274</v>
      </c>
      <c r="M144" s="92" t="s">
        <v>211</v>
      </c>
      <c r="N144" s="92" t="s">
        <v>211</v>
      </c>
      <c r="O144" s="92" t="s">
        <v>220</v>
      </c>
      <c r="P144" s="92" t="s">
        <v>692</v>
      </c>
      <c r="Q144" s="92" t="s">
        <v>693</v>
      </c>
      <c r="R144" s="92">
        <v>2</v>
      </c>
      <c r="S144" s="92">
        <v>130</v>
      </c>
      <c r="T144" s="9">
        <v>44105</v>
      </c>
      <c r="U144" s="9">
        <v>44136</v>
      </c>
    </row>
    <row r="145" spans="1:21" x14ac:dyDescent="0.2">
      <c r="A145" s="10" t="str">
        <f>HYPERLINK("http://www.ofsted.gov.uk/inspection-reports/find-inspection-report/provider/ELS/115931 ","Ofsted School Webpage")</f>
        <v>Ofsted School Webpage</v>
      </c>
      <c r="B145" s="92">
        <v>115931</v>
      </c>
      <c r="C145" s="92">
        <v>8502147</v>
      </c>
      <c r="D145" s="92" t="s">
        <v>694</v>
      </c>
      <c r="E145" s="92" t="s">
        <v>94</v>
      </c>
      <c r="F145" s="92" t="s">
        <v>269</v>
      </c>
      <c r="G145" s="92" t="s">
        <v>270</v>
      </c>
      <c r="H145" s="92" t="s">
        <v>271</v>
      </c>
      <c r="I145" s="92" t="s">
        <v>272</v>
      </c>
      <c r="J145" s="92" t="s">
        <v>273</v>
      </c>
      <c r="K145" s="92" t="s">
        <v>273</v>
      </c>
      <c r="L145" s="92" t="s">
        <v>274</v>
      </c>
      <c r="M145" s="92" t="s">
        <v>192</v>
      </c>
      <c r="N145" s="92" t="s">
        <v>192</v>
      </c>
      <c r="O145" s="92" t="s">
        <v>193</v>
      </c>
      <c r="P145" s="92" t="s">
        <v>695</v>
      </c>
      <c r="Q145" s="92" t="s">
        <v>696</v>
      </c>
      <c r="R145" s="92">
        <v>2</v>
      </c>
      <c r="S145" s="92">
        <v>61</v>
      </c>
      <c r="T145" s="9">
        <v>44105</v>
      </c>
      <c r="U145" s="9">
        <v>44146</v>
      </c>
    </row>
    <row r="146" spans="1:21" x14ac:dyDescent="0.2">
      <c r="A146" s="10" t="str">
        <f>HYPERLINK("http://www.ofsted.gov.uk/inspection-reports/find-inspection-report/provider/ELS/104179 ","Ofsted School Webpage")</f>
        <v>Ofsted School Webpage</v>
      </c>
      <c r="B146" s="92">
        <v>104179</v>
      </c>
      <c r="C146" s="92">
        <v>3352106</v>
      </c>
      <c r="D146" s="92" t="s">
        <v>697</v>
      </c>
      <c r="E146" s="92" t="s">
        <v>94</v>
      </c>
      <c r="F146" s="92" t="s">
        <v>269</v>
      </c>
      <c r="G146" s="92" t="s">
        <v>270</v>
      </c>
      <c r="H146" s="92" t="s">
        <v>271</v>
      </c>
      <c r="I146" s="92" t="s">
        <v>272</v>
      </c>
      <c r="J146" s="92" t="s">
        <v>273</v>
      </c>
      <c r="K146" s="92" t="s">
        <v>273</v>
      </c>
      <c r="L146" s="92" t="s">
        <v>274</v>
      </c>
      <c r="M146" s="92" t="s">
        <v>226</v>
      </c>
      <c r="N146" s="92" t="s">
        <v>226</v>
      </c>
      <c r="O146" s="92" t="s">
        <v>230</v>
      </c>
      <c r="P146" s="92" t="s">
        <v>570</v>
      </c>
      <c r="Q146" s="92" t="s">
        <v>698</v>
      </c>
      <c r="R146" s="92">
        <v>5</v>
      </c>
      <c r="S146" s="92">
        <v>442</v>
      </c>
      <c r="T146" s="9">
        <v>44105</v>
      </c>
      <c r="U146" s="9">
        <v>44124</v>
      </c>
    </row>
    <row r="147" spans="1:21" x14ac:dyDescent="0.2">
      <c r="A147" s="10" t="str">
        <f>HYPERLINK("http://www.ofsted.gov.uk/inspection-reports/find-inspection-report/provider/ELS/102153 ","Ofsted School Webpage")</f>
        <v>Ofsted School Webpage</v>
      </c>
      <c r="B147" s="92">
        <v>102153</v>
      </c>
      <c r="C147" s="92">
        <v>3094029</v>
      </c>
      <c r="D147" s="92" t="s">
        <v>699</v>
      </c>
      <c r="E147" s="92" t="s">
        <v>95</v>
      </c>
      <c r="F147" s="92" t="s">
        <v>269</v>
      </c>
      <c r="G147" s="92" t="s">
        <v>270</v>
      </c>
      <c r="H147" s="92" t="s">
        <v>299</v>
      </c>
      <c r="I147" s="92" t="s">
        <v>272</v>
      </c>
      <c r="J147" s="92" t="s">
        <v>273</v>
      </c>
      <c r="K147" s="92" t="s">
        <v>273</v>
      </c>
      <c r="L147" s="92" t="s">
        <v>274</v>
      </c>
      <c r="M147" s="92" t="s">
        <v>122</v>
      </c>
      <c r="N147" s="92" t="s">
        <v>122</v>
      </c>
      <c r="O147" s="92" t="s">
        <v>128</v>
      </c>
      <c r="P147" s="92" t="s">
        <v>365</v>
      </c>
      <c r="Q147" s="92" t="s">
        <v>700</v>
      </c>
      <c r="R147" s="92">
        <v>4</v>
      </c>
      <c r="S147" s="92">
        <v>797</v>
      </c>
      <c r="T147" s="9">
        <v>44105</v>
      </c>
      <c r="U147" s="9">
        <v>44154</v>
      </c>
    </row>
    <row r="148" spans="1:21" x14ac:dyDescent="0.2">
      <c r="A148" s="10" t="str">
        <f>HYPERLINK("http://www.ofsted.gov.uk/inspection-reports/find-inspection-report/provider/ELS/130859 ","Ofsted School Webpage")</f>
        <v>Ofsted School Webpage</v>
      </c>
      <c r="B148" s="92">
        <v>130859</v>
      </c>
      <c r="C148" s="92">
        <v>3842189</v>
      </c>
      <c r="D148" s="92" t="s">
        <v>701</v>
      </c>
      <c r="E148" s="92" t="s">
        <v>94</v>
      </c>
      <c r="F148" s="92" t="s">
        <v>269</v>
      </c>
      <c r="G148" s="9">
        <v>35309</v>
      </c>
      <c r="H148" s="92" t="s">
        <v>271</v>
      </c>
      <c r="I148" s="92" t="s">
        <v>272</v>
      </c>
      <c r="J148" s="92" t="s">
        <v>273</v>
      </c>
      <c r="K148" s="92" t="s">
        <v>273</v>
      </c>
      <c r="L148" s="92" t="s">
        <v>274</v>
      </c>
      <c r="M148" s="92" t="s">
        <v>261</v>
      </c>
      <c r="N148" s="92" t="s">
        <v>241</v>
      </c>
      <c r="O148" s="92" t="s">
        <v>246</v>
      </c>
      <c r="P148" s="92" t="s">
        <v>702</v>
      </c>
      <c r="Q148" s="92" t="s">
        <v>703</v>
      </c>
      <c r="R148" s="92">
        <v>4</v>
      </c>
      <c r="S148" s="92">
        <v>359</v>
      </c>
      <c r="T148" s="9">
        <v>44105</v>
      </c>
      <c r="U148" s="9">
        <v>44158</v>
      </c>
    </row>
    <row r="149" spans="1:21" x14ac:dyDescent="0.2">
      <c r="A149" s="10" t="str">
        <f>HYPERLINK("http://www.ofsted.gov.uk/inspection-reports/find-inspection-report/provider/ELS/103978 ","Ofsted School Webpage")</f>
        <v>Ofsted School Webpage</v>
      </c>
      <c r="B149" s="92">
        <v>103978</v>
      </c>
      <c r="C149" s="92">
        <v>3332173</v>
      </c>
      <c r="D149" s="92" t="s">
        <v>704</v>
      </c>
      <c r="E149" s="92" t="s">
        <v>94</v>
      </c>
      <c r="F149" s="92" t="s">
        <v>269</v>
      </c>
      <c r="G149" s="92" t="s">
        <v>270</v>
      </c>
      <c r="H149" s="92" t="s">
        <v>271</v>
      </c>
      <c r="I149" s="92" t="s">
        <v>272</v>
      </c>
      <c r="J149" s="92" t="s">
        <v>273</v>
      </c>
      <c r="K149" s="92" t="s">
        <v>273</v>
      </c>
      <c r="L149" s="92" t="s">
        <v>274</v>
      </c>
      <c r="M149" s="92" t="s">
        <v>226</v>
      </c>
      <c r="N149" s="92" t="s">
        <v>226</v>
      </c>
      <c r="O149" s="92" t="s">
        <v>228</v>
      </c>
      <c r="P149" s="92" t="s">
        <v>312</v>
      </c>
      <c r="Q149" s="92" t="s">
        <v>705</v>
      </c>
      <c r="R149" s="92">
        <v>5</v>
      </c>
      <c r="S149" s="92">
        <v>446</v>
      </c>
      <c r="T149" s="9">
        <v>44105</v>
      </c>
      <c r="U149" s="9">
        <v>44144</v>
      </c>
    </row>
    <row r="150" spans="1:21" x14ac:dyDescent="0.2">
      <c r="A150" s="10" t="str">
        <f>HYPERLINK("http://www.ofsted.gov.uk/inspection-reports/find-inspection-report/provider/ELS/106057 ","Ofsted School Webpage")</f>
        <v>Ofsted School Webpage</v>
      </c>
      <c r="B150" s="92">
        <v>106057</v>
      </c>
      <c r="C150" s="92">
        <v>3562053</v>
      </c>
      <c r="D150" s="92" t="s">
        <v>706</v>
      </c>
      <c r="E150" s="92" t="s">
        <v>94</v>
      </c>
      <c r="F150" s="92" t="s">
        <v>269</v>
      </c>
      <c r="G150" s="92" t="s">
        <v>270</v>
      </c>
      <c r="H150" s="92" t="s">
        <v>271</v>
      </c>
      <c r="I150" s="92" t="s">
        <v>272</v>
      </c>
      <c r="J150" s="92" t="s">
        <v>273</v>
      </c>
      <c r="K150" s="92" t="s">
        <v>273</v>
      </c>
      <c r="L150" s="92" t="s">
        <v>274</v>
      </c>
      <c r="M150" s="92" t="s">
        <v>168</v>
      </c>
      <c r="N150" s="92" t="s">
        <v>168</v>
      </c>
      <c r="O150" s="92" t="s">
        <v>174</v>
      </c>
      <c r="P150" s="92" t="s">
        <v>334</v>
      </c>
      <c r="Q150" s="92" t="s">
        <v>707</v>
      </c>
      <c r="R150" s="92">
        <v>1</v>
      </c>
      <c r="S150" s="92">
        <v>337</v>
      </c>
      <c r="T150" s="9">
        <v>44105</v>
      </c>
      <c r="U150" s="9">
        <v>44145</v>
      </c>
    </row>
    <row r="151" spans="1:21" x14ac:dyDescent="0.2">
      <c r="A151" s="10" t="str">
        <f>HYPERLINK("http://www.ofsted.gov.uk/inspection-reports/find-inspection-report/provider/ELS/117105 ","Ofsted School Webpage")</f>
        <v>Ofsted School Webpage</v>
      </c>
      <c r="B151" s="92">
        <v>117105</v>
      </c>
      <c r="C151" s="92">
        <v>9192039</v>
      </c>
      <c r="D151" s="92" t="s">
        <v>708</v>
      </c>
      <c r="E151" s="92" t="s">
        <v>94</v>
      </c>
      <c r="F151" s="92" t="s">
        <v>269</v>
      </c>
      <c r="G151" s="92" t="s">
        <v>270</v>
      </c>
      <c r="H151" s="92" t="s">
        <v>271</v>
      </c>
      <c r="I151" s="92" t="s">
        <v>272</v>
      </c>
      <c r="J151" s="92" t="s">
        <v>273</v>
      </c>
      <c r="K151" s="92" t="s">
        <v>273</v>
      </c>
      <c r="L151" s="92" t="s">
        <v>274</v>
      </c>
      <c r="M151" s="92" t="s">
        <v>110</v>
      </c>
      <c r="N151" s="92" t="s">
        <v>110</v>
      </c>
      <c r="O151" s="92" t="s">
        <v>117</v>
      </c>
      <c r="P151" s="92" t="s">
        <v>709</v>
      </c>
      <c r="Q151" s="92" t="s">
        <v>710</v>
      </c>
      <c r="R151" s="92">
        <v>3</v>
      </c>
      <c r="S151" s="92">
        <v>417</v>
      </c>
      <c r="T151" s="9">
        <v>44105</v>
      </c>
      <c r="U151" s="9">
        <v>44150</v>
      </c>
    </row>
    <row r="152" spans="1:21" x14ac:dyDescent="0.2">
      <c r="A152" s="10" t="str">
        <f>HYPERLINK("http://www.ofsted.gov.uk/inspection-reports/find-inspection-report/provider/ELS/124105 ","Ofsted School Webpage")</f>
        <v>Ofsted School Webpage</v>
      </c>
      <c r="B152" s="92">
        <v>124105</v>
      </c>
      <c r="C152" s="92">
        <v>8602240</v>
      </c>
      <c r="D152" s="92" t="s">
        <v>711</v>
      </c>
      <c r="E152" s="92" t="s">
        <v>94</v>
      </c>
      <c r="F152" s="92" t="s">
        <v>269</v>
      </c>
      <c r="G152" s="92" t="s">
        <v>270</v>
      </c>
      <c r="H152" s="92" t="s">
        <v>271</v>
      </c>
      <c r="I152" s="92" t="s">
        <v>272</v>
      </c>
      <c r="J152" s="92" t="s">
        <v>273</v>
      </c>
      <c r="K152" s="92" t="s">
        <v>273</v>
      </c>
      <c r="L152" s="92" t="s">
        <v>274</v>
      </c>
      <c r="M152" s="92" t="s">
        <v>226</v>
      </c>
      <c r="N152" s="92" t="s">
        <v>226</v>
      </c>
      <c r="O152" s="92" t="s">
        <v>229</v>
      </c>
      <c r="P152" s="92" t="s">
        <v>712</v>
      </c>
      <c r="Q152" s="92" t="s">
        <v>713</v>
      </c>
      <c r="R152" s="92">
        <v>1</v>
      </c>
      <c r="S152" s="92">
        <v>65</v>
      </c>
      <c r="T152" s="9">
        <v>44105</v>
      </c>
      <c r="U152" s="9">
        <v>44123</v>
      </c>
    </row>
    <row r="153" spans="1:21" x14ac:dyDescent="0.2">
      <c r="A153" s="10" t="str">
        <f>HYPERLINK("http://www.ofsted.gov.uk/inspection-reports/find-inspection-report/provider/ELS/134857 ","Ofsted School Webpage")</f>
        <v>Ofsted School Webpage</v>
      </c>
      <c r="B153" s="92">
        <v>134857</v>
      </c>
      <c r="C153" s="92">
        <v>8863898</v>
      </c>
      <c r="D153" s="92" t="s">
        <v>714</v>
      </c>
      <c r="E153" s="92" t="s">
        <v>94</v>
      </c>
      <c r="F153" s="92" t="s">
        <v>269</v>
      </c>
      <c r="G153" s="9">
        <v>38453</v>
      </c>
      <c r="H153" s="92" t="s">
        <v>271</v>
      </c>
      <c r="I153" s="92" t="s">
        <v>272</v>
      </c>
      <c r="J153" s="92" t="s">
        <v>273</v>
      </c>
      <c r="K153" s="92" t="s">
        <v>273</v>
      </c>
      <c r="L153" s="92" t="s">
        <v>274</v>
      </c>
      <c r="M153" s="92" t="s">
        <v>192</v>
      </c>
      <c r="N153" s="92" t="s">
        <v>192</v>
      </c>
      <c r="O153" s="92" t="s">
        <v>194</v>
      </c>
      <c r="P153" s="92" t="s">
        <v>715</v>
      </c>
      <c r="Q153" s="92" t="s">
        <v>716</v>
      </c>
      <c r="R153" s="92">
        <v>4</v>
      </c>
      <c r="S153" s="92">
        <v>367</v>
      </c>
      <c r="T153" s="9">
        <v>44105</v>
      </c>
      <c r="U153" s="9">
        <v>44146</v>
      </c>
    </row>
    <row r="154" spans="1:21" x14ac:dyDescent="0.2">
      <c r="A154" s="10" t="str">
        <f>HYPERLINK("http://www.ofsted.gov.uk/inspection-reports/find-inspection-report/provider/ELS/112959 ","Ofsted School Webpage")</f>
        <v>Ofsted School Webpage</v>
      </c>
      <c r="B154" s="92">
        <v>112959</v>
      </c>
      <c r="C154" s="92">
        <v>8304193</v>
      </c>
      <c r="D154" s="92" t="s">
        <v>717</v>
      </c>
      <c r="E154" s="92" t="s">
        <v>95</v>
      </c>
      <c r="F154" s="92" t="s">
        <v>269</v>
      </c>
      <c r="G154" s="9" t="s">
        <v>270</v>
      </c>
      <c r="H154" s="92" t="s">
        <v>299</v>
      </c>
      <c r="I154" s="92" t="s">
        <v>272</v>
      </c>
      <c r="J154" s="92" t="s">
        <v>273</v>
      </c>
      <c r="K154" s="92" t="s">
        <v>273</v>
      </c>
      <c r="L154" s="92" t="s">
        <v>274</v>
      </c>
      <c r="M154" s="92" t="s">
        <v>100</v>
      </c>
      <c r="N154" s="92" t="s">
        <v>100</v>
      </c>
      <c r="O154" s="92" t="s">
        <v>101</v>
      </c>
      <c r="P154" s="92" t="s">
        <v>293</v>
      </c>
      <c r="Q154" s="92" t="s">
        <v>718</v>
      </c>
      <c r="R154" s="92">
        <v>4</v>
      </c>
      <c r="S154" s="92">
        <v>785</v>
      </c>
      <c r="T154" s="9">
        <v>44105</v>
      </c>
      <c r="U154" s="9">
        <v>44139</v>
      </c>
    </row>
    <row r="155" spans="1:21" x14ac:dyDescent="0.2">
      <c r="A155" s="10" t="str">
        <f>HYPERLINK("http://www.ofsted.gov.uk/inspection-reports/find-inspection-report/provider/ELS/113666 ","Ofsted School Webpage")</f>
        <v>Ofsted School Webpage</v>
      </c>
      <c r="B155" s="92">
        <v>113666</v>
      </c>
      <c r="C155" s="92">
        <v>8382017</v>
      </c>
      <c r="D155" s="92" t="s">
        <v>719</v>
      </c>
      <c r="E155" s="92" t="s">
        <v>94</v>
      </c>
      <c r="F155" s="92" t="s">
        <v>269</v>
      </c>
      <c r="G155" s="92" t="s">
        <v>270</v>
      </c>
      <c r="H155" s="92" t="s">
        <v>271</v>
      </c>
      <c r="I155" s="92" t="s">
        <v>272</v>
      </c>
      <c r="J155" s="92" t="s">
        <v>273</v>
      </c>
      <c r="K155" s="92" t="s">
        <v>273</v>
      </c>
      <c r="L155" s="92" t="s">
        <v>274</v>
      </c>
      <c r="M155" s="92" t="s">
        <v>211</v>
      </c>
      <c r="N155" s="92" t="s">
        <v>211</v>
      </c>
      <c r="O155" s="92" t="s">
        <v>213</v>
      </c>
      <c r="P155" s="92" t="s">
        <v>720</v>
      </c>
      <c r="Q155" s="92" t="s">
        <v>721</v>
      </c>
      <c r="R155" s="92">
        <v>2</v>
      </c>
      <c r="S155" s="92">
        <v>338</v>
      </c>
      <c r="T155" s="9">
        <v>44105</v>
      </c>
      <c r="U155" s="9">
        <v>44123</v>
      </c>
    </row>
    <row r="156" spans="1:21" x14ac:dyDescent="0.2">
      <c r="A156" s="10" t="str">
        <f>HYPERLINK("http://www.ofsted.gov.uk/inspection-reports/find-inspection-report/provider/ELS/100681 ","Ofsted School Webpage")</f>
        <v>Ofsted School Webpage</v>
      </c>
      <c r="B156" s="92">
        <v>100681</v>
      </c>
      <c r="C156" s="92">
        <v>2092197</v>
      </c>
      <c r="D156" s="92" t="s">
        <v>722</v>
      </c>
      <c r="E156" s="92" t="s">
        <v>94</v>
      </c>
      <c r="F156" s="92" t="s">
        <v>269</v>
      </c>
      <c r="G156" s="92" t="s">
        <v>270</v>
      </c>
      <c r="H156" s="92" t="s">
        <v>271</v>
      </c>
      <c r="I156" s="92" t="s">
        <v>272</v>
      </c>
      <c r="J156" s="92" t="s">
        <v>273</v>
      </c>
      <c r="K156" s="92" t="s">
        <v>273</v>
      </c>
      <c r="L156" s="92" t="s">
        <v>274</v>
      </c>
      <c r="M156" s="92" t="s">
        <v>122</v>
      </c>
      <c r="N156" s="92" t="s">
        <v>122</v>
      </c>
      <c r="O156" s="92" t="s">
        <v>135</v>
      </c>
      <c r="P156" s="92" t="s">
        <v>723</v>
      </c>
      <c r="Q156" s="92" t="s">
        <v>724</v>
      </c>
      <c r="R156" s="92">
        <v>5</v>
      </c>
      <c r="S156" s="92">
        <v>469</v>
      </c>
      <c r="T156" s="9">
        <v>44105</v>
      </c>
      <c r="U156" s="9">
        <v>44146</v>
      </c>
    </row>
    <row r="157" spans="1:21" x14ac:dyDescent="0.2">
      <c r="A157" s="10" t="str">
        <f>HYPERLINK("http://www.ofsted.gov.uk/inspection-reports/find-inspection-report/provider/ELS/106757 ","Ofsted School Webpage")</f>
        <v>Ofsted School Webpage</v>
      </c>
      <c r="B157" s="92">
        <v>106757</v>
      </c>
      <c r="C157" s="92">
        <v>3712196</v>
      </c>
      <c r="D157" s="92" t="s">
        <v>725</v>
      </c>
      <c r="E157" s="92" t="s">
        <v>94</v>
      </c>
      <c r="F157" s="92" t="s">
        <v>269</v>
      </c>
      <c r="G157" s="92" t="s">
        <v>270</v>
      </c>
      <c r="H157" s="92" t="s">
        <v>271</v>
      </c>
      <c r="I157" s="92" t="s">
        <v>272</v>
      </c>
      <c r="J157" s="92" t="s">
        <v>273</v>
      </c>
      <c r="K157" s="92" t="s">
        <v>273</v>
      </c>
      <c r="L157" s="92" t="s">
        <v>274</v>
      </c>
      <c r="M157" s="92" t="s">
        <v>261</v>
      </c>
      <c r="N157" s="92" t="s">
        <v>241</v>
      </c>
      <c r="O157" s="92" t="s">
        <v>248</v>
      </c>
      <c r="P157" s="92" t="s">
        <v>726</v>
      </c>
      <c r="Q157" s="92" t="s">
        <v>727</v>
      </c>
      <c r="R157" s="92">
        <v>5</v>
      </c>
      <c r="S157" s="92">
        <v>320</v>
      </c>
      <c r="T157" s="9">
        <v>44105</v>
      </c>
      <c r="U157" s="9">
        <v>44151</v>
      </c>
    </row>
    <row r="158" spans="1:21" x14ac:dyDescent="0.2">
      <c r="A158" s="10" t="str">
        <f>HYPERLINK("http://www.ofsted.gov.uk/inspection-reports/find-inspection-report/provider/ELS/116749 ","Ofsted School Webpage")</f>
        <v>Ofsted School Webpage</v>
      </c>
      <c r="B158" s="92">
        <v>116749</v>
      </c>
      <c r="C158" s="92">
        <v>8852161</v>
      </c>
      <c r="D158" s="92" t="s">
        <v>728</v>
      </c>
      <c r="E158" s="92" t="s">
        <v>94</v>
      </c>
      <c r="F158" s="92" t="s">
        <v>269</v>
      </c>
      <c r="G158" s="92" t="s">
        <v>270</v>
      </c>
      <c r="H158" s="92" t="s">
        <v>271</v>
      </c>
      <c r="I158" s="92" t="s">
        <v>272</v>
      </c>
      <c r="J158" s="92" t="s">
        <v>273</v>
      </c>
      <c r="K158" s="92" t="s">
        <v>273</v>
      </c>
      <c r="L158" s="92" t="s">
        <v>274</v>
      </c>
      <c r="M158" s="92" t="s">
        <v>226</v>
      </c>
      <c r="N158" s="92" t="s">
        <v>226</v>
      </c>
      <c r="O158" s="92" t="s">
        <v>238</v>
      </c>
      <c r="P158" s="92" t="s">
        <v>729</v>
      </c>
      <c r="Q158" s="92" t="s">
        <v>730</v>
      </c>
      <c r="R158" s="92">
        <v>2</v>
      </c>
      <c r="S158" s="92">
        <v>619</v>
      </c>
      <c r="T158" s="9">
        <v>44110</v>
      </c>
      <c r="U158" s="9">
        <v>44147</v>
      </c>
    </row>
    <row r="159" spans="1:21" x14ac:dyDescent="0.2">
      <c r="A159" s="10" t="str">
        <f>HYPERLINK("http://www.ofsted.gov.uk/inspection-reports/find-inspection-report/provider/ELS/118523 ","Ofsted School Webpage")</f>
        <v>Ofsted School Webpage</v>
      </c>
      <c r="B159" s="92">
        <v>118523</v>
      </c>
      <c r="C159" s="92">
        <v>8862574</v>
      </c>
      <c r="D159" s="92" t="s">
        <v>731</v>
      </c>
      <c r="E159" s="92" t="s">
        <v>94</v>
      </c>
      <c r="F159" s="92" t="s">
        <v>269</v>
      </c>
      <c r="G159" s="92" t="s">
        <v>270</v>
      </c>
      <c r="H159" s="92" t="s">
        <v>271</v>
      </c>
      <c r="I159" s="92" t="s">
        <v>272</v>
      </c>
      <c r="J159" s="92" t="s">
        <v>273</v>
      </c>
      <c r="K159" s="92" t="s">
        <v>273</v>
      </c>
      <c r="L159" s="92" t="s">
        <v>274</v>
      </c>
      <c r="M159" s="92" t="s">
        <v>192</v>
      </c>
      <c r="N159" s="92" t="s">
        <v>192</v>
      </c>
      <c r="O159" s="92" t="s">
        <v>194</v>
      </c>
      <c r="P159" s="92" t="s">
        <v>732</v>
      </c>
      <c r="Q159" s="92" t="s">
        <v>733</v>
      </c>
      <c r="R159" s="92">
        <v>3</v>
      </c>
      <c r="S159" s="92">
        <v>259</v>
      </c>
      <c r="T159" s="9">
        <v>44110</v>
      </c>
      <c r="U159" s="9">
        <v>44150</v>
      </c>
    </row>
    <row r="160" spans="1:21" x14ac:dyDescent="0.2">
      <c r="A160" s="10" t="str">
        <f>HYPERLINK("http://www.ofsted.gov.uk/inspection-reports/find-inspection-report/provider/ELS/123719 ","Ofsted School Webpage")</f>
        <v>Ofsted School Webpage</v>
      </c>
      <c r="B160" s="92">
        <v>123719</v>
      </c>
      <c r="C160" s="92">
        <v>9332302</v>
      </c>
      <c r="D160" s="92" t="s">
        <v>734</v>
      </c>
      <c r="E160" s="92" t="s">
        <v>94</v>
      </c>
      <c r="F160" s="92" t="s">
        <v>269</v>
      </c>
      <c r="G160" s="92" t="s">
        <v>270</v>
      </c>
      <c r="H160" s="92" t="s">
        <v>271</v>
      </c>
      <c r="I160" s="92" t="s">
        <v>272</v>
      </c>
      <c r="J160" s="92" t="s">
        <v>273</v>
      </c>
      <c r="K160" s="92" t="s">
        <v>273</v>
      </c>
      <c r="L160" s="92" t="s">
        <v>274</v>
      </c>
      <c r="M160" s="92" t="s">
        <v>211</v>
      </c>
      <c r="N160" s="92" t="s">
        <v>211</v>
      </c>
      <c r="O160" s="92" t="s">
        <v>218</v>
      </c>
      <c r="P160" s="92" t="s">
        <v>439</v>
      </c>
      <c r="Q160" s="92" t="s">
        <v>735</v>
      </c>
      <c r="R160" s="92">
        <v>2</v>
      </c>
      <c r="S160" s="92">
        <v>239</v>
      </c>
      <c r="T160" s="9">
        <v>44110</v>
      </c>
      <c r="U160" s="9">
        <v>44146</v>
      </c>
    </row>
    <row r="161" spans="1:21" x14ac:dyDescent="0.2">
      <c r="A161" s="10" t="str">
        <f>HYPERLINK("http://www.ofsted.gov.uk/inspection-reports/find-inspection-report/provider/ELS/114970 ","Ofsted School Webpage")</f>
        <v>Ofsted School Webpage</v>
      </c>
      <c r="B161" s="92">
        <v>114970</v>
      </c>
      <c r="C161" s="92">
        <v>8812730</v>
      </c>
      <c r="D161" s="92" t="s">
        <v>736</v>
      </c>
      <c r="E161" s="92" t="s">
        <v>94</v>
      </c>
      <c r="F161" s="92" t="s">
        <v>269</v>
      </c>
      <c r="G161" s="92" t="s">
        <v>270</v>
      </c>
      <c r="H161" s="92" t="s">
        <v>271</v>
      </c>
      <c r="I161" s="92" t="s">
        <v>272</v>
      </c>
      <c r="J161" s="92" t="s">
        <v>273</v>
      </c>
      <c r="K161" s="92" t="s">
        <v>273</v>
      </c>
      <c r="L161" s="92" t="s">
        <v>274</v>
      </c>
      <c r="M161" s="92" t="s">
        <v>110</v>
      </c>
      <c r="N161" s="92" t="s">
        <v>110</v>
      </c>
      <c r="O161" s="92" t="s">
        <v>119</v>
      </c>
      <c r="P161" s="92" t="s">
        <v>737</v>
      </c>
      <c r="Q161" s="92" t="s">
        <v>738</v>
      </c>
      <c r="R161" s="92">
        <v>1</v>
      </c>
      <c r="S161" s="92">
        <v>105</v>
      </c>
      <c r="T161" s="9">
        <v>44110</v>
      </c>
      <c r="U161" s="9">
        <v>44157</v>
      </c>
    </row>
    <row r="162" spans="1:21" x14ac:dyDescent="0.2">
      <c r="A162" s="10" t="str">
        <f>HYPERLINK("http://www.ofsted.gov.uk/inspection-reports/find-inspection-report/provider/ELS/112679 ","Ofsted School Webpage")</f>
        <v>Ofsted School Webpage</v>
      </c>
      <c r="B162" s="92">
        <v>112679</v>
      </c>
      <c r="C162" s="92">
        <v>8302321</v>
      </c>
      <c r="D162" s="92" t="s">
        <v>739</v>
      </c>
      <c r="E162" s="92" t="s">
        <v>94</v>
      </c>
      <c r="F162" s="92" t="s">
        <v>269</v>
      </c>
      <c r="G162" s="92" t="s">
        <v>270</v>
      </c>
      <c r="H162" s="92" t="s">
        <v>271</v>
      </c>
      <c r="I162" s="92" t="s">
        <v>272</v>
      </c>
      <c r="J162" s="92" t="s">
        <v>273</v>
      </c>
      <c r="K162" s="92" t="s">
        <v>273</v>
      </c>
      <c r="L162" s="92" t="s">
        <v>274</v>
      </c>
      <c r="M162" s="92" t="s">
        <v>100</v>
      </c>
      <c r="N162" s="92" t="s">
        <v>100</v>
      </c>
      <c r="O162" s="92" t="s">
        <v>101</v>
      </c>
      <c r="P162" s="92" t="s">
        <v>296</v>
      </c>
      <c r="Q162" s="92" t="s">
        <v>740</v>
      </c>
      <c r="R162" s="92">
        <v>3</v>
      </c>
      <c r="S162" s="92">
        <v>218</v>
      </c>
      <c r="T162" s="9">
        <v>44110</v>
      </c>
      <c r="U162" s="9">
        <v>44152</v>
      </c>
    </row>
    <row r="163" spans="1:21" x14ac:dyDescent="0.2">
      <c r="A163" s="10" t="str">
        <f>HYPERLINK("http://www.ofsted.gov.uk/inspection-reports/find-inspection-report/provider/ELS/112675 ","Ofsted School Webpage")</f>
        <v>Ofsted School Webpage</v>
      </c>
      <c r="B163" s="92">
        <v>112675</v>
      </c>
      <c r="C163" s="92">
        <v>8302310</v>
      </c>
      <c r="D163" s="92" t="s">
        <v>741</v>
      </c>
      <c r="E163" s="92" t="s">
        <v>94</v>
      </c>
      <c r="F163" s="92" t="s">
        <v>269</v>
      </c>
      <c r="G163" s="92" t="s">
        <v>270</v>
      </c>
      <c r="H163" s="92" t="s">
        <v>271</v>
      </c>
      <c r="I163" s="92" t="s">
        <v>272</v>
      </c>
      <c r="J163" s="92" t="s">
        <v>273</v>
      </c>
      <c r="K163" s="92" t="s">
        <v>273</v>
      </c>
      <c r="L163" s="92" t="s">
        <v>274</v>
      </c>
      <c r="M163" s="92" t="s">
        <v>100</v>
      </c>
      <c r="N163" s="92" t="s">
        <v>100</v>
      </c>
      <c r="O163" s="92" t="s">
        <v>101</v>
      </c>
      <c r="P163" s="92" t="s">
        <v>742</v>
      </c>
      <c r="Q163" s="92" t="s">
        <v>743</v>
      </c>
      <c r="R163" s="92">
        <v>5</v>
      </c>
      <c r="S163" s="92">
        <v>354</v>
      </c>
      <c r="T163" s="9">
        <v>44110</v>
      </c>
      <c r="U163" s="9">
        <v>44146</v>
      </c>
    </row>
    <row r="164" spans="1:21" x14ac:dyDescent="0.2">
      <c r="A164" s="10" t="str">
        <f>HYPERLINK("http://www.ofsted.gov.uk/inspection-reports/find-inspection-report/provider/ELS/117832 ","Ofsted School Webpage")</f>
        <v>Ofsted School Webpage</v>
      </c>
      <c r="B164" s="92">
        <v>117832</v>
      </c>
      <c r="C164" s="92">
        <v>8112709</v>
      </c>
      <c r="D164" s="92" t="s">
        <v>744</v>
      </c>
      <c r="E164" s="92" t="s">
        <v>94</v>
      </c>
      <c r="F164" s="92" t="s">
        <v>269</v>
      </c>
      <c r="G164" s="9" t="s">
        <v>270</v>
      </c>
      <c r="H164" s="92" t="s">
        <v>271</v>
      </c>
      <c r="I164" s="92" t="s">
        <v>272</v>
      </c>
      <c r="J164" s="92" t="s">
        <v>273</v>
      </c>
      <c r="K164" s="92" t="s">
        <v>273</v>
      </c>
      <c r="L164" s="92" t="s">
        <v>274</v>
      </c>
      <c r="M164" s="92" t="s">
        <v>261</v>
      </c>
      <c r="N164" s="92" t="s">
        <v>241</v>
      </c>
      <c r="O164" s="92" t="s">
        <v>243</v>
      </c>
      <c r="P164" s="92" t="s">
        <v>745</v>
      </c>
      <c r="Q164" s="92" t="s">
        <v>746</v>
      </c>
      <c r="R164" s="92">
        <v>5</v>
      </c>
      <c r="S164" s="92">
        <v>307</v>
      </c>
      <c r="T164" s="9">
        <v>44110</v>
      </c>
      <c r="U164" s="9">
        <v>44158</v>
      </c>
    </row>
    <row r="165" spans="1:21" x14ac:dyDescent="0.2">
      <c r="A165" s="10" t="str">
        <f>HYPERLINK("http://www.ofsted.gov.uk/inspection-reports/find-inspection-report/provider/ELS/118534 ","Ofsted School Webpage")</f>
        <v>Ofsted School Webpage</v>
      </c>
      <c r="B165" s="92">
        <v>118534</v>
      </c>
      <c r="C165" s="92">
        <v>8862603</v>
      </c>
      <c r="D165" s="92" t="s">
        <v>747</v>
      </c>
      <c r="E165" s="92" t="s">
        <v>94</v>
      </c>
      <c r="F165" s="92" t="s">
        <v>397</v>
      </c>
      <c r="G165" s="92" t="s">
        <v>270</v>
      </c>
      <c r="H165" s="92" t="s">
        <v>271</v>
      </c>
      <c r="I165" s="92" t="s">
        <v>272</v>
      </c>
      <c r="J165" s="92" t="s">
        <v>273</v>
      </c>
      <c r="K165" s="92" t="s">
        <v>273</v>
      </c>
      <c r="L165" s="92" t="s">
        <v>274</v>
      </c>
      <c r="M165" s="92" t="s">
        <v>192</v>
      </c>
      <c r="N165" s="92" t="s">
        <v>192</v>
      </c>
      <c r="O165" s="92" t="s">
        <v>194</v>
      </c>
      <c r="P165" s="92" t="s">
        <v>748</v>
      </c>
      <c r="Q165" s="92" t="s">
        <v>749</v>
      </c>
      <c r="R165" s="92">
        <v>4</v>
      </c>
      <c r="S165" s="92">
        <v>482</v>
      </c>
      <c r="T165" s="9">
        <v>44110</v>
      </c>
      <c r="U165" s="9">
        <v>44147</v>
      </c>
    </row>
    <row r="166" spans="1:21" x14ac:dyDescent="0.2">
      <c r="A166" s="10" t="str">
        <f>HYPERLINK("http://www.ofsted.gov.uk/inspection-reports/find-inspection-report/provider/ELS/121369 ","Ofsted School Webpage")</f>
        <v>Ofsted School Webpage</v>
      </c>
      <c r="B166" s="92">
        <v>121369</v>
      </c>
      <c r="C166" s="92">
        <v>8152245</v>
      </c>
      <c r="D166" s="92" t="s">
        <v>750</v>
      </c>
      <c r="E166" s="92" t="s">
        <v>94</v>
      </c>
      <c r="F166" s="92" t="s">
        <v>269</v>
      </c>
      <c r="G166" s="9">
        <v>1</v>
      </c>
      <c r="H166" s="92" t="s">
        <v>271</v>
      </c>
      <c r="I166" s="92" t="s">
        <v>272</v>
      </c>
      <c r="J166" s="92" t="s">
        <v>273</v>
      </c>
      <c r="K166" s="92" t="s">
        <v>273</v>
      </c>
      <c r="L166" s="92" t="s">
        <v>274</v>
      </c>
      <c r="M166" s="92" t="s">
        <v>261</v>
      </c>
      <c r="N166" s="92" t="s">
        <v>241</v>
      </c>
      <c r="O166" s="92" t="s">
        <v>247</v>
      </c>
      <c r="P166" s="92" t="s">
        <v>751</v>
      </c>
      <c r="Q166" s="92" t="s">
        <v>752</v>
      </c>
      <c r="R166" s="92">
        <v>1</v>
      </c>
      <c r="S166" s="92">
        <v>137</v>
      </c>
      <c r="T166" s="9">
        <v>44110</v>
      </c>
      <c r="U166" s="9">
        <v>44158</v>
      </c>
    </row>
    <row r="167" spans="1:21" x14ac:dyDescent="0.2">
      <c r="A167" s="10" t="str">
        <f>HYPERLINK("http://www.ofsted.gov.uk/inspection-reports/find-inspection-report/provider/ELS/116255 ","Ofsted School Webpage")</f>
        <v>Ofsted School Webpage</v>
      </c>
      <c r="B167" s="92">
        <v>116255</v>
      </c>
      <c r="C167" s="92">
        <v>8502761</v>
      </c>
      <c r="D167" s="92" t="s">
        <v>753</v>
      </c>
      <c r="E167" s="92" t="s">
        <v>94</v>
      </c>
      <c r="F167" s="92" t="s">
        <v>269</v>
      </c>
      <c r="G167" s="92" t="s">
        <v>270</v>
      </c>
      <c r="H167" s="92" t="s">
        <v>271</v>
      </c>
      <c r="I167" s="92" t="s">
        <v>272</v>
      </c>
      <c r="J167" s="92" t="s">
        <v>273</v>
      </c>
      <c r="K167" s="92" t="s">
        <v>273</v>
      </c>
      <c r="L167" s="92" t="s">
        <v>274</v>
      </c>
      <c r="M167" s="92" t="s">
        <v>192</v>
      </c>
      <c r="N167" s="92" t="s">
        <v>192</v>
      </c>
      <c r="O167" s="92" t="s">
        <v>193</v>
      </c>
      <c r="P167" s="92" t="s">
        <v>459</v>
      </c>
      <c r="Q167" s="92" t="s">
        <v>754</v>
      </c>
      <c r="R167" s="92">
        <v>2</v>
      </c>
      <c r="S167" s="92">
        <v>359</v>
      </c>
      <c r="T167" s="9">
        <v>44110</v>
      </c>
      <c r="U167" s="9">
        <v>44139</v>
      </c>
    </row>
    <row r="168" spans="1:21" x14ac:dyDescent="0.2">
      <c r="A168" s="10" t="str">
        <f>HYPERLINK("http://www.ofsted.gov.uk/inspection-reports/find-inspection-report/provider/ELS/100234 ","Ofsted School Webpage")</f>
        <v>Ofsted School Webpage</v>
      </c>
      <c r="B168" s="92">
        <v>100234</v>
      </c>
      <c r="C168" s="92">
        <v>2042450</v>
      </c>
      <c r="D168" s="92" t="s">
        <v>755</v>
      </c>
      <c r="E168" s="92" t="s">
        <v>94</v>
      </c>
      <c r="F168" s="92" t="s">
        <v>269</v>
      </c>
      <c r="G168" s="92" t="s">
        <v>270</v>
      </c>
      <c r="H168" s="92" t="s">
        <v>271</v>
      </c>
      <c r="I168" s="92" t="s">
        <v>272</v>
      </c>
      <c r="J168" s="92" t="s">
        <v>273</v>
      </c>
      <c r="K168" s="92" t="s">
        <v>273</v>
      </c>
      <c r="L168" s="92" t="s">
        <v>274</v>
      </c>
      <c r="M168" s="92" t="s">
        <v>122</v>
      </c>
      <c r="N168" s="92" t="s">
        <v>122</v>
      </c>
      <c r="O168" s="92" t="s">
        <v>126</v>
      </c>
      <c r="P168" s="92" t="s">
        <v>756</v>
      </c>
      <c r="Q168" s="92" t="s">
        <v>757</v>
      </c>
      <c r="R168" s="92">
        <v>5</v>
      </c>
      <c r="S168" s="92">
        <v>651</v>
      </c>
      <c r="T168" s="9">
        <v>44110</v>
      </c>
      <c r="U168" s="9">
        <v>44159</v>
      </c>
    </row>
    <row r="169" spans="1:21" x14ac:dyDescent="0.2">
      <c r="A169" s="10" t="str">
        <f>HYPERLINK("http://www.ofsted.gov.uk/inspection-reports/find-inspection-report/provider/ELS/116117 ","Ofsted School Webpage")</f>
        <v>Ofsted School Webpage</v>
      </c>
      <c r="B169" s="92">
        <v>116117</v>
      </c>
      <c r="C169" s="92">
        <v>8522441</v>
      </c>
      <c r="D169" s="92" t="s">
        <v>758</v>
      </c>
      <c r="E169" s="92" t="s">
        <v>94</v>
      </c>
      <c r="F169" s="92" t="s">
        <v>397</v>
      </c>
      <c r="G169" s="9" t="s">
        <v>270</v>
      </c>
      <c r="H169" s="92" t="s">
        <v>271</v>
      </c>
      <c r="I169" s="92" t="s">
        <v>272</v>
      </c>
      <c r="J169" s="92" t="s">
        <v>273</v>
      </c>
      <c r="K169" s="92" t="s">
        <v>273</v>
      </c>
      <c r="L169" s="92" t="s">
        <v>274</v>
      </c>
      <c r="M169" s="92" t="s">
        <v>192</v>
      </c>
      <c r="N169" s="92" t="s">
        <v>192</v>
      </c>
      <c r="O169" s="92" t="s">
        <v>202</v>
      </c>
      <c r="P169" s="92" t="s">
        <v>759</v>
      </c>
      <c r="Q169" s="92" t="s">
        <v>760</v>
      </c>
      <c r="R169" s="92">
        <v>4</v>
      </c>
      <c r="S169" s="92">
        <v>200</v>
      </c>
      <c r="T169" s="9">
        <v>44110</v>
      </c>
      <c r="U169" s="9">
        <v>44151</v>
      </c>
    </row>
    <row r="170" spans="1:21" x14ac:dyDescent="0.2">
      <c r="A170" s="10" t="str">
        <f>HYPERLINK("http://www.ofsted.gov.uk/inspection-reports/find-inspection-report/provider/ELS/116231 ","Ofsted School Webpage")</f>
        <v>Ofsted School Webpage</v>
      </c>
      <c r="B170" s="92">
        <v>116231</v>
      </c>
      <c r="C170" s="92">
        <v>8502726</v>
      </c>
      <c r="D170" s="92" t="s">
        <v>761</v>
      </c>
      <c r="E170" s="92" t="s">
        <v>94</v>
      </c>
      <c r="F170" s="92" t="s">
        <v>269</v>
      </c>
      <c r="G170" s="92" t="s">
        <v>270</v>
      </c>
      <c r="H170" s="92" t="s">
        <v>271</v>
      </c>
      <c r="I170" s="92" t="s">
        <v>272</v>
      </c>
      <c r="J170" s="92" t="s">
        <v>273</v>
      </c>
      <c r="K170" s="92" t="s">
        <v>273</v>
      </c>
      <c r="L170" s="92" t="s">
        <v>274</v>
      </c>
      <c r="M170" s="92" t="s">
        <v>192</v>
      </c>
      <c r="N170" s="92" t="s">
        <v>192</v>
      </c>
      <c r="O170" s="92" t="s">
        <v>193</v>
      </c>
      <c r="P170" s="92" t="s">
        <v>459</v>
      </c>
      <c r="Q170" s="92" t="s">
        <v>762</v>
      </c>
      <c r="R170" s="92">
        <v>3</v>
      </c>
      <c r="S170" s="92">
        <v>307</v>
      </c>
      <c r="T170" s="9">
        <v>44110</v>
      </c>
      <c r="U170" s="9">
        <v>44146</v>
      </c>
    </row>
    <row r="171" spans="1:21" x14ac:dyDescent="0.2">
      <c r="A171" s="10" t="str">
        <f>HYPERLINK("http://www.ofsted.gov.uk/inspection-reports/find-inspection-report/provider/ELS/130869 ","Ofsted School Webpage")</f>
        <v>Ofsted School Webpage</v>
      </c>
      <c r="B171" s="92">
        <v>130869</v>
      </c>
      <c r="C171" s="92">
        <v>9372621</v>
      </c>
      <c r="D171" s="92" t="s">
        <v>763</v>
      </c>
      <c r="E171" s="92" t="s">
        <v>94</v>
      </c>
      <c r="F171" s="92" t="s">
        <v>269</v>
      </c>
      <c r="G171" s="9">
        <v>35309</v>
      </c>
      <c r="H171" s="92" t="s">
        <v>271</v>
      </c>
      <c r="I171" s="92" t="s">
        <v>272</v>
      </c>
      <c r="J171" s="92" t="s">
        <v>273</v>
      </c>
      <c r="K171" s="92" t="s">
        <v>273</v>
      </c>
      <c r="L171" s="92" t="s">
        <v>274</v>
      </c>
      <c r="M171" s="92" t="s">
        <v>226</v>
      </c>
      <c r="N171" s="92" t="s">
        <v>226</v>
      </c>
      <c r="O171" s="92" t="s">
        <v>235</v>
      </c>
      <c r="P171" s="92" t="s">
        <v>764</v>
      </c>
      <c r="Q171" s="92" t="s">
        <v>765</v>
      </c>
      <c r="R171" s="92">
        <v>4</v>
      </c>
      <c r="S171" s="92">
        <v>303</v>
      </c>
      <c r="T171" s="9">
        <v>44110</v>
      </c>
      <c r="U171" s="9">
        <v>44144</v>
      </c>
    </row>
    <row r="172" spans="1:21" x14ac:dyDescent="0.2">
      <c r="A172" s="10" t="str">
        <f>HYPERLINK("http://www.ofsted.gov.uk/inspection-reports/find-inspection-report/provider/ELS/119120 ","Ofsted School Webpage")</f>
        <v>Ofsted School Webpage</v>
      </c>
      <c r="B172" s="92">
        <v>119120</v>
      </c>
      <c r="C172" s="92">
        <v>8892008</v>
      </c>
      <c r="D172" s="92" t="s">
        <v>766</v>
      </c>
      <c r="E172" s="92" t="s">
        <v>94</v>
      </c>
      <c r="F172" s="92" t="s">
        <v>269</v>
      </c>
      <c r="G172" s="92" t="s">
        <v>270</v>
      </c>
      <c r="H172" s="92" t="s">
        <v>271</v>
      </c>
      <c r="I172" s="92" t="s">
        <v>272</v>
      </c>
      <c r="J172" s="92" t="s">
        <v>273</v>
      </c>
      <c r="K172" s="92" t="s">
        <v>273</v>
      </c>
      <c r="L172" s="92" t="s">
        <v>274</v>
      </c>
      <c r="M172" s="92" t="s">
        <v>168</v>
      </c>
      <c r="N172" s="92" t="s">
        <v>168</v>
      </c>
      <c r="O172" s="92" t="s">
        <v>179</v>
      </c>
      <c r="P172" s="92" t="s">
        <v>767</v>
      </c>
      <c r="Q172" s="92" t="s">
        <v>768</v>
      </c>
      <c r="R172" s="92">
        <v>3</v>
      </c>
      <c r="S172" s="92">
        <v>385</v>
      </c>
      <c r="T172" s="9">
        <v>44110</v>
      </c>
      <c r="U172" s="9">
        <v>44154</v>
      </c>
    </row>
    <row r="173" spans="1:21" x14ac:dyDescent="0.2">
      <c r="A173" s="10" t="str">
        <f>HYPERLINK("http://www.ofsted.gov.uk/inspection-reports/find-inspection-report/provider/ELS/112976 ","Ofsted School Webpage")</f>
        <v>Ofsted School Webpage</v>
      </c>
      <c r="B173" s="92">
        <v>112976</v>
      </c>
      <c r="C173" s="92">
        <v>8305202</v>
      </c>
      <c r="D173" s="92" t="s">
        <v>769</v>
      </c>
      <c r="E173" s="92" t="s">
        <v>94</v>
      </c>
      <c r="F173" s="92" t="s">
        <v>269</v>
      </c>
      <c r="G173" s="92" t="s">
        <v>270</v>
      </c>
      <c r="H173" s="92" t="s">
        <v>271</v>
      </c>
      <c r="I173" s="92" t="s">
        <v>272</v>
      </c>
      <c r="J173" s="92" t="s">
        <v>273</v>
      </c>
      <c r="K173" s="92" t="s">
        <v>273</v>
      </c>
      <c r="L173" s="92" t="s">
        <v>274</v>
      </c>
      <c r="M173" s="92" t="s">
        <v>100</v>
      </c>
      <c r="N173" s="92" t="s">
        <v>100</v>
      </c>
      <c r="O173" s="92" t="s">
        <v>101</v>
      </c>
      <c r="P173" s="92" t="s">
        <v>296</v>
      </c>
      <c r="Q173" s="92" t="s">
        <v>770</v>
      </c>
      <c r="R173" s="92">
        <v>1</v>
      </c>
      <c r="S173" s="92">
        <v>206</v>
      </c>
      <c r="T173" s="9">
        <v>44110</v>
      </c>
      <c r="U173" s="9">
        <v>44150</v>
      </c>
    </row>
    <row r="174" spans="1:21" x14ac:dyDescent="0.2">
      <c r="A174" s="10" t="str">
        <f>HYPERLINK("http://www.ofsted.gov.uk/inspection-reports/find-inspection-report/provider/ELS/115908 ","Ofsted School Webpage")</f>
        <v>Ofsted School Webpage</v>
      </c>
      <c r="B174" s="92">
        <v>115908</v>
      </c>
      <c r="C174" s="92">
        <v>8502100</v>
      </c>
      <c r="D174" s="92" t="s">
        <v>771</v>
      </c>
      <c r="E174" s="92" t="s">
        <v>94</v>
      </c>
      <c r="F174" s="92" t="s">
        <v>269</v>
      </c>
      <c r="G174" s="92" t="s">
        <v>270</v>
      </c>
      <c r="H174" s="92" t="s">
        <v>271</v>
      </c>
      <c r="I174" s="92" t="s">
        <v>272</v>
      </c>
      <c r="J174" s="92" t="s">
        <v>273</v>
      </c>
      <c r="K174" s="92" t="s">
        <v>273</v>
      </c>
      <c r="L174" s="92" t="s">
        <v>274</v>
      </c>
      <c r="M174" s="92" t="s">
        <v>192</v>
      </c>
      <c r="N174" s="92" t="s">
        <v>192</v>
      </c>
      <c r="O174" s="92" t="s">
        <v>193</v>
      </c>
      <c r="P174" s="92" t="s">
        <v>281</v>
      </c>
      <c r="Q174" s="92" t="s">
        <v>772</v>
      </c>
      <c r="R174" s="92">
        <v>5</v>
      </c>
      <c r="S174" s="92">
        <v>328</v>
      </c>
      <c r="T174" s="9">
        <v>44110</v>
      </c>
      <c r="U174" s="9">
        <v>44154</v>
      </c>
    </row>
    <row r="175" spans="1:21" x14ac:dyDescent="0.2">
      <c r="A175" s="10" t="str">
        <f>HYPERLINK("http://www.ofsted.gov.uk/inspection-reports/find-inspection-report/provider/ELS/115602 ","Ofsted School Webpage")</f>
        <v>Ofsted School Webpage</v>
      </c>
      <c r="B175" s="92">
        <v>115602</v>
      </c>
      <c r="C175" s="92">
        <v>9162173</v>
      </c>
      <c r="D175" s="92" t="s">
        <v>773</v>
      </c>
      <c r="E175" s="92" t="s">
        <v>94</v>
      </c>
      <c r="F175" s="92" t="s">
        <v>269</v>
      </c>
      <c r="G175" s="92" t="s">
        <v>270</v>
      </c>
      <c r="H175" s="92" t="s">
        <v>271</v>
      </c>
      <c r="I175" s="92" t="s">
        <v>272</v>
      </c>
      <c r="J175" s="92" t="s">
        <v>273</v>
      </c>
      <c r="K175" s="92" t="s">
        <v>273</v>
      </c>
      <c r="L175" s="92" t="s">
        <v>274</v>
      </c>
      <c r="M175" s="92" t="s">
        <v>211</v>
      </c>
      <c r="N175" s="92" t="s">
        <v>211</v>
      </c>
      <c r="O175" s="92" t="s">
        <v>217</v>
      </c>
      <c r="P175" s="92" t="s">
        <v>774</v>
      </c>
      <c r="Q175" s="92" t="s">
        <v>775</v>
      </c>
      <c r="R175" s="92">
        <v>5</v>
      </c>
      <c r="S175" s="92">
        <v>188</v>
      </c>
      <c r="T175" s="9">
        <v>44110</v>
      </c>
      <c r="U175" s="9">
        <v>44144</v>
      </c>
    </row>
    <row r="176" spans="1:21" x14ac:dyDescent="0.2">
      <c r="A176" s="10" t="str">
        <f>HYPERLINK("http://www.ofsted.gov.uk/inspection-reports/find-inspection-report/provider/ELS/117259 ","Ofsted School Webpage")</f>
        <v>Ofsted School Webpage</v>
      </c>
      <c r="B176" s="92">
        <v>117259</v>
      </c>
      <c r="C176" s="92">
        <v>9192300</v>
      </c>
      <c r="D176" s="92" t="s">
        <v>776</v>
      </c>
      <c r="E176" s="92" t="s">
        <v>94</v>
      </c>
      <c r="F176" s="92" t="s">
        <v>269</v>
      </c>
      <c r="G176" s="92" t="s">
        <v>270</v>
      </c>
      <c r="H176" s="92" t="s">
        <v>271</v>
      </c>
      <c r="I176" s="92" t="s">
        <v>272</v>
      </c>
      <c r="J176" s="92" t="s">
        <v>273</v>
      </c>
      <c r="K176" s="92" t="s">
        <v>273</v>
      </c>
      <c r="L176" s="92" t="s">
        <v>274</v>
      </c>
      <c r="M176" s="92" t="s">
        <v>110</v>
      </c>
      <c r="N176" s="92" t="s">
        <v>110</v>
      </c>
      <c r="O176" s="92" t="s">
        <v>117</v>
      </c>
      <c r="P176" s="92" t="s">
        <v>777</v>
      </c>
      <c r="Q176" s="92" t="s">
        <v>778</v>
      </c>
      <c r="R176" s="92">
        <v>4</v>
      </c>
      <c r="S176" s="92">
        <v>237</v>
      </c>
      <c r="T176" s="9">
        <v>44110</v>
      </c>
      <c r="U176" s="9">
        <v>44150</v>
      </c>
    </row>
    <row r="177" spans="1:21" x14ac:dyDescent="0.2">
      <c r="A177" s="10" t="str">
        <f>HYPERLINK("http://www.ofsted.gov.uk/inspection-reports/find-inspection-report/provider/ELS/120887 ","Ofsted School Webpage")</f>
        <v>Ofsted School Webpage</v>
      </c>
      <c r="B177" s="92">
        <v>120887</v>
      </c>
      <c r="C177" s="92">
        <v>9262228</v>
      </c>
      <c r="D177" s="92" t="s">
        <v>779</v>
      </c>
      <c r="E177" s="92" t="s">
        <v>94</v>
      </c>
      <c r="F177" s="92" t="s">
        <v>269</v>
      </c>
      <c r="G177" s="92" t="s">
        <v>270</v>
      </c>
      <c r="H177" s="92" t="s">
        <v>271</v>
      </c>
      <c r="I177" s="92" t="s">
        <v>272</v>
      </c>
      <c r="J177" s="92" t="s">
        <v>273</v>
      </c>
      <c r="K177" s="92" t="s">
        <v>273</v>
      </c>
      <c r="L177" s="92" t="s">
        <v>274</v>
      </c>
      <c r="M177" s="92" t="s">
        <v>110</v>
      </c>
      <c r="N177" s="92" t="s">
        <v>110</v>
      </c>
      <c r="O177" s="92" t="s">
        <v>118</v>
      </c>
      <c r="P177" s="92" t="s">
        <v>780</v>
      </c>
      <c r="Q177" s="92" t="s">
        <v>781</v>
      </c>
      <c r="R177" s="92">
        <v>4</v>
      </c>
      <c r="S177" s="92">
        <v>53</v>
      </c>
      <c r="T177" s="9">
        <v>44110</v>
      </c>
      <c r="U177" s="9">
        <v>44146</v>
      </c>
    </row>
    <row r="178" spans="1:21" x14ac:dyDescent="0.2">
      <c r="A178" s="10" t="str">
        <f>HYPERLINK("http://www.ofsted.gov.uk/inspection-reports/find-inspection-report/provider/ELS/111039 ","Ofsted School Webpage")</f>
        <v>Ofsted School Webpage</v>
      </c>
      <c r="B178" s="92">
        <v>111039</v>
      </c>
      <c r="C178" s="92">
        <v>8952169</v>
      </c>
      <c r="D178" s="92" t="s">
        <v>782</v>
      </c>
      <c r="E178" s="92" t="s">
        <v>94</v>
      </c>
      <c r="F178" s="92" t="s">
        <v>269</v>
      </c>
      <c r="G178" s="92" t="s">
        <v>270</v>
      </c>
      <c r="H178" s="92" t="s">
        <v>271</v>
      </c>
      <c r="I178" s="92" t="s">
        <v>272</v>
      </c>
      <c r="J178" s="92" t="s">
        <v>273</v>
      </c>
      <c r="K178" s="92" t="s">
        <v>273</v>
      </c>
      <c r="L178" s="92" t="s">
        <v>274</v>
      </c>
      <c r="M178" s="92" t="s">
        <v>168</v>
      </c>
      <c r="N178" s="92" t="s">
        <v>168</v>
      </c>
      <c r="O178" s="92" t="s">
        <v>180</v>
      </c>
      <c r="P178" s="92" t="s">
        <v>783</v>
      </c>
      <c r="Q178" s="92" t="s">
        <v>784</v>
      </c>
      <c r="R178" s="92">
        <v>3</v>
      </c>
      <c r="S178" s="92">
        <v>212</v>
      </c>
      <c r="T178" s="9">
        <v>44110</v>
      </c>
      <c r="U178" s="9">
        <v>44158</v>
      </c>
    </row>
    <row r="179" spans="1:21" x14ac:dyDescent="0.2">
      <c r="A179" s="10" t="str">
        <f>HYPERLINK("http://www.ofsted.gov.uk/inspection-reports/find-inspection-report/provider/ELS/105003 ","Ofsted School Webpage")</f>
        <v>Ofsted School Webpage</v>
      </c>
      <c r="B179" s="92">
        <v>105003</v>
      </c>
      <c r="C179" s="92">
        <v>3442116</v>
      </c>
      <c r="D179" s="92" t="s">
        <v>785</v>
      </c>
      <c r="E179" s="92" t="s">
        <v>94</v>
      </c>
      <c r="F179" s="92" t="s">
        <v>269</v>
      </c>
      <c r="G179" s="92" t="s">
        <v>270</v>
      </c>
      <c r="H179" s="92" t="s">
        <v>271</v>
      </c>
      <c r="I179" s="92" t="s">
        <v>272</v>
      </c>
      <c r="J179" s="92" t="s">
        <v>273</v>
      </c>
      <c r="K179" s="92" t="s">
        <v>273</v>
      </c>
      <c r="L179" s="92" t="s">
        <v>274</v>
      </c>
      <c r="M179" s="92" t="s">
        <v>168</v>
      </c>
      <c r="N179" s="92" t="s">
        <v>168</v>
      </c>
      <c r="O179" s="92" t="s">
        <v>181</v>
      </c>
      <c r="P179" s="92" t="s">
        <v>786</v>
      </c>
      <c r="Q179" s="92" t="s">
        <v>787</v>
      </c>
      <c r="R179" s="92">
        <v>5</v>
      </c>
      <c r="S179" s="92">
        <v>93</v>
      </c>
      <c r="T179" s="9">
        <v>44110</v>
      </c>
      <c r="U179" s="9">
        <v>44158</v>
      </c>
    </row>
    <row r="180" spans="1:21" x14ac:dyDescent="0.2">
      <c r="A180" s="10" t="str">
        <f>HYPERLINK("http://www.ofsted.gov.uk/inspection-reports/find-inspection-report/provider/ELS/115175 ","Ofsted School Webpage")</f>
        <v>Ofsted School Webpage</v>
      </c>
      <c r="B180" s="92">
        <v>115175</v>
      </c>
      <c r="C180" s="92">
        <v>8813530</v>
      </c>
      <c r="D180" s="92" t="s">
        <v>788</v>
      </c>
      <c r="E180" s="92" t="s">
        <v>94</v>
      </c>
      <c r="F180" s="92" t="s">
        <v>351</v>
      </c>
      <c r="G180" s="92" t="s">
        <v>270</v>
      </c>
      <c r="H180" s="92" t="s">
        <v>271</v>
      </c>
      <c r="I180" s="92" t="s">
        <v>272</v>
      </c>
      <c r="J180" s="92" t="s">
        <v>346</v>
      </c>
      <c r="K180" s="92" t="s">
        <v>273</v>
      </c>
      <c r="L180" s="92" t="s">
        <v>347</v>
      </c>
      <c r="M180" s="92" t="s">
        <v>110</v>
      </c>
      <c r="N180" s="92" t="s">
        <v>110</v>
      </c>
      <c r="O180" s="92" t="s">
        <v>119</v>
      </c>
      <c r="P180" s="92" t="s">
        <v>737</v>
      </c>
      <c r="Q180" s="92" t="s">
        <v>789</v>
      </c>
      <c r="R180" s="92">
        <v>2</v>
      </c>
      <c r="S180" s="92">
        <v>208</v>
      </c>
      <c r="T180" s="9">
        <v>44110</v>
      </c>
      <c r="U180" s="9">
        <v>44154</v>
      </c>
    </row>
    <row r="181" spans="1:21" x14ac:dyDescent="0.2">
      <c r="A181" s="10" t="str">
        <f>HYPERLINK("http://www.ofsted.gov.uk/inspection-reports/find-inspection-report/provider/ELS/115705 ","Ofsted School Webpage")</f>
        <v>Ofsted School Webpage</v>
      </c>
      <c r="B181" s="92">
        <v>115705</v>
      </c>
      <c r="C181" s="92">
        <v>9163354</v>
      </c>
      <c r="D181" s="92" t="s">
        <v>790</v>
      </c>
      <c r="E181" s="92" t="s">
        <v>94</v>
      </c>
      <c r="F181" s="92" t="s">
        <v>351</v>
      </c>
      <c r="G181" s="92" t="s">
        <v>270</v>
      </c>
      <c r="H181" s="92" t="s">
        <v>271</v>
      </c>
      <c r="I181" s="92" t="s">
        <v>272</v>
      </c>
      <c r="J181" s="92" t="s">
        <v>352</v>
      </c>
      <c r="K181" s="92" t="s">
        <v>273</v>
      </c>
      <c r="L181" s="92" t="s">
        <v>347</v>
      </c>
      <c r="M181" s="92" t="s">
        <v>211</v>
      </c>
      <c r="N181" s="92" t="s">
        <v>211</v>
      </c>
      <c r="O181" s="92" t="s">
        <v>217</v>
      </c>
      <c r="P181" s="92" t="s">
        <v>382</v>
      </c>
      <c r="Q181" s="92" t="s">
        <v>791</v>
      </c>
      <c r="R181" s="92">
        <v>1</v>
      </c>
      <c r="S181" s="92">
        <v>122</v>
      </c>
      <c r="T181" s="9">
        <v>44110</v>
      </c>
      <c r="U181" s="9">
        <v>44146</v>
      </c>
    </row>
    <row r="182" spans="1:21" x14ac:dyDescent="0.2">
      <c r="A182" s="10" t="str">
        <f>HYPERLINK("http://www.ofsted.gov.uk/inspection-reports/find-inspection-report/provider/ELS/104926 ","Ofsted School Webpage")</f>
        <v>Ofsted School Webpage</v>
      </c>
      <c r="B182" s="92">
        <v>104926</v>
      </c>
      <c r="C182" s="92">
        <v>3433353</v>
      </c>
      <c r="D182" s="92" t="s">
        <v>792</v>
      </c>
      <c r="E182" s="92" t="s">
        <v>94</v>
      </c>
      <c r="F182" s="92" t="s">
        <v>351</v>
      </c>
      <c r="G182" s="9" t="s">
        <v>270</v>
      </c>
      <c r="H182" s="92" t="s">
        <v>271</v>
      </c>
      <c r="I182" s="92" t="s">
        <v>272</v>
      </c>
      <c r="J182" s="92" t="s">
        <v>352</v>
      </c>
      <c r="K182" s="92" t="s">
        <v>273</v>
      </c>
      <c r="L182" s="92" t="s">
        <v>347</v>
      </c>
      <c r="M182" s="92" t="s">
        <v>168</v>
      </c>
      <c r="N182" s="92" t="s">
        <v>168</v>
      </c>
      <c r="O182" s="92" t="s">
        <v>183</v>
      </c>
      <c r="P182" s="92" t="s">
        <v>793</v>
      </c>
      <c r="Q182" s="92" t="s">
        <v>794</v>
      </c>
      <c r="R182" s="92">
        <v>2</v>
      </c>
      <c r="S182" s="92">
        <v>731</v>
      </c>
      <c r="T182" s="9">
        <v>44110</v>
      </c>
      <c r="U182" s="9">
        <v>44161</v>
      </c>
    </row>
    <row r="183" spans="1:21" x14ac:dyDescent="0.2">
      <c r="A183" s="10" t="str">
        <f>HYPERLINK("http://www.ofsted.gov.uk/inspection-reports/find-inspection-report/provider/ELS/119599 ","Ofsted School Webpage")</f>
        <v>Ofsted School Webpage</v>
      </c>
      <c r="B183" s="92">
        <v>119599</v>
      </c>
      <c r="C183" s="92">
        <v>8903626</v>
      </c>
      <c r="D183" s="92" t="s">
        <v>795</v>
      </c>
      <c r="E183" s="92" t="s">
        <v>94</v>
      </c>
      <c r="F183" s="92" t="s">
        <v>351</v>
      </c>
      <c r="G183" s="92" t="s">
        <v>270</v>
      </c>
      <c r="H183" s="92" t="s">
        <v>271</v>
      </c>
      <c r="I183" s="92" t="s">
        <v>272</v>
      </c>
      <c r="J183" s="92" t="s">
        <v>352</v>
      </c>
      <c r="K183" s="92" t="s">
        <v>273</v>
      </c>
      <c r="L183" s="92" t="s">
        <v>347</v>
      </c>
      <c r="M183" s="92" t="s">
        <v>168</v>
      </c>
      <c r="N183" s="92" t="s">
        <v>168</v>
      </c>
      <c r="O183" s="92" t="s">
        <v>177</v>
      </c>
      <c r="P183" s="92" t="s">
        <v>481</v>
      </c>
      <c r="Q183" s="92" t="s">
        <v>796</v>
      </c>
      <c r="R183" s="92">
        <v>5</v>
      </c>
      <c r="S183" s="92">
        <v>208</v>
      </c>
      <c r="T183" s="9">
        <v>44110</v>
      </c>
      <c r="U183" s="9">
        <v>44152</v>
      </c>
    </row>
    <row r="184" spans="1:21" x14ac:dyDescent="0.2">
      <c r="A184" s="10" t="str">
        <f>HYPERLINK("http://www.ofsted.gov.uk/inspection-reports/find-inspection-report/provider/ELS/101364 ","Ofsted School Webpage")</f>
        <v>Ofsted School Webpage</v>
      </c>
      <c r="B184" s="92">
        <v>101364</v>
      </c>
      <c r="C184" s="92">
        <v>3025407</v>
      </c>
      <c r="D184" s="92" t="s">
        <v>797</v>
      </c>
      <c r="E184" s="92" t="s">
        <v>95</v>
      </c>
      <c r="F184" s="92" t="s">
        <v>351</v>
      </c>
      <c r="G184" s="92" t="s">
        <v>270</v>
      </c>
      <c r="H184" s="92" t="s">
        <v>299</v>
      </c>
      <c r="I184" s="92" t="s">
        <v>300</v>
      </c>
      <c r="J184" s="92" t="s">
        <v>352</v>
      </c>
      <c r="K184" s="92" t="s">
        <v>273</v>
      </c>
      <c r="L184" s="92" t="s">
        <v>347</v>
      </c>
      <c r="M184" s="92" t="s">
        <v>122</v>
      </c>
      <c r="N184" s="92" t="s">
        <v>122</v>
      </c>
      <c r="O184" s="92" t="s">
        <v>136</v>
      </c>
      <c r="P184" s="92" t="s">
        <v>798</v>
      </c>
      <c r="Q184" s="92" t="s">
        <v>799</v>
      </c>
      <c r="R184" s="92">
        <v>4</v>
      </c>
      <c r="S184" s="92">
        <v>1151</v>
      </c>
      <c r="T184" s="9">
        <v>44110</v>
      </c>
      <c r="U184" s="9">
        <v>44159</v>
      </c>
    </row>
    <row r="185" spans="1:21" x14ac:dyDescent="0.2">
      <c r="A185" s="10" t="str">
        <f>HYPERLINK("http://www.ofsted.gov.uk/inspection-reports/find-inspection-report/provider/ELS/104833 ","Ofsted School Webpage")</f>
        <v>Ofsted School Webpage</v>
      </c>
      <c r="B185" s="92">
        <v>104833</v>
      </c>
      <c r="C185" s="92">
        <v>3424713</v>
      </c>
      <c r="D185" s="92" t="s">
        <v>800</v>
      </c>
      <c r="E185" s="92" t="s">
        <v>95</v>
      </c>
      <c r="F185" s="92" t="s">
        <v>351</v>
      </c>
      <c r="G185" s="9">
        <v>33522</v>
      </c>
      <c r="H185" s="92" t="s">
        <v>299</v>
      </c>
      <c r="I185" s="92" t="s">
        <v>272</v>
      </c>
      <c r="J185" s="92" t="s">
        <v>352</v>
      </c>
      <c r="K185" s="92" t="s">
        <v>273</v>
      </c>
      <c r="L185" s="92" t="s">
        <v>347</v>
      </c>
      <c r="M185" s="92" t="s">
        <v>168</v>
      </c>
      <c r="N185" s="92" t="s">
        <v>168</v>
      </c>
      <c r="O185" s="92" t="s">
        <v>182</v>
      </c>
      <c r="P185" s="92" t="s">
        <v>801</v>
      </c>
      <c r="Q185" s="92" t="s">
        <v>802</v>
      </c>
      <c r="R185" s="92">
        <v>5</v>
      </c>
      <c r="S185" s="92">
        <v>569</v>
      </c>
      <c r="T185" s="9">
        <v>44110</v>
      </c>
      <c r="U185" s="9">
        <v>44157</v>
      </c>
    </row>
    <row r="186" spans="1:21" x14ac:dyDescent="0.2">
      <c r="A186" s="10" t="str">
        <f>HYPERLINK("http://www.ofsted.gov.uk/inspection-reports/find-inspection-report/provider/ELS/114577 ","Ofsted School Webpage")</f>
        <v>Ofsted School Webpage</v>
      </c>
      <c r="B186" s="92">
        <v>114577</v>
      </c>
      <c r="C186" s="92">
        <v>8453362</v>
      </c>
      <c r="D186" s="92" t="s">
        <v>803</v>
      </c>
      <c r="E186" s="92" t="s">
        <v>94</v>
      </c>
      <c r="F186" s="92" t="s">
        <v>351</v>
      </c>
      <c r="G186" s="92" t="s">
        <v>270</v>
      </c>
      <c r="H186" s="92" t="s">
        <v>271</v>
      </c>
      <c r="I186" s="92" t="s">
        <v>272</v>
      </c>
      <c r="J186" s="92" t="s">
        <v>352</v>
      </c>
      <c r="K186" s="92" t="s">
        <v>273</v>
      </c>
      <c r="L186" s="92" t="s">
        <v>347</v>
      </c>
      <c r="M186" s="92" t="s">
        <v>192</v>
      </c>
      <c r="N186" s="92" t="s">
        <v>192</v>
      </c>
      <c r="O186" s="92" t="s">
        <v>203</v>
      </c>
      <c r="P186" s="92" t="s">
        <v>804</v>
      </c>
      <c r="Q186" s="92" t="s">
        <v>805</v>
      </c>
      <c r="R186" s="92">
        <v>4</v>
      </c>
      <c r="S186" s="92">
        <v>475</v>
      </c>
      <c r="T186" s="9">
        <v>44110</v>
      </c>
      <c r="U186" s="9">
        <v>44146</v>
      </c>
    </row>
    <row r="187" spans="1:21" x14ac:dyDescent="0.2">
      <c r="A187" s="10" t="str">
        <f>HYPERLINK("http://www.ofsted.gov.uk/inspection-reports/find-inspection-report/provider/ELS/130327 ","Ofsted School Webpage")</f>
        <v>Ofsted School Webpage</v>
      </c>
      <c r="B187" s="92">
        <v>130327</v>
      </c>
      <c r="C187" s="92">
        <v>3513351</v>
      </c>
      <c r="D187" s="92" t="s">
        <v>806</v>
      </c>
      <c r="E187" s="92" t="s">
        <v>94</v>
      </c>
      <c r="F187" s="92" t="s">
        <v>351</v>
      </c>
      <c r="G187" s="9">
        <v>34942</v>
      </c>
      <c r="H187" s="92" t="s">
        <v>271</v>
      </c>
      <c r="I187" s="92" t="s">
        <v>272</v>
      </c>
      <c r="J187" s="92" t="s">
        <v>346</v>
      </c>
      <c r="K187" s="92" t="s">
        <v>273</v>
      </c>
      <c r="L187" s="92" t="s">
        <v>347</v>
      </c>
      <c r="M187" s="92" t="s">
        <v>168</v>
      </c>
      <c r="N187" s="92" t="s">
        <v>168</v>
      </c>
      <c r="O187" s="92" t="s">
        <v>184</v>
      </c>
      <c r="P187" s="92" t="s">
        <v>807</v>
      </c>
      <c r="Q187" s="92" t="s">
        <v>808</v>
      </c>
      <c r="R187" s="92">
        <v>4</v>
      </c>
      <c r="S187" s="92">
        <v>285</v>
      </c>
      <c r="T187" s="9">
        <v>44110</v>
      </c>
      <c r="U187" s="9">
        <v>44158</v>
      </c>
    </row>
    <row r="188" spans="1:21" x14ac:dyDescent="0.2">
      <c r="A188" s="10" t="str">
        <f>HYPERLINK("http://www.ofsted.gov.uk/inspection-reports/find-inspection-report/provider/ELS/110785 ","Ofsted School Webpage")</f>
        <v>Ofsted School Webpage</v>
      </c>
      <c r="B188" s="92">
        <v>110785</v>
      </c>
      <c r="C188" s="92">
        <v>8733009</v>
      </c>
      <c r="D188" s="92" t="s">
        <v>809</v>
      </c>
      <c r="E188" s="92" t="s">
        <v>94</v>
      </c>
      <c r="F188" s="92" t="s">
        <v>345</v>
      </c>
      <c r="G188" s="92" t="s">
        <v>270</v>
      </c>
      <c r="H188" s="92" t="s">
        <v>271</v>
      </c>
      <c r="I188" s="92" t="s">
        <v>272</v>
      </c>
      <c r="J188" s="92" t="s">
        <v>346</v>
      </c>
      <c r="K188" s="92" t="s">
        <v>273</v>
      </c>
      <c r="L188" s="92" t="s">
        <v>347</v>
      </c>
      <c r="M188" s="92" t="s">
        <v>110</v>
      </c>
      <c r="N188" s="92" t="s">
        <v>110</v>
      </c>
      <c r="O188" s="92" t="s">
        <v>112</v>
      </c>
      <c r="P188" s="92" t="s">
        <v>810</v>
      </c>
      <c r="Q188" s="92" t="s">
        <v>811</v>
      </c>
      <c r="R188" s="92">
        <v>1</v>
      </c>
      <c r="S188" s="92">
        <v>135</v>
      </c>
      <c r="T188" s="9">
        <v>44110</v>
      </c>
      <c r="U188" s="9">
        <v>44147</v>
      </c>
    </row>
    <row r="189" spans="1:21" x14ac:dyDescent="0.2">
      <c r="A189" s="10" t="str">
        <f>HYPERLINK("http://www.ofsted.gov.uk/inspection-reports/find-inspection-report/provider/ELS/111385 ","Ofsted School Webpage")</f>
        <v>Ofsted School Webpage</v>
      </c>
      <c r="B189" s="92">
        <v>111385</v>
      </c>
      <c r="C189" s="92">
        <v>8773642</v>
      </c>
      <c r="D189" s="92" t="s">
        <v>812</v>
      </c>
      <c r="E189" s="92" t="s">
        <v>94</v>
      </c>
      <c r="F189" s="92" t="s">
        <v>351</v>
      </c>
      <c r="G189" s="92" t="s">
        <v>270</v>
      </c>
      <c r="H189" s="92" t="s">
        <v>271</v>
      </c>
      <c r="I189" s="92" t="s">
        <v>272</v>
      </c>
      <c r="J189" s="92" t="s">
        <v>346</v>
      </c>
      <c r="K189" s="92" t="s">
        <v>273</v>
      </c>
      <c r="L189" s="92" t="s">
        <v>347</v>
      </c>
      <c r="M189" s="92" t="s">
        <v>168</v>
      </c>
      <c r="N189" s="92" t="s">
        <v>168</v>
      </c>
      <c r="O189" s="92" t="s">
        <v>185</v>
      </c>
      <c r="P189" s="92" t="s">
        <v>813</v>
      </c>
      <c r="Q189" s="92" t="s">
        <v>814</v>
      </c>
      <c r="R189" s="92">
        <v>1</v>
      </c>
      <c r="S189" s="92">
        <v>547</v>
      </c>
      <c r="T189" s="9">
        <v>44110</v>
      </c>
      <c r="U189" s="9">
        <v>44154</v>
      </c>
    </row>
    <row r="190" spans="1:21" x14ac:dyDescent="0.2">
      <c r="A190" s="10" t="str">
        <f>HYPERLINK("http://www.ofsted.gov.uk/inspection-reports/find-inspection-report/provider/ELS/121473 ","Ofsted School Webpage")</f>
        <v>Ofsted School Webpage</v>
      </c>
      <c r="B190" s="92">
        <v>121473</v>
      </c>
      <c r="C190" s="92">
        <v>8163002</v>
      </c>
      <c r="D190" s="92" t="s">
        <v>815</v>
      </c>
      <c r="E190" s="92" t="s">
        <v>94</v>
      </c>
      <c r="F190" s="92" t="s">
        <v>345</v>
      </c>
      <c r="G190" s="9" t="s">
        <v>270</v>
      </c>
      <c r="H190" s="92" t="s">
        <v>271</v>
      </c>
      <c r="I190" s="92" t="s">
        <v>272</v>
      </c>
      <c r="J190" s="92" t="s">
        <v>346</v>
      </c>
      <c r="K190" s="92" t="s">
        <v>273</v>
      </c>
      <c r="L190" s="92" t="s">
        <v>347</v>
      </c>
      <c r="M190" s="92" t="s">
        <v>261</v>
      </c>
      <c r="N190" s="92" t="s">
        <v>241</v>
      </c>
      <c r="O190" s="92" t="s">
        <v>245</v>
      </c>
      <c r="P190" s="92" t="s">
        <v>417</v>
      </c>
      <c r="Q190" s="92" t="s">
        <v>816</v>
      </c>
      <c r="R190" s="92">
        <v>3</v>
      </c>
      <c r="S190" s="92">
        <v>154</v>
      </c>
      <c r="T190" s="9">
        <v>44110</v>
      </c>
      <c r="U190" s="9">
        <v>44146</v>
      </c>
    </row>
    <row r="191" spans="1:21" x14ac:dyDescent="0.2">
      <c r="A191" s="10" t="str">
        <f>HYPERLINK("http://www.ofsted.gov.uk/inspection-reports/find-inspection-report/provider/ELS/109406 ","Ofsted School Webpage")</f>
        <v>Ofsted School Webpage</v>
      </c>
      <c r="B191" s="92">
        <v>109406</v>
      </c>
      <c r="C191" s="92">
        <v>8027036</v>
      </c>
      <c r="D191" s="92" t="s">
        <v>817</v>
      </c>
      <c r="E191" s="92" t="s">
        <v>96</v>
      </c>
      <c r="F191" s="92" t="s">
        <v>610</v>
      </c>
      <c r="G191" s="92" t="s">
        <v>270</v>
      </c>
      <c r="H191" s="92" t="s">
        <v>271</v>
      </c>
      <c r="I191" s="92" t="s">
        <v>300</v>
      </c>
      <c r="J191" s="92" t="s">
        <v>273</v>
      </c>
      <c r="K191" s="92" t="s">
        <v>273</v>
      </c>
      <c r="L191" s="92" t="s">
        <v>274</v>
      </c>
      <c r="M191" s="92" t="s">
        <v>211</v>
      </c>
      <c r="N191" s="92" t="s">
        <v>211</v>
      </c>
      <c r="O191" s="92" t="s">
        <v>222</v>
      </c>
      <c r="P191" s="92" t="s">
        <v>818</v>
      </c>
      <c r="Q191" s="92" t="s">
        <v>819</v>
      </c>
      <c r="R191" s="92">
        <v>3</v>
      </c>
      <c r="S191" s="92">
        <v>152</v>
      </c>
      <c r="T191" s="9">
        <v>44110</v>
      </c>
      <c r="U191" s="9">
        <v>44147</v>
      </c>
    </row>
    <row r="192" spans="1:21" x14ac:dyDescent="0.2">
      <c r="A192" s="10" t="str">
        <f>HYPERLINK("http://www.ofsted.gov.uk/inspection-reports/find-inspection-report/provider/ELS/137596 ","Ofsted School Webpage")</f>
        <v>Ofsted School Webpage</v>
      </c>
      <c r="B192" s="92">
        <v>137596</v>
      </c>
      <c r="C192" s="92">
        <v>3731100</v>
      </c>
      <c r="D192" s="92" t="s">
        <v>820</v>
      </c>
      <c r="E192" s="92" t="s">
        <v>98</v>
      </c>
      <c r="F192" s="92" t="s">
        <v>405</v>
      </c>
      <c r="G192" s="9">
        <v>40840</v>
      </c>
      <c r="H192" s="92" t="s">
        <v>271</v>
      </c>
      <c r="I192" s="92" t="s">
        <v>271</v>
      </c>
      <c r="J192" s="92" t="s">
        <v>273</v>
      </c>
      <c r="K192" s="92" t="s">
        <v>273</v>
      </c>
      <c r="L192" s="92" t="s">
        <v>274</v>
      </c>
      <c r="M192" s="92" t="s">
        <v>261</v>
      </c>
      <c r="N192" s="92" t="s">
        <v>241</v>
      </c>
      <c r="O192" s="92" t="s">
        <v>249</v>
      </c>
      <c r="P192" s="92" t="s">
        <v>821</v>
      </c>
      <c r="Q192" s="92" t="s">
        <v>822</v>
      </c>
      <c r="R192" s="92">
        <v>5</v>
      </c>
      <c r="S192" s="92">
        <v>226</v>
      </c>
      <c r="T192" s="9">
        <v>44110</v>
      </c>
      <c r="U192" s="9">
        <v>44158</v>
      </c>
    </row>
    <row r="193" spans="1:21" x14ac:dyDescent="0.2">
      <c r="A193" s="10" t="str">
        <f>HYPERLINK("http://www.ofsted.gov.uk/inspection-reports/find-inspection-report/provider/ELS/135911 ","Ofsted School Webpage")</f>
        <v>Ofsted School Webpage</v>
      </c>
      <c r="B193" s="92">
        <v>135911</v>
      </c>
      <c r="C193" s="92">
        <v>3306907</v>
      </c>
      <c r="D193" s="92" t="s">
        <v>823</v>
      </c>
      <c r="E193" s="92" t="s">
        <v>95</v>
      </c>
      <c r="F193" s="92" t="s">
        <v>409</v>
      </c>
      <c r="G193" s="9">
        <v>40057</v>
      </c>
      <c r="H193" s="92" t="s">
        <v>299</v>
      </c>
      <c r="I193" s="92" t="s">
        <v>300</v>
      </c>
      <c r="J193" s="92" t="s">
        <v>273</v>
      </c>
      <c r="K193" s="92" t="s">
        <v>410</v>
      </c>
      <c r="L193" s="92" t="s">
        <v>274</v>
      </c>
      <c r="M193" s="92" t="s">
        <v>226</v>
      </c>
      <c r="N193" s="92" t="s">
        <v>226</v>
      </c>
      <c r="O193" s="92" t="s">
        <v>232</v>
      </c>
      <c r="P193" s="92" t="s">
        <v>824</v>
      </c>
      <c r="Q193" s="92" t="s">
        <v>825</v>
      </c>
      <c r="R193" s="92">
        <v>5</v>
      </c>
      <c r="S193" s="92">
        <v>940</v>
      </c>
      <c r="T193" s="9">
        <v>44110</v>
      </c>
      <c r="U193" s="9">
        <v>44144</v>
      </c>
    </row>
    <row r="194" spans="1:21" x14ac:dyDescent="0.2">
      <c r="A194" s="10" t="str">
        <f>HYPERLINK("http://www.ofsted.gov.uk/inspection-reports/find-inspection-report/provider/ELS/104278 ","Ofsted School Webpage")</f>
        <v>Ofsted School Webpage</v>
      </c>
      <c r="B194" s="92">
        <v>104278</v>
      </c>
      <c r="C194" s="92">
        <v>3361002</v>
      </c>
      <c r="D194" s="92" t="s">
        <v>826</v>
      </c>
      <c r="E194" s="92" t="s">
        <v>93</v>
      </c>
      <c r="F194" s="92" t="s">
        <v>592</v>
      </c>
      <c r="G194" s="9" t="s">
        <v>270</v>
      </c>
      <c r="H194" s="92" t="s">
        <v>271</v>
      </c>
      <c r="I194" s="92" t="s">
        <v>271</v>
      </c>
      <c r="J194" s="92" t="s">
        <v>273</v>
      </c>
      <c r="K194" s="92" t="s">
        <v>273</v>
      </c>
      <c r="L194" s="92" t="s">
        <v>274</v>
      </c>
      <c r="M194" s="92" t="s">
        <v>226</v>
      </c>
      <c r="N194" s="92" t="s">
        <v>226</v>
      </c>
      <c r="O194" s="92" t="s">
        <v>231</v>
      </c>
      <c r="P194" s="92" t="s">
        <v>683</v>
      </c>
      <c r="Q194" s="92" t="s">
        <v>827</v>
      </c>
      <c r="R194" s="92">
        <v>5</v>
      </c>
      <c r="S194" s="92">
        <v>168</v>
      </c>
      <c r="T194" s="9">
        <v>44110</v>
      </c>
      <c r="U194" s="9">
        <v>44150</v>
      </c>
    </row>
    <row r="195" spans="1:21" x14ac:dyDescent="0.2">
      <c r="A195" s="10" t="str">
        <f>HYPERLINK("http://www.ofsted.gov.uk/inspection-reports/find-inspection-report/provider/ELS/105384 ","Ofsted School Webpage")</f>
        <v>Ofsted School Webpage</v>
      </c>
      <c r="B195" s="92">
        <v>105384</v>
      </c>
      <c r="C195" s="92">
        <v>3521007</v>
      </c>
      <c r="D195" s="92" t="s">
        <v>828</v>
      </c>
      <c r="E195" s="92" t="s">
        <v>93</v>
      </c>
      <c r="F195" s="92" t="s">
        <v>592</v>
      </c>
      <c r="G195" s="9" t="s">
        <v>270</v>
      </c>
      <c r="H195" s="92" t="s">
        <v>271</v>
      </c>
      <c r="I195" s="92" t="s">
        <v>271</v>
      </c>
      <c r="J195" s="92" t="s">
        <v>273</v>
      </c>
      <c r="K195" s="92" t="s">
        <v>273</v>
      </c>
      <c r="L195" s="92" t="s">
        <v>274</v>
      </c>
      <c r="M195" s="92" t="s">
        <v>168</v>
      </c>
      <c r="N195" s="92" t="s">
        <v>168</v>
      </c>
      <c r="O195" s="92" t="s">
        <v>171</v>
      </c>
      <c r="P195" s="92" t="s">
        <v>653</v>
      </c>
      <c r="Q195" s="92" t="s">
        <v>829</v>
      </c>
      <c r="R195" s="92">
        <v>5</v>
      </c>
      <c r="S195" s="92">
        <v>98</v>
      </c>
      <c r="T195" s="9">
        <v>44110</v>
      </c>
      <c r="U195" s="9">
        <v>44153</v>
      </c>
    </row>
    <row r="196" spans="1:21" x14ac:dyDescent="0.2">
      <c r="A196" s="10" t="str">
        <f>HYPERLINK("http://www.ofsted.gov.uk/inspection-reports/find-inspection-report/provider/ELS/123435 ","Ofsted School Webpage")</f>
        <v>Ofsted School Webpage</v>
      </c>
      <c r="B196" s="92">
        <v>123435</v>
      </c>
      <c r="C196" s="92">
        <v>8945203</v>
      </c>
      <c r="D196" s="92" t="s">
        <v>830</v>
      </c>
      <c r="E196" s="92" t="s">
        <v>94</v>
      </c>
      <c r="F196" s="92" t="s">
        <v>397</v>
      </c>
      <c r="G196" s="9" t="s">
        <v>270</v>
      </c>
      <c r="H196" s="92" t="s">
        <v>271</v>
      </c>
      <c r="I196" s="92" t="s">
        <v>272</v>
      </c>
      <c r="J196" s="92" t="s">
        <v>410</v>
      </c>
      <c r="K196" s="92" t="s">
        <v>273</v>
      </c>
      <c r="L196" s="92" t="s">
        <v>274</v>
      </c>
      <c r="M196" s="92" t="s">
        <v>226</v>
      </c>
      <c r="N196" s="92" t="s">
        <v>226</v>
      </c>
      <c r="O196" s="92" t="s">
        <v>239</v>
      </c>
      <c r="P196" s="92" t="s">
        <v>831</v>
      </c>
      <c r="Q196" s="92" t="s">
        <v>832</v>
      </c>
      <c r="R196" s="92">
        <v>2</v>
      </c>
      <c r="S196" s="92">
        <v>279</v>
      </c>
      <c r="T196" s="9">
        <v>44110</v>
      </c>
      <c r="U196" s="9">
        <v>44143</v>
      </c>
    </row>
    <row r="197" spans="1:21" x14ac:dyDescent="0.2">
      <c r="A197" s="10" t="str">
        <f>HYPERLINK("http://www.ofsted.gov.uk/inspection-reports/find-inspection-report/provider/ELS/118796 ","Ofsted School Webpage")</f>
        <v>Ofsted School Webpage</v>
      </c>
      <c r="B197" s="92">
        <v>118796</v>
      </c>
      <c r="C197" s="92">
        <v>8864065</v>
      </c>
      <c r="D197" s="92" t="s">
        <v>833</v>
      </c>
      <c r="E197" s="92" t="s">
        <v>95</v>
      </c>
      <c r="F197" s="92" t="s">
        <v>397</v>
      </c>
      <c r="G197" s="9">
        <v>1</v>
      </c>
      <c r="H197" s="92" t="s">
        <v>299</v>
      </c>
      <c r="I197" s="92" t="s">
        <v>300</v>
      </c>
      <c r="J197" s="92" t="s">
        <v>410</v>
      </c>
      <c r="K197" s="92" t="s">
        <v>273</v>
      </c>
      <c r="L197" s="92" t="s">
        <v>274</v>
      </c>
      <c r="M197" s="92" t="s">
        <v>192</v>
      </c>
      <c r="N197" s="92" t="s">
        <v>192</v>
      </c>
      <c r="O197" s="92" t="s">
        <v>194</v>
      </c>
      <c r="P197" s="92" t="s">
        <v>834</v>
      </c>
      <c r="Q197" s="92" t="s">
        <v>835</v>
      </c>
      <c r="R197" s="92">
        <v>3</v>
      </c>
      <c r="S197" s="92">
        <v>502</v>
      </c>
      <c r="T197" s="9">
        <v>44110</v>
      </c>
      <c r="U197" s="9">
        <v>44147</v>
      </c>
    </row>
    <row r="198" spans="1:21" x14ac:dyDescent="0.2">
      <c r="A198" s="10" t="str">
        <f>HYPERLINK("http://www.ofsted.gov.uk/inspection-reports/find-inspection-report/provider/ELS/139402 ","Ofsted School Webpage")</f>
        <v>Ofsted School Webpage</v>
      </c>
      <c r="B198" s="92">
        <v>139402</v>
      </c>
      <c r="C198" s="92">
        <v>8814010</v>
      </c>
      <c r="D198" s="92" t="s">
        <v>836</v>
      </c>
      <c r="E198" s="92" t="s">
        <v>95</v>
      </c>
      <c r="F198" s="92" t="s">
        <v>409</v>
      </c>
      <c r="G198" s="9">
        <v>41365</v>
      </c>
      <c r="H198" s="92" t="s">
        <v>299</v>
      </c>
      <c r="I198" s="92" t="s">
        <v>272</v>
      </c>
      <c r="J198" s="92" t="s">
        <v>273</v>
      </c>
      <c r="K198" s="92" t="s">
        <v>410</v>
      </c>
      <c r="L198" s="92" t="s">
        <v>274</v>
      </c>
      <c r="M198" s="92" t="s">
        <v>110</v>
      </c>
      <c r="N198" s="92" t="s">
        <v>110</v>
      </c>
      <c r="O198" s="92" t="s">
        <v>119</v>
      </c>
      <c r="P198" s="92" t="s">
        <v>837</v>
      </c>
      <c r="Q198" s="92" t="s">
        <v>838</v>
      </c>
      <c r="R198" s="92">
        <v>3</v>
      </c>
      <c r="S198" s="92">
        <v>848</v>
      </c>
      <c r="T198" s="9">
        <v>44110</v>
      </c>
      <c r="U198" s="9">
        <v>44159</v>
      </c>
    </row>
    <row r="199" spans="1:21" x14ac:dyDescent="0.2">
      <c r="A199" s="10" t="str">
        <f>HYPERLINK("http://www.ofsted.gov.uk/inspection-reports/find-inspection-report/provider/ELS/100316 ","Ofsted School Webpage")</f>
        <v>Ofsted School Webpage</v>
      </c>
      <c r="B199" s="92">
        <v>100316</v>
      </c>
      <c r="C199" s="92">
        <v>2051039</v>
      </c>
      <c r="D199" s="92" t="s">
        <v>839</v>
      </c>
      <c r="E199" s="92" t="s">
        <v>93</v>
      </c>
      <c r="F199" s="92" t="s">
        <v>592</v>
      </c>
      <c r="G199" s="92" t="s">
        <v>270</v>
      </c>
      <c r="H199" s="92" t="s">
        <v>271</v>
      </c>
      <c r="I199" s="92" t="s">
        <v>271</v>
      </c>
      <c r="J199" s="92" t="s">
        <v>273</v>
      </c>
      <c r="K199" s="92" t="s">
        <v>273</v>
      </c>
      <c r="L199" s="92" t="s">
        <v>274</v>
      </c>
      <c r="M199" s="92" t="s">
        <v>122</v>
      </c>
      <c r="N199" s="92" t="s">
        <v>122</v>
      </c>
      <c r="O199" s="92" t="s">
        <v>137</v>
      </c>
      <c r="P199" s="92" t="s">
        <v>840</v>
      </c>
      <c r="Q199" s="92" t="s">
        <v>841</v>
      </c>
      <c r="R199" s="92">
        <v>3</v>
      </c>
      <c r="S199" s="92">
        <v>98</v>
      </c>
      <c r="T199" s="9">
        <v>44110</v>
      </c>
      <c r="U199" s="9">
        <v>44160</v>
      </c>
    </row>
    <row r="200" spans="1:21" x14ac:dyDescent="0.2">
      <c r="A200" s="10" t="str">
        <f>HYPERLINK("http://www.ofsted.gov.uk/inspection-reports/find-inspection-report/provider/ELS/138559 ","Ofsted School Webpage")</f>
        <v>Ofsted School Webpage</v>
      </c>
      <c r="B200" s="92">
        <v>138559</v>
      </c>
      <c r="C200" s="92">
        <v>8062005</v>
      </c>
      <c r="D200" s="92" t="s">
        <v>842</v>
      </c>
      <c r="E200" s="92" t="s">
        <v>94</v>
      </c>
      <c r="F200" s="92" t="s">
        <v>429</v>
      </c>
      <c r="G200" s="9">
        <v>41153</v>
      </c>
      <c r="H200" s="92" t="s">
        <v>271</v>
      </c>
      <c r="I200" s="92" t="s">
        <v>271</v>
      </c>
      <c r="J200" s="92" t="s">
        <v>410</v>
      </c>
      <c r="K200" s="92" t="s">
        <v>410</v>
      </c>
      <c r="L200" s="92" t="s">
        <v>274</v>
      </c>
      <c r="M200" s="92" t="s">
        <v>261</v>
      </c>
      <c r="N200" s="92" t="s">
        <v>155</v>
      </c>
      <c r="O200" s="92" t="s">
        <v>162</v>
      </c>
      <c r="P200" s="92" t="s">
        <v>162</v>
      </c>
      <c r="Q200" s="92" t="s">
        <v>843</v>
      </c>
      <c r="R200" s="92">
        <v>5</v>
      </c>
      <c r="S200" s="92">
        <v>321</v>
      </c>
      <c r="T200" s="9">
        <v>44110</v>
      </c>
      <c r="U200" s="9">
        <v>44157</v>
      </c>
    </row>
    <row r="201" spans="1:21" x14ac:dyDescent="0.2">
      <c r="A201" s="10" t="str">
        <f>HYPERLINK("http://www.ofsted.gov.uk/inspection-reports/find-inspection-report/provider/ELS/139852 ","Ofsted School Webpage")</f>
        <v>Ofsted School Webpage</v>
      </c>
      <c r="B201" s="92">
        <v>139852</v>
      </c>
      <c r="C201" s="92">
        <v>3944037</v>
      </c>
      <c r="D201" s="92" t="s">
        <v>844</v>
      </c>
      <c r="E201" s="92" t="s">
        <v>95</v>
      </c>
      <c r="F201" s="92" t="s">
        <v>429</v>
      </c>
      <c r="G201" s="9">
        <v>41456</v>
      </c>
      <c r="H201" s="92" t="s">
        <v>299</v>
      </c>
      <c r="I201" s="92" t="s">
        <v>272</v>
      </c>
      <c r="J201" s="92" t="s">
        <v>273</v>
      </c>
      <c r="K201" s="92" t="s">
        <v>273</v>
      </c>
      <c r="L201" s="92" t="s">
        <v>274</v>
      </c>
      <c r="M201" s="92" t="s">
        <v>261</v>
      </c>
      <c r="N201" s="92" t="s">
        <v>155</v>
      </c>
      <c r="O201" s="92" t="s">
        <v>164</v>
      </c>
      <c r="P201" s="92" t="s">
        <v>845</v>
      </c>
      <c r="Q201" s="92" t="s">
        <v>846</v>
      </c>
      <c r="R201" s="92">
        <v>5</v>
      </c>
      <c r="S201" s="92">
        <v>737</v>
      </c>
      <c r="T201" s="9">
        <v>44110</v>
      </c>
      <c r="U201" s="9">
        <v>44153</v>
      </c>
    </row>
    <row r="202" spans="1:21" x14ac:dyDescent="0.2">
      <c r="A202" s="10" t="str">
        <f>HYPERLINK("http://www.ofsted.gov.uk/inspection-reports/find-inspection-report/provider/ELS/138087 ","Ofsted School Webpage")</f>
        <v>Ofsted School Webpage</v>
      </c>
      <c r="B202" s="92">
        <v>138087</v>
      </c>
      <c r="C202" s="92">
        <v>3804041</v>
      </c>
      <c r="D202" s="92" t="s">
        <v>847</v>
      </c>
      <c r="E202" s="92" t="s">
        <v>95</v>
      </c>
      <c r="F202" s="92" t="s">
        <v>429</v>
      </c>
      <c r="G202" s="9">
        <v>41000</v>
      </c>
      <c r="H202" s="92" t="s">
        <v>299</v>
      </c>
      <c r="I202" s="92" t="s">
        <v>300</v>
      </c>
      <c r="J202" s="92" t="s">
        <v>273</v>
      </c>
      <c r="K202" s="92" t="s">
        <v>273</v>
      </c>
      <c r="L202" s="92" t="s">
        <v>274</v>
      </c>
      <c r="M202" s="92" t="s">
        <v>261</v>
      </c>
      <c r="N202" s="92" t="s">
        <v>241</v>
      </c>
      <c r="O202" s="92" t="s">
        <v>250</v>
      </c>
      <c r="P202" s="92" t="s">
        <v>848</v>
      </c>
      <c r="Q202" s="92" t="s">
        <v>849</v>
      </c>
      <c r="R202" s="92">
        <v>5</v>
      </c>
      <c r="S202" s="92">
        <v>1130</v>
      </c>
      <c r="T202" s="9">
        <v>44110</v>
      </c>
      <c r="U202" s="9">
        <v>44153</v>
      </c>
    </row>
    <row r="203" spans="1:21" x14ac:dyDescent="0.2">
      <c r="A203" s="10" t="str">
        <f>HYPERLINK("http://www.ofsted.gov.uk/inspection-reports/find-inspection-report/provider/ELS/141304 ","Ofsted School Webpage")</f>
        <v>Ofsted School Webpage</v>
      </c>
      <c r="B203" s="92">
        <v>141304</v>
      </c>
      <c r="C203" s="92">
        <v>8812785</v>
      </c>
      <c r="D203" s="92" t="s">
        <v>850</v>
      </c>
      <c r="E203" s="92" t="s">
        <v>94</v>
      </c>
      <c r="F203" s="92" t="s">
        <v>429</v>
      </c>
      <c r="G203" s="9">
        <v>41883</v>
      </c>
      <c r="H203" s="92" t="s">
        <v>271</v>
      </c>
      <c r="I203" s="92" t="s">
        <v>272</v>
      </c>
      <c r="J203" s="92" t="s">
        <v>273</v>
      </c>
      <c r="K203" s="92" t="s">
        <v>273</v>
      </c>
      <c r="L203" s="92" t="s">
        <v>274</v>
      </c>
      <c r="M203" s="92" t="s">
        <v>110</v>
      </c>
      <c r="N203" s="92" t="s">
        <v>110</v>
      </c>
      <c r="O203" s="92" t="s">
        <v>119</v>
      </c>
      <c r="P203" s="92" t="s">
        <v>851</v>
      </c>
      <c r="Q203" s="92" t="s">
        <v>852</v>
      </c>
      <c r="R203" s="92">
        <v>4</v>
      </c>
      <c r="S203" s="92">
        <v>464</v>
      </c>
      <c r="T203" s="9">
        <v>44110</v>
      </c>
      <c r="U203" s="9">
        <v>44146</v>
      </c>
    </row>
    <row r="204" spans="1:21" x14ac:dyDescent="0.2">
      <c r="A204" s="10" t="str">
        <f>HYPERLINK("http://www.ofsted.gov.uk/inspection-reports/find-inspection-report/provider/ELS/141617 ","Ofsted School Webpage")</f>
        <v>Ofsted School Webpage</v>
      </c>
      <c r="B204" s="92">
        <v>141617</v>
      </c>
      <c r="C204" s="92">
        <v>2054002</v>
      </c>
      <c r="D204" s="92" t="s">
        <v>853</v>
      </c>
      <c r="E204" s="92" t="s">
        <v>95</v>
      </c>
      <c r="F204" s="92" t="s">
        <v>409</v>
      </c>
      <c r="G204" s="9">
        <v>42005</v>
      </c>
      <c r="H204" s="92" t="s">
        <v>299</v>
      </c>
      <c r="I204" s="92" t="s">
        <v>272</v>
      </c>
      <c r="J204" s="92" t="s">
        <v>273</v>
      </c>
      <c r="K204" s="92" t="s">
        <v>410</v>
      </c>
      <c r="L204" s="92" t="s">
        <v>274</v>
      </c>
      <c r="M204" s="92" t="s">
        <v>122</v>
      </c>
      <c r="N204" s="92" t="s">
        <v>122</v>
      </c>
      <c r="O204" s="92" t="s">
        <v>137</v>
      </c>
      <c r="P204" s="92" t="s">
        <v>854</v>
      </c>
      <c r="Q204" s="92" t="s">
        <v>855</v>
      </c>
      <c r="R204" s="92">
        <v>4</v>
      </c>
      <c r="S204" s="92">
        <v>548</v>
      </c>
      <c r="T204" s="9">
        <v>44110</v>
      </c>
      <c r="U204" s="9">
        <v>44158</v>
      </c>
    </row>
    <row r="205" spans="1:21" x14ac:dyDescent="0.2">
      <c r="A205" s="10" t="str">
        <f>HYPERLINK("http://www.ofsted.gov.uk/inspection-reports/find-inspection-report/provider/ELS/137254 ","Ofsted School Webpage")</f>
        <v>Ofsted School Webpage</v>
      </c>
      <c r="B205" s="92">
        <v>137254</v>
      </c>
      <c r="C205" s="92">
        <v>9095413</v>
      </c>
      <c r="D205" s="92" t="s">
        <v>856</v>
      </c>
      <c r="E205" s="92" t="s">
        <v>95</v>
      </c>
      <c r="F205" s="92" t="s">
        <v>429</v>
      </c>
      <c r="G205" s="9">
        <v>40756</v>
      </c>
      <c r="H205" s="92" t="s">
        <v>299</v>
      </c>
      <c r="I205" s="92" t="s">
        <v>300</v>
      </c>
      <c r="J205" s="92" t="s">
        <v>410</v>
      </c>
      <c r="K205" s="92" t="s">
        <v>273</v>
      </c>
      <c r="L205" s="92" t="s">
        <v>274</v>
      </c>
      <c r="M205" s="92" t="s">
        <v>168</v>
      </c>
      <c r="N205" s="92" t="s">
        <v>168</v>
      </c>
      <c r="O205" s="92" t="s">
        <v>176</v>
      </c>
      <c r="P205" s="92" t="s">
        <v>857</v>
      </c>
      <c r="Q205" s="92" t="s">
        <v>858</v>
      </c>
      <c r="R205" s="92">
        <v>2</v>
      </c>
      <c r="S205" s="92">
        <v>949</v>
      </c>
      <c r="T205" s="9">
        <v>44110</v>
      </c>
      <c r="U205" s="9">
        <v>44159</v>
      </c>
    </row>
    <row r="206" spans="1:21" x14ac:dyDescent="0.2">
      <c r="A206" s="10" t="str">
        <f>HYPERLINK("http://www.ofsted.gov.uk/inspection-reports/find-inspection-report/provider/ELS/136602 ","Ofsted School Webpage")</f>
        <v>Ofsted School Webpage</v>
      </c>
      <c r="B206" s="92">
        <v>136602</v>
      </c>
      <c r="C206" s="92">
        <v>8802456</v>
      </c>
      <c r="D206" s="92" t="s">
        <v>859</v>
      </c>
      <c r="E206" s="92" t="s">
        <v>94</v>
      </c>
      <c r="F206" s="92" t="s">
        <v>429</v>
      </c>
      <c r="G206" s="9">
        <v>40634</v>
      </c>
      <c r="H206" s="92" t="s">
        <v>271</v>
      </c>
      <c r="I206" s="92" t="s">
        <v>271</v>
      </c>
      <c r="J206" s="92" t="s">
        <v>273</v>
      </c>
      <c r="K206" s="92" t="s">
        <v>273</v>
      </c>
      <c r="L206" s="92" t="s">
        <v>274</v>
      </c>
      <c r="M206" s="92" t="s">
        <v>211</v>
      </c>
      <c r="N206" s="92" t="s">
        <v>211</v>
      </c>
      <c r="O206" s="92" t="s">
        <v>215</v>
      </c>
      <c r="P206" s="92" t="s">
        <v>215</v>
      </c>
      <c r="Q206" s="92" t="s">
        <v>860</v>
      </c>
      <c r="R206" s="92">
        <v>5</v>
      </c>
      <c r="S206" s="92">
        <v>414</v>
      </c>
      <c r="T206" s="9">
        <v>44110</v>
      </c>
      <c r="U206" s="9">
        <v>44147</v>
      </c>
    </row>
    <row r="207" spans="1:21" x14ac:dyDescent="0.2">
      <c r="A207" s="10" t="str">
        <f>HYPERLINK("http://www.ofsted.gov.uk/inspection-reports/find-inspection-report/provider/ELS/140117 ","Ofsted School Webpage")</f>
        <v>Ofsted School Webpage</v>
      </c>
      <c r="B207" s="92">
        <v>140117</v>
      </c>
      <c r="C207" s="92">
        <v>9364190</v>
      </c>
      <c r="D207" s="92" t="s">
        <v>861</v>
      </c>
      <c r="E207" s="92" t="s">
        <v>95</v>
      </c>
      <c r="F207" s="92" t="s">
        <v>429</v>
      </c>
      <c r="G207" s="9">
        <v>41518</v>
      </c>
      <c r="H207" s="92" t="s">
        <v>299</v>
      </c>
      <c r="I207" s="92" t="s">
        <v>300</v>
      </c>
      <c r="J207" s="92" t="s">
        <v>410</v>
      </c>
      <c r="K207" s="92" t="s">
        <v>273</v>
      </c>
      <c r="L207" s="92" t="s">
        <v>274</v>
      </c>
      <c r="M207" s="92" t="s">
        <v>192</v>
      </c>
      <c r="N207" s="92" t="s">
        <v>192</v>
      </c>
      <c r="O207" s="92" t="s">
        <v>198</v>
      </c>
      <c r="P207" s="92" t="s">
        <v>862</v>
      </c>
      <c r="Q207" s="92" t="s">
        <v>863</v>
      </c>
      <c r="R207" s="92">
        <v>1</v>
      </c>
      <c r="S207" s="92">
        <v>1479</v>
      </c>
      <c r="T207" s="9">
        <v>44110</v>
      </c>
      <c r="U207" s="9">
        <v>44160</v>
      </c>
    </row>
    <row r="208" spans="1:21" x14ac:dyDescent="0.2">
      <c r="A208" s="10" t="str">
        <f>HYPERLINK("http://www.ofsted.gov.uk/inspection-reports/find-inspection-report/provider/ELS/138481 ","Ofsted School Webpage")</f>
        <v>Ofsted School Webpage</v>
      </c>
      <c r="B208" s="92">
        <v>138481</v>
      </c>
      <c r="C208" s="92">
        <v>8914008</v>
      </c>
      <c r="D208" s="92" t="s">
        <v>864</v>
      </c>
      <c r="E208" s="92" t="s">
        <v>95</v>
      </c>
      <c r="F208" s="92" t="s">
        <v>429</v>
      </c>
      <c r="G208" s="9">
        <v>41122</v>
      </c>
      <c r="H208" s="92" t="s">
        <v>299</v>
      </c>
      <c r="I208" s="92" t="s">
        <v>300</v>
      </c>
      <c r="J208" s="92" t="s">
        <v>273</v>
      </c>
      <c r="K208" s="92" t="s">
        <v>273</v>
      </c>
      <c r="L208" s="92" t="s">
        <v>274</v>
      </c>
      <c r="M208" s="92" t="s">
        <v>100</v>
      </c>
      <c r="N208" s="92" t="s">
        <v>100</v>
      </c>
      <c r="O208" s="92" t="s">
        <v>105</v>
      </c>
      <c r="P208" s="92" t="s">
        <v>470</v>
      </c>
      <c r="Q208" s="92" t="s">
        <v>865</v>
      </c>
      <c r="R208" s="92">
        <v>5</v>
      </c>
      <c r="S208" s="92">
        <v>395</v>
      </c>
      <c r="T208" s="9">
        <v>44110</v>
      </c>
      <c r="U208" s="9">
        <v>44159</v>
      </c>
    </row>
    <row r="209" spans="1:21" x14ac:dyDescent="0.2">
      <c r="A209" s="10" t="str">
        <f>HYPERLINK("http://www.ofsted.gov.uk/inspection-reports/find-inspection-report/provider/ELS/141454 ","Ofsted School Webpage")</f>
        <v>Ofsted School Webpage</v>
      </c>
      <c r="B209" s="92">
        <v>141454</v>
      </c>
      <c r="C209" s="92">
        <v>8573117</v>
      </c>
      <c r="D209" s="92" t="s">
        <v>866</v>
      </c>
      <c r="E209" s="92" t="s">
        <v>94</v>
      </c>
      <c r="F209" s="92" t="s">
        <v>429</v>
      </c>
      <c r="G209" s="9">
        <v>41913</v>
      </c>
      <c r="H209" s="92" t="s">
        <v>271</v>
      </c>
      <c r="I209" s="92" t="s">
        <v>272</v>
      </c>
      <c r="J209" s="92" t="s">
        <v>346</v>
      </c>
      <c r="K209" s="92" t="s">
        <v>273</v>
      </c>
      <c r="L209" s="92" t="s">
        <v>347</v>
      </c>
      <c r="M209" s="92" t="s">
        <v>100</v>
      </c>
      <c r="N209" s="92" t="s">
        <v>100</v>
      </c>
      <c r="O209" s="92" t="s">
        <v>103</v>
      </c>
      <c r="P209" s="92" t="s">
        <v>476</v>
      </c>
      <c r="Q209" s="92" t="s">
        <v>867</v>
      </c>
      <c r="R209" s="92">
        <v>2</v>
      </c>
      <c r="S209" s="92">
        <v>196</v>
      </c>
      <c r="T209" s="9">
        <v>44110</v>
      </c>
      <c r="U209" s="9">
        <v>44154</v>
      </c>
    </row>
    <row r="210" spans="1:21" x14ac:dyDescent="0.2">
      <c r="A210" s="10" t="str">
        <f>HYPERLINK("http://www.ofsted.gov.uk/inspection-reports/find-inspection-report/provider/ELS/137402 ","Ofsted School Webpage")</f>
        <v>Ofsted School Webpage</v>
      </c>
      <c r="B210" s="92">
        <v>137402</v>
      </c>
      <c r="C210" s="92">
        <v>9082437</v>
      </c>
      <c r="D210" s="92" t="s">
        <v>868</v>
      </c>
      <c r="E210" s="92" t="s">
        <v>94</v>
      </c>
      <c r="F210" s="92" t="s">
        <v>429</v>
      </c>
      <c r="G210" s="9">
        <v>40787</v>
      </c>
      <c r="H210" s="92" t="s">
        <v>271</v>
      </c>
      <c r="I210" s="92" t="s">
        <v>271</v>
      </c>
      <c r="J210" s="92" t="s">
        <v>273</v>
      </c>
      <c r="K210" s="92" t="s">
        <v>273</v>
      </c>
      <c r="L210" s="92" t="s">
        <v>274</v>
      </c>
      <c r="M210" s="92" t="s">
        <v>211</v>
      </c>
      <c r="N210" s="92" t="s">
        <v>211</v>
      </c>
      <c r="O210" s="92" t="s">
        <v>219</v>
      </c>
      <c r="P210" s="92" t="s">
        <v>442</v>
      </c>
      <c r="Q210" s="92" t="s">
        <v>869</v>
      </c>
      <c r="R210" s="92">
        <v>3</v>
      </c>
      <c r="S210" s="92">
        <v>475</v>
      </c>
      <c r="T210" s="9">
        <v>44110</v>
      </c>
      <c r="U210" s="9">
        <v>44147</v>
      </c>
    </row>
    <row r="211" spans="1:21" x14ac:dyDescent="0.2">
      <c r="A211" s="10" t="str">
        <f>HYPERLINK("http://www.ofsted.gov.uk/inspection-reports/find-inspection-report/provider/ELS/139488 ","Ofsted School Webpage")</f>
        <v>Ofsted School Webpage</v>
      </c>
      <c r="B211" s="92">
        <v>139488</v>
      </c>
      <c r="C211" s="92">
        <v>3072185</v>
      </c>
      <c r="D211" s="92" t="s">
        <v>870</v>
      </c>
      <c r="E211" s="92" t="s">
        <v>94</v>
      </c>
      <c r="F211" s="92" t="s">
        <v>429</v>
      </c>
      <c r="G211" s="9">
        <v>41365</v>
      </c>
      <c r="H211" s="92" t="s">
        <v>271</v>
      </c>
      <c r="I211" s="92" t="s">
        <v>272</v>
      </c>
      <c r="J211" s="92" t="s">
        <v>410</v>
      </c>
      <c r="K211" s="92" t="s">
        <v>273</v>
      </c>
      <c r="L211" s="92" t="s">
        <v>274</v>
      </c>
      <c r="M211" s="92" t="s">
        <v>122</v>
      </c>
      <c r="N211" s="92" t="s">
        <v>122</v>
      </c>
      <c r="O211" s="92" t="s">
        <v>123</v>
      </c>
      <c r="P211" s="92" t="s">
        <v>871</v>
      </c>
      <c r="Q211" s="92" t="s">
        <v>872</v>
      </c>
      <c r="R211" s="92">
        <v>4</v>
      </c>
      <c r="S211" s="92">
        <v>426</v>
      </c>
      <c r="T211" s="9">
        <v>44110</v>
      </c>
      <c r="U211" s="9">
        <v>44154</v>
      </c>
    </row>
    <row r="212" spans="1:21" x14ac:dyDescent="0.2">
      <c r="A212" s="10" t="str">
        <f>HYPERLINK("http://www.ofsted.gov.uk/inspection-reports/find-inspection-report/provider/ELS/142306 ","Ofsted School Webpage")</f>
        <v>Ofsted School Webpage</v>
      </c>
      <c r="B212" s="92">
        <v>142306</v>
      </c>
      <c r="C212" s="92">
        <v>9094103</v>
      </c>
      <c r="D212" s="92" t="s">
        <v>873</v>
      </c>
      <c r="E212" s="92" t="s">
        <v>95</v>
      </c>
      <c r="F212" s="92" t="s">
        <v>429</v>
      </c>
      <c r="G212" s="9">
        <v>42248</v>
      </c>
      <c r="H212" s="92" t="s">
        <v>299</v>
      </c>
      <c r="I212" s="92" t="s">
        <v>300</v>
      </c>
      <c r="J212" s="92" t="s">
        <v>273</v>
      </c>
      <c r="K212" s="92" t="s">
        <v>273</v>
      </c>
      <c r="L212" s="92" t="s">
        <v>274</v>
      </c>
      <c r="M212" s="92" t="s">
        <v>168</v>
      </c>
      <c r="N212" s="92" t="s">
        <v>168</v>
      </c>
      <c r="O212" s="92" t="s">
        <v>176</v>
      </c>
      <c r="P212" s="92" t="s">
        <v>874</v>
      </c>
      <c r="Q212" s="92" t="s">
        <v>875</v>
      </c>
      <c r="R212" s="92">
        <v>1</v>
      </c>
      <c r="S212" s="92">
        <v>1340</v>
      </c>
      <c r="T212" s="9">
        <v>44110</v>
      </c>
      <c r="U212" s="9">
        <v>44153</v>
      </c>
    </row>
    <row r="213" spans="1:21" x14ac:dyDescent="0.2">
      <c r="A213" s="10" t="str">
        <f>HYPERLINK("http://www.ofsted.gov.uk/inspection-reports/find-inspection-report/provider/ELS/143170 ","Ofsted School Webpage")</f>
        <v>Ofsted School Webpage</v>
      </c>
      <c r="B213" s="92">
        <v>143170</v>
      </c>
      <c r="C213" s="92">
        <v>9082238</v>
      </c>
      <c r="D213" s="92" t="s">
        <v>876</v>
      </c>
      <c r="E213" s="92" t="s">
        <v>94</v>
      </c>
      <c r="F213" s="92" t="s">
        <v>429</v>
      </c>
      <c r="G213" s="9">
        <v>42614</v>
      </c>
      <c r="H213" s="92" t="s">
        <v>271</v>
      </c>
      <c r="I213" s="92" t="s">
        <v>272</v>
      </c>
      <c r="J213" s="92" t="s">
        <v>273</v>
      </c>
      <c r="K213" s="92" t="s">
        <v>273</v>
      </c>
      <c r="L213" s="92" t="s">
        <v>274</v>
      </c>
      <c r="M213" s="92" t="s">
        <v>211</v>
      </c>
      <c r="N213" s="92" t="s">
        <v>211</v>
      </c>
      <c r="O213" s="92" t="s">
        <v>219</v>
      </c>
      <c r="P213" s="92" t="s">
        <v>877</v>
      </c>
      <c r="Q213" s="92" t="s">
        <v>878</v>
      </c>
      <c r="R213" s="92">
        <v>3</v>
      </c>
      <c r="S213" s="92">
        <v>181</v>
      </c>
      <c r="T213" s="9">
        <v>44110</v>
      </c>
      <c r="U213" s="9">
        <v>44146</v>
      </c>
    </row>
    <row r="214" spans="1:21" x14ac:dyDescent="0.2">
      <c r="A214" s="10" t="str">
        <f>HYPERLINK("http://www.ofsted.gov.uk/inspection-reports/find-inspection-report/provider/ELS/141470 ","Ofsted School Webpage")</f>
        <v>Ofsted School Webpage</v>
      </c>
      <c r="B214" s="92">
        <v>141470</v>
      </c>
      <c r="C214" s="92">
        <v>3824800</v>
      </c>
      <c r="D214" s="92" t="s">
        <v>879</v>
      </c>
      <c r="E214" s="92" t="s">
        <v>95</v>
      </c>
      <c r="F214" s="92" t="s">
        <v>429</v>
      </c>
      <c r="G214" s="9">
        <v>41913</v>
      </c>
      <c r="H214" s="92" t="s">
        <v>299</v>
      </c>
      <c r="I214" s="92" t="s">
        <v>300</v>
      </c>
      <c r="J214" s="92" t="s">
        <v>352</v>
      </c>
      <c r="K214" s="92" t="s">
        <v>273</v>
      </c>
      <c r="L214" s="92" t="s">
        <v>347</v>
      </c>
      <c r="M214" s="92" t="s">
        <v>261</v>
      </c>
      <c r="N214" s="92" t="s">
        <v>241</v>
      </c>
      <c r="O214" s="92" t="s">
        <v>251</v>
      </c>
      <c r="P214" s="92" t="s">
        <v>880</v>
      </c>
      <c r="Q214" s="92" t="s">
        <v>881</v>
      </c>
      <c r="R214" s="92">
        <v>4</v>
      </c>
      <c r="S214" s="92">
        <v>1117</v>
      </c>
      <c r="T214" s="9">
        <v>44110</v>
      </c>
      <c r="U214" s="9">
        <v>44158</v>
      </c>
    </row>
    <row r="215" spans="1:21" x14ac:dyDescent="0.2">
      <c r="A215" s="10" t="str">
        <f>HYPERLINK("http://www.ofsted.gov.uk/inspection-reports/find-inspection-report/provider/ELS/140204 ","Ofsted School Webpage")</f>
        <v>Ofsted School Webpage</v>
      </c>
      <c r="B215" s="92">
        <v>140204</v>
      </c>
      <c r="C215" s="92">
        <v>3806102</v>
      </c>
      <c r="D215" s="92" t="s">
        <v>882</v>
      </c>
      <c r="E215" s="92" t="s">
        <v>95</v>
      </c>
      <c r="F215" s="92" t="s">
        <v>491</v>
      </c>
      <c r="G215" s="9">
        <v>41519</v>
      </c>
      <c r="H215" s="92" t="s">
        <v>299</v>
      </c>
      <c r="I215" s="92" t="s">
        <v>300</v>
      </c>
      <c r="J215" s="92" t="s">
        <v>410</v>
      </c>
      <c r="K215" s="92" t="s">
        <v>347</v>
      </c>
      <c r="L215" s="92" t="s">
        <v>274</v>
      </c>
      <c r="M215" s="92" t="s">
        <v>261</v>
      </c>
      <c r="N215" s="92" t="s">
        <v>241</v>
      </c>
      <c r="O215" s="92" t="s">
        <v>250</v>
      </c>
      <c r="P215" s="92" t="s">
        <v>848</v>
      </c>
      <c r="Q215" s="92" t="s">
        <v>883</v>
      </c>
      <c r="R215" s="92">
        <v>4</v>
      </c>
      <c r="S215" s="92">
        <v>1048</v>
      </c>
      <c r="T215" s="9">
        <v>44110</v>
      </c>
      <c r="U215" s="9">
        <v>44146</v>
      </c>
    </row>
    <row r="216" spans="1:21" x14ac:dyDescent="0.2">
      <c r="A216" s="10" t="str">
        <f>HYPERLINK("http://www.ofsted.gov.uk/inspection-reports/find-inspection-report/provider/ELS/141943 ","Ofsted School Webpage")</f>
        <v>Ofsted School Webpage</v>
      </c>
      <c r="B216" s="92">
        <v>141943</v>
      </c>
      <c r="C216" s="92">
        <v>3304020</v>
      </c>
      <c r="D216" s="92" t="s">
        <v>884</v>
      </c>
      <c r="E216" s="92" t="s">
        <v>95</v>
      </c>
      <c r="F216" s="92" t="s">
        <v>491</v>
      </c>
      <c r="G216" s="9">
        <v>42248</v>
      </c>
      <c r="H216" s="92" t="s">
        <v>484</v>
      </c>
      <c r="I216" s="92" t="s">
        <v>272</v>
      </c>
      <c r="J216" s="92" t="s">
        <v>347</v>
      </c>
      <c r="K216" s="92" t="s">
        <v>410</v>
      </c>
      <c r="L216" s="92" t="s">
        <v>347</v>
      </c>
      <c r="M216" s="92" t="s">
        <v>226</v>
      </c>
      <c r="N216" s="92" t="s">
        <v>226</v>
      </c>
      <c r="O216" s="92" t="s">
        <v>232</v>
      </c>
      <c r="P216" s="92" t="s">
        <v>885</v>
      </c>
      <c r="Q216" s="92" t="s">
        <v>886</v>
      </c>
      <c r="R216" s="92">
        <v>5</v>
      </c>
      <c r="S216" s="92">
        <v>590</v>
      </c>
      <c r="T216" s="9">
        <v>44110</v>
      </c>
      <c r="U216" s="9">
        <v>44146</v>
      </c>
    </row>
    <row r="217" spans="1:21" x14ac:dyDescent="0.2">
      <c r="A217" s="10" t="str">
        <f>HYPERLINK("http://www.ofsted.gov.uk/inspection-reports/find-inspection-report/provider/ELS/144879 ","Ofsted School Webpage")</f>
        <v>Ofsted School Webpage</v>
      </c>
      <c r="B217" s="92">
        <v>144879</v>
      </c>
      <c r="C217" s="92">
        <v>9351111</v>
      </c>
      <c r="D217" s="92" t="s">
        <v>887</v>
      </c>
      <c r="E217" s="92" t="s">
        <v>98</v>
      </c>
      <c r="F217" s="92" t="s">
        <v>888</v>
      </c>
      <c r="G217" s="9">
        <v>42979</v>
      </c>
      <c r="H217" s="92" t="s">
        <v>271</v>
      </c>
      <c r="I217" s="92" t="s">
        <v>271</v>
      </c>
      <c r="J217" s="92" t="s">
        <v>273</v>
      </c>
      <c r="K217" s="92" t="s">
        <v>273</v>
      </c>
      <c r="L217" s="92" t="s">
        <v>274</v>
      </c>
      <c r="M217" s="92" t="s">
        <v>110</v>
      </c>
      <c r="N217" s="92" t="s">
        <v>110</v>
      </c>
      <c r="O217" s="92" t="s">
        <v>114</v>
      </c>
      <c r="P217" s="92" t="s">
        <v>328</v>
      </c>
      <c r="Q217" s="92" t="s">
        <v>889</v>
      </c>
      <c r="R217" s="92">
        <v>3</v>
      </c>
      <c r="S217" s="92">
        <v>5</v>
      </c>
      <c r="T217" s="9">
        <v>44110</v>
      </c>
      <c r="U217" s="9">
        <v>44154</v>
      </c>
    </row>
    <row r="218" spans="1:21" x14ac:dyDescent="0.2">
      <c r="A218" s="10" t="str">
        <f>HYPERLINK("http://www.ofsted.gov.uk/inspection-reports/find-inspection-report/provider/ELS/145034 ","Ofsted School Webpage")</f>
        <v>Ofsted School Webpage</v>
      </c>
      <c r="B218" s="92">
        <v>145034</v>
      </c>
      <c r="C218" s="92">
        <v>8734010</v>
      </c>
      <c r="D218" s="92" t="s">
        <v>890</v>
      </c>
      <c r="E218" s="92" t="s">
        <v>95</v>
      </c>
      <c r="F218" s="92" t="s">
        <v>429</v>
      </c>
      <c r="G218" s="9">
        <v>43160</v>
      </c>
      <c r="H218" s="92" t="s">
        <v>484</v>
      </c>
      <c r="I218" s="92" t="s">
        <v>272</v>
      </c>
      <c r="J218" s="92" t="s">
        <v>410</v>
      </c>
      <c r="K218" s="92" t="s">
        <v>273</v>
      </c>
      <c r="L218" s="92" t="s">
        <v>274</v>
      </c>
      <c r="M218" s="92" t="s">
        <v>110</v>
      </c>
      <c r="N218" s="92" t="s">
        <v>110</v>
      </c>
      <c r="O218" s="92" t="s">
        <v>112</v>
      </c>
      <c r="P218" s="92" t="s">
        <v>891</v>
      </c>
      <c r="Q218" s="92" t="s">
        <v>892</v>
      </c>
      <c r="R218" s="92">
        <v>2</v>
      </c>
      <c r="S218" s="92">
        <v>406</v>
      </c>
      <c r="T218" s="9">
        <v>44110</v>
      </c>
      <c r="U218" s="9">
        <v>44159</v>
      </c>
    </row>
    <row r="219" spans="1:21" x14ac:dyDescent="0.2">
      <c r="A219" s="10" t="str">
        <f>HYPERLINK("http://www.ofsted.gov.uk/inspection-reports/find-inspection-report/provider/ELS/140934 ","Ofsted School Webpage")</f>
        <v>Ofsted School Webpage</v>
      </c>
      <c r="B219" s="92">
        <v>140934</v>
      </c>
      <c r="C219" s="92">
        <v>3052031</v>
      </c>
      <c r="D219" s="92" t="s">
        <v>893</v>
      </c>
      <c r="E219" s="92" t="s">
        <v>94</v>
      </c>
      <c r="F219" s="92" t="s">
        <v>491</v>
      </c>
      <c r="G219" s="9">
        <v>42248</v>
      </c>
      <c r="H219" s="92" t="s">
        <v>299</v>
      </c>
      <c r="I219" s="92" t="s">
        <v>272</v>
      </c>
      <c r="J219" s="92" t="s">
        <v>410</v>
      </c>
      <c r="K219" s="92" t="s">
        <v>410</v>
      </c>
      <c r="L219" s="92" t="s">
        <v>274</v>
      </c>
      <c r="M219" s="92" t="s">
        <v>122</v>
      </c>
      <c r="N219" s="92" t="s">
        <v>122</v>
      </c>
      <c r="O219" s="92" t="s">
        <v>139</v>
      </c>
      <c r="P219" s="92" t="s">
        <v>894</v>
      </c>
      <c r="Q219" s="92" t="s">
        <v>895</v>
      </c>
      <c r="R219" s="92">
        <v>2</v>
      </c>
      <c r="S219" s="92">
        <v>279</v>
      </c>
      <c r="T219" s="9">
        <v>44110</v>
      </c>
      <c r="U219" s="9">
        <v>44157</v>
      </c>
    </row>
    <row r="220" spans="1:21" x14ac:dyDescent="0.2">
      <c r="A220" s="10" t="str">
        <f>HYPERLINK("http://www.ofsted.gov.uk/inspection-reports/find-inspection-report/provider/ELS/144649 ","Ofsted School Webpage")</f>
        <v>Ofsted School Webpage</v>
      </c>
      <c r="B220" s="92">
        <v>144649</v>
      </c>
      <c r="C220" s="92">
        <v>3582016</v>
      </c>
      <c r="D220" s="92" t="s">
        <v>896</v>
      </c>
      <c r="E220" s="92" t="s">
        <v>94</v>
      </c>
      <c r="F220" s="92" t="s">
        <v>409</v>
      </c>
      <c r="G220" s="9">
        <v>43160</v>
      </c>
      <c r="H220" s="92" t="s">
        <v>271</v>
      </c>
      <c r="I220" s="92" t="s">
        <v>272</v>
      </c>
      <c r="J220" s="92" t="s">
        <v>273</v>
      </c>
      <c r="K220" s="92" t="s">
        <v>484</v>
      </c>
      <c r="L220" s="92" t="s">
        <v>274</v>
      </c>
      <c r="M220" s="92" t="s">
        <v>168</v>
      </c>
      <c r="N220" s="92" t="s">
        <v>168</v>
      </c>
      <c r="O220" s="92" t="s">
        <v>186</v>
      </c>
      <c r="P220" s="92" t="s">
        <v>897</v>
      </c>
      <c r="Q220" s="92" t="s">
        <v>898</v>
      </c>
      <c r="R220" s="92">
        <v>4</v>
      </c>
      <c r="S220" s="92">
        <v>194</v>
      </c>
      <c r="T220" s="9">
        <v>44110</v>
      </c>
      <c r="U220" s="9">
        <v>44150</v>
      </c>
    </row>
    <row r="221" spans="1:21" x14ac:dyDescent="0.2">
      <c r="A221" s="10" t="str">
        <f>HYPERLINK("http://www.ofsted.gov.uk/inspection-reports/find-inspection-report/provider/ELS/141082 ","Ofsted School Webpage")</f>
        <v>Ofsted School Webpage</v>
      </c>
      <c r="B221" s="92">
        <v>141082</v>
      </c>
      <c r="C221" s="92">
        <v>3164006</v>
      </c>
      <c r="D221" s="92" t="s">
        <v>899</v>
      </c>
      <c r="E221" s="92" t="s">
        <v>95</v>
      </c>
      <c r="F221" s="92" t="s">
        <v>491</v>
      </c>
      <c r="G221" s="9">
        <v>41883</v>
      </c>
      <c r="H221" s="92" t="s">
        <v>299</v>
      </c>
      <c r="I221" s="92" t="s">
        <v>272</v>
      </c>
      <c r="J221" s="92" t="s">
        <v>410</v>
      </c>
      <c r="K221" s="92" t="s">
        <v>410</v>
      </c>
      <c r="L221" s="92" t="s">
        <v>274</v>
      </c>
      <c r="M221" s="92" t="s">
        <v>122</v>
      </c>
      <c r="N221" s="92" t="s">
        <v>122</v>
      </c>
      <c r="O221" s="92" t="s">
        <v>138</v>
      </c>
      <c r="P221" s="92" t="s">
        <v>900</v>
      </c>
      <c r="Q221" s="92" t="s">
        <v>901</v>
      </c>
      <c r="R221" s="92">
        <v>4</v>
      </c>
      <c r="S221" s="92">
        <v>329</v>
      </c>
      <c r="T221" s="9">
        <v>44110</v>
      </c>
      <c r="U221" s="9">
        <v>44144</v>
      </c>
    </row>
    <row r="222" spans="1:21" x14ac:dyDescent="0.2">
      <c r="A222" s="10" t="str">
        <f>HYPERLINK("http://www.ofsted.gov.uk/inspection-reports/find-inspection-report/provider/ELS/142739 ","Ofsted School Webpage")</f>
        <v>Ofsted School Webpage</v>
      </c>
      <c r="B222" s="92">
        <v>142739</v>
      </c>
      <c r="C222" s="92">
        <v>8083304</v>
      </c>
      <c r="D222" s="92" t="s">
        <v>902</v>
      </c>
      <c r="E222" s="92" t="s">
        <v>94</v>
      </c>
      <c r="F222" s="92" t="s">
        <v>429</v>
      </c>
      <c r="G222" s="9">
        <v>42461</v>
      </c>
      <c r="H222" s="92" t="s">
        <v>271</v>
      </c>
      <c r="I222" s="92" t="s">
        <v>272</v>
      </c>
      <c r="J222" s="92" t="s">
        <v>352</v>
      </c>
      <c r="K222" s="92" t="s">
        <v>273</v>
      </c>
      <c r="L222" s="92" t="s">
        <v>347</v>
      </c>
      <c r="M222" s="92" t="s">
        <v>261</v>
      </c>
      <c r="N222" s="92" t="s">
        <v>155</v>
      </c>
      <c r="O222" s="92" t="s">
        <v>159</v>
      </c>
      <c r="P222" s="92" t="s">
        <v>433</v>
      </c>
      <c r="Q222" s="92" t="s">
        <v>903</v>
      </c>
      <c r="R222" s="92">
        <v>2</v>
      </c>
      <c r="S222" s="92">
        <v>244</v>
      </c>
      <c r="T222" s="9">
        <v>44110</v>
      </c>
      <c r="U222" s="9">
        <v>44146</v>
      </c>
    </row>
    <row r="223" spans="1:21" x14ac:dyDescent="0.2">
      <c r="A223" s="10" t="str">
        <f>HYPERLINK("http://www.ofsted.gov.uk/inspection-reports/find-inspection-report/provider/ELS/143477 ","Ofsted School Webpage")</f>
        <v>Ofsted School Webpage</v>
      </c>
      <c r="B223" s="92">
        <v>143477</v>
      </c>
      <c r="C223" s="92">
        <v>8392264</v>
      </c>
      <c r="D223" s="92" t="s">
        <v>904</v>
      </c>
      <c r="E223" s="92" t="s">
        <v>94</v>
      </c>
      <c r="F223" s="92" t="s">
        <v>429</v>
      </c>
      <c r="G223" s="9">
        <v>42644</v>
      </c>
      <c r="H223" s="92" t="s">
        <v>271</v>
      </c>
      <c r="I223" s="92" t="s">
        <v>272</v>
      </c>
      <c r="J223" s="92" t="s">
        <v>273</v>
      </c>
      <c r="K223" s="92" t="s">
        <v>273</v>
      </c>
      <c r="L223" s="92" t="s">
        <v>274</v>
      </c>
      <c r="M223" s="92" t="s">
        <v>211</v>
      </c>
      <c r="N223" s="92" t="s">
        <v>211</v>
      </c>
      <c r="O223" s="92" t="s">
        <v>223</v>
      </c>
      <c r="P223" s="92" t="s">
        <v>905</v>
      </c>
      <c r="Q223" s="92" t="s">
        <v>906</v>
      </c>
      <c r="R223" s="92">
        <v>3</v>
      </c>
      <c r="S223" s="92">
        <v>205</v>
      </c>
      <c r="T223" s="9">
        <v>44110</v>
      </c>
      <c r="U223" s="9">
        <v>44146</v>
      </c>
    </row>
    <row r="224" spans="1:21" x14ac:dyDescent="0.2">
      <c r="A224" s="10" t="str">
        <f>HYPERLINK("http://www.ofsted.gov.uk/inspection-reports/find-inspection-report/provider/ELS/145774 ","Ofsted School Webpage")</f>
        <v>Ofsted School Webpage</v>
      </c>
      <c r="B224" s="92">
        <v>145774</v>
      </c>
      <c r="C224" s="92">
        <v>8064136</v>
      </c>
      <c r="D224" s="92" t="s">
        <v>907</v>
      </c>
      <c r="E224" s="92" t="s">
        <v>95</v>
      </c>
      <c r="F224" s="92" t="s">
        <v>429</v>
      </c>
      <c r="G224" s="9">
        <v>43282</v>
      </c>
      <c r="H224" s="92" t="s">
        <v>299</v>
      </c>
      <c r="I224" s="92" t="s">
        <v>272</v>
      </c>
      <c r="J224" s="92" t="s">
        <v>273</v>
      </c>
      <c r="K224" s="92" t="s">
        <v>273</v>
      </c>
      <c r="L224" s="92" t="s">
        <v>274</v>
      </c>
      <c r="M224" s="92" t="s">
        <v>261</v>
      </c>
      <c r="N224" s="92" t="s">
        <v>155</v>
      </c>
      <c r="O224" s="92" t="s">
        <v>162</v>
      </c>
      <c r="P224" s="92" t="s">
        <v>162</v>
      </c>
      <c r="Q224" s="92" t="s">
        <v>908</v>
      </c>
      <c r="R224" s="92">
        <v>5</v>
      </c>
      <c r="S224" s="92">
        <v>1442</v>
      </c>
      <c r="T224" s="9">
        <v>44110</v>
      </c>
      <c r="U224" s="9">
        <v>44154</v>
      </c>
    </row>
    <row r="225" spans="1:21" x14ac:dyDescent="0.2">
      <c r="A225" s="10" t="str">
        <f>HYPERLINK("http://www.ofsted.gov.uk/inspection-reports/find-inspection-report/provider/ELS/138017 ","Ofsted School Webpage")</f>
        <v>Ofsted School Webpage</v>
      </c>
      <c r="B225" s="92">
        <v>138017</v>
      </c>
      <c r="C225" s="92">
        <v>8133326</v>
      </c>
      <c r="D225" s="92" t="s">
        <v>909</v>
      </c>
      <c r="E225" s="92" t="s">
        <v>94</v>
      </c>
      <c r="F225" s="92" t="s">
        <v>429</v>
      </c>
      <c r="G225" s="9">
        <v>41000</v>
      </c>
      <c r="H225" s="92" t="s">
        <v>299</v>
      </c>
      <c r="I225" s="92" t="s">
        <v>272</v>
      </c>
      <c r="J225" s="92" t="s">
        <v>352</v>
      </c>
      <c r="K225" s="92" t="s">
        <v>273</v>
      </c>
      <c r="L225" s="92" t="s">
        <v>347</v>
      </c>
      <c r="M225" s="92" t="s">
        <v>261</v>
      </c>
      <c r="N225" s="92" t="s">
        <v>241</v>
      </c>
      <c r="O225" s="92" t="s">
        <v>252</v>
      </c>
      <c r="P225" s="92" t="s">
        <v>910</v>
      </c>
      <c r="Q225" s="92" t="s">
        <v>911</v>
      </c>
      <c r="R225" s="92">
        <v>4</v>
      </c>
      <c r="S225" s="92">
        <v>411</v>
      </c>
      <c r="T225" s="9">
        <v>44111</v>
      </c>
      <c r="U225" s="9">
        <v>44147</v>
      </c>
    </row>
    <row r="226" spans="1:21" x14ac:dyDescent="0.2">
      <c r="A226" s="10" t="str">
        <f>HYPERLINK("http://www.ofsted.gov.uk/inspection-reports/find-inspection-report/provider/ELS/114033 ","Ofsted School Webpage")</f>
        <v>Ofsted School Webpage</v>
      </c>
      <c r="B226" s="92">
        <v>114033</v>
      </c>
      <c r="C226" s="92">
        <v>8402232</v>
      </c>
      <c r="D226" s="92" t="s">
        <v>912</v>
      </c>
      <c r="E226" s="92" t="s">
        <v>94</v>
      </c>
      <c r="F226" s="92" t="s">
        <v>269</v>
      </c>
      <c r="G226" s="92" t="s">
        <v>270</v>
      </c>
      <c r="H226" s="92" t="s">
        <v>271</v>
      </c>
      <c r="I226" s="92" t="s">
        <v>272</v>
      </c>
      <c r="J226" s="92" t="s">
        <v>273</v>
      </c>
      <c r="K226" s="92" t="s">
        <v>273</v>
      </c>
      <c r="L226" s="92" t="s">
        <v>274</v>
      </c>
      <c r="M226" s="92" t="s">
        <v>261</v>
      </c>
      <c r="N226" s="92" t="s">
        <v>155</v>
      </c>
      <c r="O226" s="92" t="s">
        <v>163</v>
      </c>
      <c r="P226" s="92" t="s">
        <v>913</v>
      </c>
      <c r="Q226" s="92" t="s">
        <v>914</v>
      </c>
      <c r="R226" s="92">
        <v>5</v>
      </c>
      <c r="S226" s="92">
        <v>205</v>
      </c>
      <c r="T226" s="9">
        <v>44111</v>
      </c>
      <c r="U226" s="9">
        <v>44154</v>
      </c>
    </row>
    <row r="227" spans="1:21" x14ac:dyDescent="0.2">
      <c r="A227" s="10" t="str">
        <f>HYPERLINK("http://www.ofsted.gov.uk/inspection-reports/find-inspection-report/provider/ELS/113533 ","Ofsted School Webpage")</f>
        <v>Ofsted School Webpage</v>
      </c>
      <c r="B227" s="92">
        <v>113533</v>
      </c>
      <c r="C227" s="92">
        <v>8794172</v>
      </c>
      <c r="D227" s="92" t="s">
        <v>915</v>
      </c>
      <c r="E227" s="92" t="s">
        <v>95</v>
      </c>
      <c r="F227" s="92" t="s">
        <v>397</v>
      </c>
      <c r="G227" s="92" t="s">
        <v>270</v>
      </c>
      <c r="H227" s="92" t="s">
        <v>299</v>
      </c>
      <c r="I227" s="92" t="s">
        <v>300</v>
      </c>
      <c r="J227" s="92" t="s">
        <v>273</v>
      </c>
      <c r="K227" s="92" t="s">
        <v>273</v>
      </c>
      <c r="L227" s="92" t="s">
        <v>274</v>
      </c>
      <c r="M227" s="92" t="s">
        <v>211</v>
      </c>
      <c r="N227" s="92" t="s">
        <v>211</v>
      </c>
      <c r="O227" s="92" t="s">
        <v>214</v>
      </c>
      <c r="P227" s="92" t="s">
        <v>607</v>
      </c>
      <c r="Q227" s="92" t="s">
        <v>916</v>
      </c>
      <c r="R227" s="92">
        <v>5</v>
      </c>
      <c r="S227" s="92">
        <v>771</v>
      </c>
      <c r="T227" s="9">
        <v>44112</v>
      </c>
      <c r="U227" s="9">
        <v>44147</v>
      </c>
    </row>
    <row r="228" spans="1:21" x14ac:dyDescent="0.2">
      <c r="A228" s="10" t="str">
        <f>HYPERLINK("http://www.ofsted.gov.uk/inspection-reports/find-inspection-report/provider/ELS/123696 ","Ofsted School Webpage")</f>
        <v>Ofsted School Webpage</v>
      </c>
      <c r="B228" s="92">
        <v>123696</v>
      </c>
      <c r="C228" s="92">
        <v>9332184</v>
      </c>
      <c r="D228" s="92" t="s">
        <v>917</v>
      </c>
      <c r="E228" s="92" t="s">
        <v>94</v>
      </c>
      <c r="F228" s="92" t="s">
        <v>269</v>
      </c>
      <c r="G228" s="92" t="s">
        <v>270</v>
      </c>
      <c r="H228" s="92" t="s">
        <v>271</v>
      </c>
      <c r="I228" s="92" t="s">
        <v>272</v>
      </c>
      <c r="J228" s="92" t="s">
        <v>273</v>
      </c>
      <c r="K228" s="92" t="s">
        <v>273</v>
      </c>
      <c r="L228" s="92" t="s">
        <v>274</v>
      </c>
      <c r="M228" s="92" t="s">
        <v>211</v>
      </c>
      <c r="N228" s="92" t="s">
        <v>211</v>
      </c>
      <c r="O228" s="92" t="s">
        <v>218</v>
      </c>
      <c r="P228" s="92" t="s">
        <v>414</v>
      </c>
      <c r="Q228" s="92" t="s">
        <v>918</v>
      </c>
      <c r="R228" s="92">
        <v>4</v>
      </c>
      <c r="S228" s="92">
        <v>107</v>
      </c>
      <c r="T228" s="9">
        <v>44112</v>
      </c>
      <c r="U228" s="9">
        <v>44146</v>
      </c>
    </row>
    <row r="229" spans="1:21" x14ac:dyDescent="0.2">
      <c r="A229" s="10" t="str">
        <f>HYPERLINK("http://www.ofsted.gov.uk/inspection-reports/find-inspection-report/provider/ELS/114467 ","Ofsted School Webpage")</f>
        <v>Ofsted School Webpage</v>
      </c>
      <c r="B229" s="92">
        <v>114467</v>
      </c>
      <c r="C229" s="92">
        <v>8452143</v>
      </c>
      <c r="D229" s="92" t="s">
        <v>919</v>
      </c>
      <c r="E229" s="92" t="s">
        <v>94</v>
      </c>
      <c r="F229" s="92" t="s">
        <v>269</v>
      </c>
      <c r="G229" s="92" t="s">
        <v>270</v>
      </c>
      <c r="H229" s="92" t="s">
        <v>271</v>
      </c>
      <c r="I229" s="92" t="s">
        <v>272</v>
      </c>
      <c r="J229" s="92" t="s">
        <v>273</v>
      </c>
      <c r="K229" s="92" t="s">
        <v>273</v>
      </c>
      <c r="L229" s="92" t="s">
        <v>274</v>
      </c>
      <c r="M229" s="92" t="s">
        <v>192</v>
      </c>
      <c r="N229" s="92" t="s">
        <v>192</v>
      </c>
      <c r="O229" s="92" t="s">
        <v>203</v>
      </c>
      <c r="P229" s="92" t="s">
        <v>804</v>
      </c>
      <c r="Q229" s="92" t="s">
        <v>920</v>
      </c>
      <c r="R229" s="92">
        <v>4</v>
      </c>
      <c r="S229" s="92">
        <v>356</v>
      </c>
      <c r="T229" s="9">
        <v>44112</v>
      </c>
      <c r="U229" s="9">
        <v>44154</v>
      </c>
    </row>
    <row r="230" spans="1:21" x14ac:dyDescent="0.2">
      <c r="A230" s="10" t="str">
        <f>HYPERLINK("http://www.ofsted.gov.uk/inspection-reports/find-inspection-report/provider/ELS/123551 ","Ofsted School Webpage")</f>
        <v>Ofsted School Webpage</v>
      </c>
      <c r="B230" s="92">
        <v>123551</v>
      </c>
      <c r="C230" s="92">
        <v>8933350</v>
      </c>
      <c r="D230" s="92" t="s">
        <v>921</v>
      </c>
      <c r="E230" s="92" t="s">
        <v>94</v>
      </c>
      <c r="F230" s="92" t="s">
        <v>351</v>
      </c>
      <c r="G230" s="92" t="s">
        <v>270</v>
      </c>
      <c r="H230" s="92" t="s">
        <v>271</v>
      </c>
      <c r="I230" s="92" t="s">
        <v>272</v>
      </c>
      <c r="J230" s="92" t="s">
        <v>352</v>
      </c>
      <c r="K230" s="92" t="s">
        <v>273</v>
      </c>
      <c r="L230" s="92" t="s">
        <v>347</v>
      </c>
      <c r="M230" s="92" t="s">
        <v>226</v>
      </c>
      <c r="N230" s="92" t="s">
        <v>226</v>
      </c>
      <c r="O230" s="92" t="s">
        <v>237</v>
      </c>
      <c r="P230" s="92" t="s">
        <v>922</v>
      </c>
      <c r="Q230" s="92" t="s">
        <v>923</v>
      </c>
      <c r="R230" s="92">
        <v>2</v>
      </c>
      <c r="S230" s="92">
        <v>200</v>
      </c>
      <c r="T230" s="9">
        <v>44112</v>
      </c>
      <c r="U230" s="9">
        <v>44152</v>
      </c>
    </row>
    <row r="231" spans="1:21" x14ac:dyDescent="0.2">
      <c r="A231" s="10" t="str">
        <f>HYPERLINK("http://www.ofsted.gov.uk/inspection-reports/find-inspection-report/provider/ELS/124552 ","Ofsted School Webpage")</f>
        <v>Ofsted School Webpage</v>
      </c>
      <c r="B231" s="92">
        <v>124552</v>
      </c>
      <c r="C231" s="92">
        <v>9352034</v>
      </c>
      <c r="D231" s="92" t="s">
        <v>924</v>
      </c>
      <c r="E231" s="92" t="s">
        <v>94</v>
      </c>
      <c r="F231" s="92" t="s">
        <v>269</v>
      </c>
      <c r="G231" s="92" t="s">
        <v>270</v>
      </c>
      <c r="H231" s="92" t="s">
        <v>271</v>
      </c>
      <c r="I231" s="92" t="s">
        <v>272</v>
      </c>
      <c r="J231" s="92" t="s">
        <v>273</v>
      </c>
      <c r="K231" s="92" t="s">
        <v>273</v>
      </c>
      <c r="L231" s="92" t="s">
        <v>274</v>
      </c>
      <c r="M231" s="92" t="s">
        <v>110</v>
      </c>
      <c r="N231" s="92" t="s">
        <v>110</v>
      </c>
      <c r="O231" s="92" t="s">
        <v>114</v>
      </c>
      <c r="P231" s="92" t="s">
        <v>925</v>
      </c>
      <c r="Q231" s="92" t="s">
        <v>926</v>
      </c>
      <c r="R231" s="92">
        <v>2</v>
      </c>
      <c r="S231" s="92">
        <v>335</v>
      </c>
      <c r="T231" s="9">
        <v>44112</v>
      </c>
      <c r="U231" s="9">
        <v>44159</v>
      </c>
    </row>
    <row r="232" spans="1:21" x14ac:dyDescent="0.2">
      <c r="A232" s="10" t="str">
        <f>HYPERLINK("http://www.ofsted.gov.uk/inspection-reports/find-inspection-report/provider/ELS/122172 ","Ofsted School Webpage")</f>
        <v>Ofsted School Webpage</v>
      </c>
      <c r="B232" s="92">
        <v>122172</v>
      </c>
      <c r="C232" s="92">
        <v>9292015</v>
      </c>
      <c r="D232" s="92" t="s">
        <v>927</v>
      </c>
      <c r="E232" s="92" t="s">
        <v>94</v>
      </c>
      <c r="F232" s="92" t="s">
        <v>269</v>
      </c>
      <c r="G232" s="92" t="s">
        <v>270</v>
      </c>
      <c r="H232" s="92" t="s">
        <v>271</v>
      </c>
      <c r="I232" s="92" t="s">
        <v>272</v>
      </c>
      <c r="J232" s="92" t="s">
        <v>273</v>
      </c>
      <c r="K232" s="92" t="s">
        <v>273</v>
      </c>
      <c r="L232" s="92" t="s">
        <v>274</v>
      </c>
      <c r="M232" s="92" t="s">
        <v>261</v>
      </c>
      <c r="N232" s="92" t="s">
        <v>155</v>
      </c>
      <c r="O232" s="92" t="s">
        <v>158</v>
      </c>
      <c r="P232" s="92" t="s">
        <v>430</v>
      </c>
      <c r="Q232" s="92" t="s">
        <v>928</v>
      </c>
      <c r="R232" s="92">
        <v>2</v>
      </c>
      <c r="S232" s="92">
        <v>379</v>
      </c>
      <c r="T232" s="9">
        <v>44112</v>
      </c>
      <c r="U232" s="9">
        <v>44158</v>
      </c>
    </row>
    <row r="233" spans="1:21" x14ac:dyDescent="0.2">
      <c r="A233" s="10" t="str">
        <f>HYPERLINK("http://www.ofsted.gov.uk/inspection-reports/find-inspection-report/provider/ELS/112385 ","Ofsted School Webpage")</f>
        <v>Ofsted School Webpage</v>
      </c>
      <c r="B233" s="92">
        <v>112385</v>
      </c>
      <c r="C233" s="92">
        <v>9094152</v>
      </c>
      <c r="D233" s="92" t="s">
        <v>929</v>
      </c>
      <c r="E233" s="92" t="s">
        <v>95</v>
      </c>
      <c r="F233" s="92" t="s">
        <v>269</v>
      </c>
      <c r="G233" s="92" t="s">
        <v>270</v>
      </c>
      <c r="H233" s="92" t="s">
        <v>299</v>
      </c>
      <c r="I233" s="92" t="s">
        <v>300</v>
      </c>
      <c r="J233" s="92" t="s">
        <v>273</v>
      </c>
      <c r="K233" s="92" t="s">
        <v>273</v>
      </c>
      <c r="L233" s="92" t="s">
        <v>274</v>
      </c>
      <c r="M233" s="92" t="s">
        <v>168</v>
      </c>
      <c r="N233" s="92" t="s">
        <v>168</v>
      </c>
      <c r="O233" s="92" t="s">
        <v>176</v>
      </c>
      <c r="P233" s="92" t="s">
        <v>368</v>
      </c>
      <c r="Q233" s="92" t="s">
        <v>930</v>
      </c>
      <c r="R233" s="92">
        <v>1</v>
      </c>
      <c r="S233" s="92">
        <v>1364</v>
      </c>
      <c r="T233" s="9">
        <v>44112</v>
      </c>
      <c r="U233" s="9">
        <v>44154</v>
      </c>
    </row>
    <row r="234" spans="1:21" x14ac:dyDescent="0.2">
      <c r="A234" s="10" t="str">
        <f>HYPERLINK("http://www.ofsted.gov.uk/inspection-reports/find-inspection-report/provider/ELS/121281 ","Ofsted School Webpage")</f>
        <v>Ofsted School Webpage</v>
      </c>
      <c r="B234" s="92">
        <v>121281</v>
      </c>
      <c r="C234" s="92">
        <v>8162014</v>
      </c>
      <c r="D234" s="92" t="s">
        <v>931</v>
      </c>
      <c r="E234" s="92" t="s">
        <v>94</v>
      </c>
      <c r="F234" s="92" t="s">
        <v>269</v>
      </c>
      <c r="G234" s="92" t="s">
        <v>270</v>
      </c>
      <c r="H234" s="92" t="s">
        <v>271</v>
      </c>
      <c r="I234" s="92" t="s">
        <v>272</v>
      </c>
      <c r="J234" s="92" t="s">
        <v>273</v>
      </c>
      <c r="K234" s="92" t="s">
        <v>273</v>
      </c>
      <c r="L234" s="92" t="s">
        <v>274</v>
      </c>
      <c r="M234" s="92" t="s">
        <v>261</v>
      </c>
      <c r="N234" s="92" t="s">
        <v>241</v>
      </c>
      <c r="O234" s="92" t="s">
        <v>245</v>
      </c>
      <c r="P234" s="92" t="s">
        <v>417</v>
      </c>
      <c r="Q234" s="92" t="s">
        <v>932</v>
      </c>
      <c r="R234" s="92">
        <v>3</v>
      </c>
      <c r="S234" s="92">
        <v>390</v>
      </c>
      <c r="T234" s="9">
        <v>44112</v>
      </c>
      <c r="U234" s="9">
        <v>44160</v>
      </c>
    </row>
    <row r="235" spans="1:21" x14ac:dyDescent="0.2">
      <c r="A235" s="10" t="str">
        <f>HYPERLINK("http://www.ofsted.gov.uk/inspection-reports/find-inspection-report/provider/ELS/114410 ","Ofsted School Webpage")</f>
        <v>Ofsted School Webpage</v>
      </c>
      <c r="B235" s="92">
        <v>114410</v>
      </c>
      <c r="C235" s="92">
        <v>8452078</v>
      </c>
      <c r="D235" s="92" t="s">
        <v>933</v>
      </c>
      <c r="E235" s="92" t="s">
        <v>94</v>
      </c>
      <c r="F235" s="92" t="s">
        <v>269</v>
      </c>
      <c r="G235" s="92" t="s">
        <v>270</v>
      </c>
      <c r="H235" s="92" t="s">
        <v>271</v>
      </c>
      <c r="I235" s="92" t="s">
        <v>272</v>
      </c>
      <c r="J235" s="92" t="s">
        <v>273</v>
      </c>
      <c r="K235" s="92" t="s">
        <v>273</v>
      </c>
      <c r="L235" s="92" t="s">
        <v>274</v>
      </c>
      <c r="M235" s="92" t="s">
        <v>192</v>
      </c>
      <c r="N235" s="92" t="s">
        <v>192</v>
      </c>
      <c r="O235" s="92" t="s">
        <v>203</v>
      </c>
      <c r="P235" s="92" t="s">
        <v>934</v>
      </c>
      <c r="Q235" s="92" t="s">
        <v>935</v>
      </c>
      <c r="R235" s="92">
        <v>1</v>
      </c>
      <c r="S235" s="92">
        <v>111</v>
      </c>
      <c r="T235" s="9">
        <v>44112</v>
      </c>
      <c r="U235" s="9">
        <v>44157</v>
      </c>
    </row>
    <row r="236" spans="1:21" x14ac:dyDescent="0.2">
      <c r="A236" s="10" t="str">
        <f>HYPERLINK("http://www.ofsted.gov.uk/inspection-reports/find-inspection-report/provider/ELS/104859 ","Ofsted School Webpage")</f>
        <v>Ofsted School Webpage</v>
      </c>
      <c r="B236" s="92">
        <v>104859</v>
      </c>
      <c r="C236" s="92">
        <v>3432023</v>
      </c>
      <c r="D236" s="92" t="s">
        <v>936</v>
      </c>
      <c r="E236" s="92" t="s">
        <v>94</v>
      </c>
      <c r="F236" s="92" t="s">
        <v>269</v>
      </c>
      <c r="G236" s="92" t="s">
        <v>270</v>
      </c>
      <c r="H236" s="92" t="s">
        <v>271</v>
      </c>
      <c r="I236" s="92" t="s">
        <v>272</v>
      </c>
      <c r="J236" s="92" t="s">
        <v>273</v>
      </c>
      <c r="K236" s="92" t="s">
        <v>273</v>
      </c>
      <c r="L236" s="92" t="s">
        <v>274</v>
      </c>
      <c r="M236" s="92" t="s">
        <v>168</v>
      </c>
      <c r="N236" s="92" t="s">
        <v>168</v>
      </c>
      <c r="O236" s="92" t="s">
        <v>183</v>
      </c>
      <c r="P236" s="92" t="s">
        <v>793</v>
      </c>
      <c r="Q236" s="92" t="s">
        <v>937</v>
      </c>
      <c r="R236" s="92">
        <v>5</v>
      </c>
      <c r="S236" s="92">
        <v>289</v>
      </c>
      <c r="T236" s="9">
        <v>44112</v>
      </c>
      <c r="U236" s="9">
        <v>44157</v>
      </c>
    </row>
    <row r="237" spans="1:21" x14ac:dyDescent="0.2">
      <c r="A237" s="10" t="str">
        <f>HYPERLINK("http://www.ofsted.gov.uk/inspection-reports/find-inspection-report/provider/ELS/111143 ","Ofsted School Webpage")</f>
        <v>Ofsted School Webpage</v>
      </c>
      <c r="B237" s="92">
        <v>111143</v>
      </c>
      <c r="C237" s="92">
        <v>8952328</v>
      </c>
      <c r="D237" s="92" t="s">
        <v>938</v>
      </c>
      <c r="E237" s="92" t="s">
        <v>94</v>
      </c>
      <c r="F237" s="92" t="s">
        <v>269</v>
      </c>
      <c r="G237" s="92" t="s">
        <v>270</v>
      </c>
      <c r="H237" s="92" t="s">
        <v>271</v>
      </c>
      <c r="I237" s="92" t="s">
        <v>272</v>
      </c>
      <c r="J237" s="92" t="s">
        <v>273</v>
      </c>
      <c r="K237" s="92" t="s">
        <v>273</v>
      </c>
      <c r="L237" s="92" t="s">
        <v>274</v>
      </c>
      <c r="M237" s="92" t="s">
        <v>168</v>
      </c>
      <c r="N237" s="92" t="s">
        <v>168</v>
      </c>
      <c r="O237" s="92" t="s">
        <v>180</v>
      </c>
      <c r="P237" s="92" t="s">
        <v>939</v>
      </c>
      <c r="Q237" s="92" t="s">
        <v>940</v>
      </c>
      <c r="R237" s="92">
        <v>3</v>
      </c>
      <c r="S237" s="92">
        <v>198</v>
      </c>
      <c r="T237" s="9">
        <v>44112</v>
      </c>
      <c r="U237" s="9">
        <v>44157</v>
      </c>
    </row>
    <row r="238" spans="1:21" x14ac:dyDescent="0.2">
      <c r="A238" s="10" t="str">
        <f>HYPERLINK("http://www.ofsted.gov.uk/inspection-reports/find-inspection-report/provider/ELS/119692 ","Ofsted School Webpage")</f>
        <v>Ofsted School Webpage</v>
      </c>
      <c r="B238" s="92">
        <v>119692</v>
      </c>
      <c r="C238" s="92">
        <v>8903813</v>
      </c>
      <c r="D238" s="92" t="s">
        <v>941</v>
      </c>
      <c r="E238" s="92" t="s">
        <v>94</v>
      </c>
      <c r="F238" s="92" t="s">
        <v>351</v>
      </c>
      <c r="G238" s="92" t="s">
        <v>270</v>
      </c>
      <c r="H238" s="92" t="s">
        <v>271</v>
      </c>
      <c r="I238" s="92" t="s">
        <v>272</v>
      </c>
      <c r="J238" s="92" t="s">
        <v>352</v>
      </c>
      <c r="K238" s="92" t="s">
        <v>273</v>
      </c>
      <c r="L238" s="92" t="s">
        <v>347</v>
      </c>
      <c r="M238" s="92" t="s">
        <v>168</v>
      </c>
      <c r="N238" s="92" t="s">
        <v>168</v>
      </c>
      <c r="O238" s="92" t="s">
        <v>177</v>
      </c>
      <c r="P238" s="92" t="s">
        <v>942</v>
      </c>
      <c r="Q238" s="92" t="s">
        <v>943</v>
      </c>
      <c r="R238" s="92">
        <v>3</v>
      </c>
      <c r="S238" s="92">
        <v>202</v>
      </c>
      <c r="T238" s="9">
        <v>44112</v>
      </c>
      <c r="U238" s="9">
        <v>44153</v>
      </c>
    </row>
    <row r="239" spans="1:21" x14ac:dyDescent="0.2">
      <c r="A239" s="10" t="str">
        <f>HYPERLINK("http://www.ofsted.gov.uk/inspection-reports/find-inspection-report/provider/ELS/119510 ","Ofsted School Webpage")</f>
        <v>Ofsted School Webpage</v>
      </c>
      <c r="B239" s="92">
        <v>119510</v>
      </c>
      <c r="C239" s="92">
        <v>8893500</v>
      </c>
      <c r="D239" s="92" t="s">
        <v>944</v>
      </c>
      <c r="E239" s="92" t="s">
        <v>94</v>
      </c>
      <c r="F239" s="92" t="s">
        <v>351</v>
      </c>
      <c r="G239" s="92" t="s">
        <v>270</v>
      </c>
      <c r="H239" s="92" t="s">
        <v>271</v>
      </c>
      <c r="I239" s="92" t="s">
        <v>272</v>
      </c>
      <c r="J239" s="92" t="s">
        <v>352</v>
      </c>
      <c r="K239" s="92" t="s">
        <v>273</v>
      </c>
      <c r="L239" s="92" t="s">
        <v>347</v>
      </c>
      <c r="M239" s="92" t="s">
        <v>168</v>
      </c>
      <c r="N239" s="92" t="s">
        <v>168</v>
      </c>
      <c r="O239" s="92" t="s">
        <v>179</v>
      </c>
      <c r="P239" s="92" t="s">
        <v>945</v>
      </c>
      <c r="Q239" s="92" t="s">
        <v>946</v>
      </c>
      <c r="R239" s="92">
        <v>3</v>
      </c>
      <c r="S239" s="92">
        <v>169</v>
      </c>
      <c r="T239" s="9">
        <v>44112</v>
      </c>
      <c r="U239" s="9">
        <v>44146</v>
      </c>
    </row>
    <row r="240" spans="1:21" x14ac:dyDescent="0.2">
      <c r="A240" s="10" t="str">
        <f>HYPERLINK("http://www.ofsted.gov.uk/inspection-reports/find-inspection-report/provider/ELS/123858 ","Ofsted School Webpage")</f>
        <v>Ofsted School Webpage</v>
      </c>
      <c r="B240" s="92">
        <v>123858</v>
      </c>
      <c r="C240" s="92">
        <v>9333488</v>
      </c>
      <c r="D240" s="92" t="s">
        <v>947</v>
      </c>
      <c r="E240" s="92" t="s">
        <v>94</v>
      </c>
      <c r="F240" s="92" t="s">
        <v>351</v>
      </c>
      <c r="G240" s="92" t="s">
        <v>270</v>
      </c>
      <c r="H240" s="92" t="s">
        <v>271</v>
      </c>
      <c r="I240" s="92" t="s">
        <v>272</v>
      </c>
      <c r="J240" s="92" t="s">
        <v>352</v>
      </c>
      <c r="K240" s="92" t="s">
        <v>273</v>
      </c>
      <c r="L240" s="92" t="s">
        <v>347</v>
      </c>
      <c r="M240" s="92" t="s">
        <v>211</v>
      </c>
      <c r="N240" s="92" t="s">
        <v>211</v>
      </c>
      <c r="O240" s="92" t="s">
        <v>218</v>
      </c>
      <c r="P240" s="92" t="s">
        <v>948</v>
      </c>
      <c r="Q240" s="92" t="s">
        <v>949</v>
      </c>
      <c r="R240" s="92">
        <v>2</v>
      </c>
      <c r="S240" s="92">
        <v>158</v>
      </c>
      <c r="T240" s="9">
        <v>44112</v>
      </c>
      <c r="U240" s="9">
        <v>44152</v>
      </c>
    </row>
    <row r="241" spans="1:21" x14ac:dyDescent="0.2">
      <c r="A241" s="10" t="str">
        <f>HYPERLINK("http://www.ofsted.gov.uk/inspection-reports/find-inspection-report/provider/ELS/106343 ","Ofsted School Webpage")</f>
        <v>Ofsted School Webpage</v>
      </c>
      <c r="B241" s="92">
        <v>106343</v>
      </c>
      <c r="C241" s="92">
        <v>3583307</v>
      </c>
      <c r="D241" s="92" t="s">
        <v>950</v>
      </c>
      <c r="E241" s="92" t="s">
        <v>94</v>
      </c>
      <c r="F241" s="92" t="s">
        <v>351</v>
      </c>
      <c r="G241" s="92" t="s">
        <v>270</v>
      </c>
      <c r="H241" s="92" t="s">
        <v>271</v>
      </c>
      <c r="I241" s="92" t="s">
        <v>272</v>
      </c>
      <c r="J241" s="92" t="s">
        <v>346</v>
      </c>
      <c r="K241" s="92" t="s">
        <v>273</v>
      </c>
      <c r="L241" s="92" t="s">
        <v>347</v>
      </c>
      <c r="M241" s="92" t="s">
        <v>168</v>
      </c>
      <c r="N241" s="92" t="s">
        <v>168</v>
      </c>
      <c r="O241" s="92" t="s">
        <v>186</v>
      </c>
      <c r="P241" s="92" t="s">
        <v>951</v>
      </c>
      <c r="Q241" s="92" t="s">
        <v>952</v>
      </c>
      <c r="R241" s="92">
        <v>3</v>
      </c>
      <c r="S241" s="92">
        <v>244</v>
      </c>
      <c r="T241" s="9">
        <v>44112</v>
      </c>
      <c r="U241" s="9">
        <v>44154</v>
      </c>
    </row>
    <row r="242" spans="1:21" x14ac:dyDescent="0.2">
      <c r="A242" s="10" t="str">
        <f>HYPERLINK("http://www.ofsted.gov.uk/inspection-reports/find-inspection-report/provider/ELS/100446 ","Ofsted School Webpage")</f>
        <v>Ofsted School Webpage</v>
      </c>
      <c r="B242" s="92">
        <v>100446</v>
      </c>
      <c r="C242" s="92">
        <v>2063527</v>
      </c>
      <c r="D242" s="92" t="s">
        <v>364</v>
      </c>
      <c r="E242" s="92" t="s">
        <v>94</v>
      </c>
      <c r="F242" s="92" t="s">
        <v>351</v>
      </c>
      <c r="G242" s="92" t="s">
        <v>270</v>
      </c>
      <c r="H242" s="92" t="s">
        <v>271</v>
      </c>
      <c r="I242" s="92" t="s">
        <v>272</v>
      </c>
      <c r="J242" s="92" t="s">
        <v>346</v>
      </c>
      <c r="K242" s="92" t="s">
        <v>273</v>
      </c>
      <c r="L242" s="92" t="s">
        <v>347</v>
      </c>
      <c r="M242" s="92" t="s">
        <v>122</v>
      </c>
      <c r="N242" s="92" t="s">
        <v>122</v>
      </c>
      <c r="O242" s="92" t="s">
        <v>133</v>
      </c>
      <c r="P242" s="92" t="s">
        <v>553</v>
      </c>
      <c r="Q242" s="92" t="s">
        <v>953</v>
      </c>
      <c r="R242" s="92">
        <v>5</v>
      </c>
      <c r="S242" s="92">
        <v>198</v>
      </c>
      <c r="T242" s="9">
        <v>44112</v>
      </c>
      <c r="U242" s="9">
        <v>44165</v>
      </c>
    </row>
    <row r="243" spans="1:21" x14ac:dyDescent="0.2">
      <c r="A243" s="10" t="str">
        <f>HYPERLINK("http://www.ofsted.gov.uk/inspection-reports/find-inspection-report/provider/ELS/119813 ","Ofsted School Webpage")</f>
        <v>Ofsted School Webpage</v>
      </c>
      <c r="B243" s="92">
        <v>119813</v>
      </c>
      <c r="C243" s="92">
        <v>8885404</v>
      </c>
      <c r="D243" s="92" t="s">
        <v>954</v>
      </c>
      <c r="E243" s="92" t="s">
        <v>95</v>
      </c>
      <c r="F243" s="92" t="s">
        <v>351</v>
      </c>
      <c r="G243" s="92" t="s">
        <v>270</v>
      </c>
      <c r="H243" s="92" t="s">
        <v>299</v>
      </c>
      <c r="I243" s="92" t="s">
        <v>272</v>
      </c>
      <c r="J243" s="92" t="s">
        <v>410</v>
      </c>
      <c r="K243" s="92" t="s">
        <v>273</v>
      </c>
      <c r="L243" s="92" t="s">
        <v>274</v>
      </c>
      <c r="M243" s="92" t="s">
        <v>168</v>
      </c>
      <c r="N243" s="92" t="s">
        <v>168</v>
      </c>
      <c r="O243" s="92" t="s">
        <v>169</v>
      </c>
      <c r="P243" s="92" t="s">
        <v>644</v>
      </c>
      <c r="Q243" s="92" t="s">
        <v>955</v>
      </c>
      <c r="R243" s="92">
        <v>4</v>
      </c>
      <c r="S243" s="92">
        <v>841</v>
      </c>
      <c r="T243" s="9">
        <v>44112</v>
      </c>
      <c r="U243" s="9">
        <v>44154</v>
      </c>
    </row>
    <row r="244" spans="1:21" x14ac:dyDescent="0.2">
      <c r="A244" s="10" t="str">
        <f>HYPERLINK("http://www.ofsted.gov.uk/inspection-reports/find-inspection-report/provider/ELS/133274 ","Ofsted School Webpage")</f>
        <v>Ofsted School Webpage</v>
      </c>
      <c r="B244" s="92">
        <v>133274</v>
      </c>
      <c r="C244" s="92">
        <v>8913779</v>
      </c>
      <c r="D244" s="92" t="s">
        <v>956</v>
      </c>
      <c r="E244" s="92" t="s">
        <v>94</v>
      </c>
      <c r="F244" s="92" t="s">
        <v>269</v>
      </c>
      <c r="G244" s="9">
        <v>37135</v>
      </c>
      <c r="H244" s="92" t="s">
        <v>271</v>
      </c>
      <c r="I244" s="92" t="s">
        <v>272</v>
      </c>
      <c r="J244" s="92" t="s">
        <v>273</v>
      </c>
      <c r="K244" s="92" t="s">
        <v>273</v>
      </c>
      <c r="L244" s="92" t="s">
        <v>274</v>
      </c>
      <c r="M244" s="92" t="s">
        <v>100</v>
      </c>
      <c r="N244" s="92" t="s">
        <v>100</v>
      </c>
      <c r="O244" s="92" t="s">
        <v>105</v>
      </c>
      <c r="P244" s="92" t="s">
        <v>957</v>
      </c>
      <c r="Q244" s="92" t="s">
        <v>958</v>
      </c>
      <c r="R244" s="92">
        <v>4</v>
      </c>
      <c r="S244" s="92">
        <v>431</v>
      </c>
      <c r="T244" s="9">
        <v>44112</v>
      </c>
      <c r="U244" s="9">
        <v>44157</v>
      </c>
    </row>
    <row r="245" spans="1:21" x14ac:dyDescent="0.2">
      <c r="A245" s="10" t="str">
        <f>HYPERLINK("http://www.ofsted.gov.uk/inspection-reports/find-inspection-report/provider/ELS/110734 ","Ofsted School Webpage")</f>
        <v>Ofsted School Webpage</v>
      </c>
      <c r="B245" s="92">
        <v>110734</v>
      </c>
      <c r="C245" s="92">
        <v>8742295</v>
      </c>
      <c r="D245" s="92" t="s">
        <v>959</v>
      </c>
      <c r="E245" s="92" t="s">
        <v>94</v>
      </c>
      <c r="F245" s="92" t="s">
        <v>269</v>
      </c>
      <c r="G245" s="92" t="s">
        <v>270</v>
      </c>
      <c r="H245" s="92" t="s">
        <v>271</v>
      </c>
      <c r="I245" s="92" t="s">
        <v>272</v>
      </c>
      <c r="J245" s="92" t="s">
        <v>273</v>
      </c>
      <c r="K245" s="92" t="s">
        <v>273</v>
      </c>
      <c r="L245" s="92" t="s">
        <v>274</v>
      </c>
      <c r="M245" s="92" t="s">
        <v>110</v>
      </c>
      <c r="N245" s="92" t="s">
        <v>110</v>
      </c>
      <c r="O245" s="92" t="s">
        <v>115</v>
      </c>
      <c r="P245" s="92" t="s">
        <v>115</v>
      </c>
      <c r="Q245" s="92" t="s">
        <v>960</v>
      </c>
      <c r="R245" s="92">
        <v>4</v>
      </c>
      <c r="S245" s="92">
        <v>209</v>
      </c>
      <c r="T245" s="9">
        <v>44112</v>
      </c>
      <c r="U245" s="9">
        <v>44154</v>
      </c>
    </row>
    <row r="246" spans="1:21" x14ac:dyDescent="0.2">
      <c r="A246" s="10" t="str">
        <f>HYPERLINK("http://www.ofsted.gov.uk/inspection-reports/find-inspection-report/provider/ELS/100411 ","Ofsted School Webpage")</f>
        <v>Ofsted School Webpage</v>
      </c>
      <c r="B246" s="92">
        <v>100411</v>
      </c>
      <c r="C246" s="92">
        <v>2062379</v>
      </c>
      <c r="D246" s="92" t="s">
        <v>961</v>
      </c>
      <c r="E246" s="92" t="s">
        <v>94</v>
      </c>
      <c r="F246" s="92" t="s">
        <v>269</v>
      </c>
      <c r="G246" s="9" t="s">
        <v>270</v>
      </c>
      <c r="H246" s="92" t="s">
        <v>271</v>
      </c>
      <c r="I246" s="92" t="s">
        <v>272</v>
      </c>
      <c r="J246" s="92" t="s">
        <v>273</v>
      </c>
      <c r="K246" s="92" t="s">
        <v>273</v>
      </c>
      <c r="L246" s="92" t="s">
        <v>274</v>
      </c>
      <c r="M246" s="92" t="s">
        <v>122</v>
      </c>
      <c r="N246" s="92" t="s">
        <v>122</v>
      </c>
      <c r="O246" s="92" t="s">
        <v>133</v>
      </c>
      <c r="P246" s="92" t="s">
        <v>553</v>
      </c>
      <c r="Q246" s="92" t="s">
        <v>962</v>
      </c>
      <c r="R246" s="92">
        <v>5</v>
      </c>
      <c r="S246" s="92">
        <v>427</v>
      </c>
      <c r="T246" s="9">
        <v>44112</v>
      </c>
      <c r="U246" s="9">
        <v>44159</v>
      </c>
    </row>
    <row r="247" spans="1:21" x14ac:dyDescent="0.2">
      <c r="A247" s="10" t="str">
        <f>HYPERLINK("http://www.ofsted.gov.uk/inspection-reports/find-inspection-report/provider/ELS/107283 ","Ofsted School Webpage")</f>
        <v>Ofsted School Webpage</v>
      </c>
      <c r="B247" s="92">
        <v>107283</v>
      </c>
      <c r="C247" s="92">
        <v>3802168</v>
      </c>
      <c r="D247" s="92" t="s">
        <v>963</v>
      </c>
      <c r="E247" s="92" t="s">
        <v>94</v>
      </c>
      <c r="F247" s="92" t="s">
        <v>269</v>
      </c>
      <c r="G247" s="92" t="s">
        <v>270</v>
      </c>
      <c r="H247" s="92" t="s">
        <v>271</v>
      </c>
      <c r="I247" s="92" t="s">
        <v>272</v>
      </c>
      <c r="J247" s="92" t="s">
        <v>273</v>
      </c>
      <c r="K247" s="92" t="s">
        <v>273</v>
      </c>
      <c r="L247" s="92" t="s">
        <v>274</v>
      </c>
      <c r="M247" s="92" t="s">
        <v>261</v>
      </c>
      <c r="N247" s="92" t="s">
        <v>241</v>
      </c>
      <c r="O247" s="92" t="s">
        <v>250</v>
      </c>
      <c r="P247" s="92" t="s">
        <v>964</v>
      </c>
      <c r="Q247" s="92" t="s">
        <v>965</v>
      </c>
      <c r="R247" s="92">
        <v>3</v>
      </c>
      <c r="S247" s="92">
        <v>294</v>
      </c>
      <c r="T247" s="9">
        <v>44112</v>
      </c>
      <c r="U247" s="9">
        <v>44159</v>
      </c>
    </row>
    <row r="248" spans="1:21" x14ac:dyDescent="0.2">
      <c r="A248" s="10" t="str">
        <f>HYPERLINK("http://www.ofsted.gov.uk/inspection-reports/find-inspection-report/provider/ELS/107242 ","Ofsted School Webpage")</f>
        <v>Ofsted School Webpage</v>
      </c>
      <c r="B248" s="92">
        <v>107242</v>
      </c>
      <c r="C248" s="92">
        <v>3802093</v>
      </c>
      <c r="D248" s="92" t="s">
        <v>966</v>
      </c>
      <c r="E248" s="92" t="s">
        <v>94</v>
      </c>
      <c r="F248" s="92" t="s">
        <v>269</v>
      </c>
      <c r="G248" s="92" t="s">
        <v>270</v>
      </c>
      <c r="H248" s="92" t="s">
        <v>271</v>
      </c>
      <c r="I248" s="92" t="s">
        <v>272</v>
      </c>
      <c r="J248" s="92" t="s">
        <v>273</v>
      </c>
      <c r="K248" s="92" t="s">
        <v>273</v>
      </c>
      <c r="L248" s="92" t="s">
        <v>274</v>
      </c>
      <c r="M248" s="92" t="s">
        <v>261</v>
      </c>
      <c r="N248" s="92" t="s">
        <v>241</v>
      </c>
      <c r="O248" s="92" t="s">
        <v>250</v>
      </c>
      <c r="P248" s="92" t="s">
        <v>967</v>
      </c>
      <c r="Q248" s="92" t="s">
        <v>968</v>
      </c>
      <c r="R248" s="92">
        <v>4</v>
      </c>
      <c r="S248" s="92">
        <v>441</v>
      </c>
      <c r="T248" s="9">
        <v>44112</v>
      </c>
      <c r="U248" s="9">
        <v>44154</v>
      </c>
    </row>
    <row r="249" spans="1:21" x14ac:dyDescent="0.2">
      <c r="A249" s="10" t="str">
        <f>HYPERLINK("http://www.ofsted.gov.uk/inspection-reports/find-inspection-report/provider/ELS/131943 ","Ofsted School Webpage")</f>
        <v>Ofsted School Webpage</v>
      </c>
      <c r="B249" s="92">
        <v>131943</v>
      </c>
      <c r="C249" s="92">
        <v>3332188</v>
      </c>
      <c r="D249" s="92" t="s">
        <v>969</v>
      </c>
      <c r="E249" s="92" t="s">
        <v>94</v>
      </c>
      <c r="F249" s="92" t="s">
        <v>269</v>
      </c>
      <c r="G249" s="9">
        <v>36404</v>
      </c>
      <c r="H249" s="92" t="s">
        <v>271</v>
      </c>
      <c r="I249" s="92" t="s">
        <v>272</v>
      </c>
      <c r="J249" s="92" t="s">
        <v>273</v>
      </c>
      <c r="K249" s="92" t="s">
        <v>273</v>
      </c>
      <c r="L249" s="92" t="s">
        <v>274</v>
      </c>
      <c r="M249" s="92" t="s">
        <v>226</v>
      </c>
      <c r="N249" s="92" t="s">
        <v>226</v>
      </c>
      <c r="O249" s="92" t="s">
        <v>228</v>
      </c>
      <c r="P249" s="92" t="s">
        <v>970</v>
      </c>
      <c r="Q249" s="92" t="s">
        <v>971</v>
      </c>
      <c r="R249" s="92">
        <v>4</v>
      </c>
      <c r="S249" s="92">
        <v>455</v>
      </c>
      <c r="T249" s="9">
        <v>44112</v>
      </c>
      <c r="U249" s="9">
        <v>44146</v>
      </c>
    </row>
    <row r="250" spans="1:21" x14ac:dyDescent="0.2">
      <c r="A250" s="10" t="str">
        <f>HYPERLINK("http://www.ofsted.gov.uk/inspection-reports/find-inspection-report/provider/ELS/101900 ","Ofsted School Webpage")</f>
        <v>Ofsted School Webpage</v>
      </c>
      <c r="B250" s="92">
        <v>101900</v>
      </c>
      <c r="C250" s="92">
        <v>3072170</v>
      </c>
      <c r="D250" s="92" t="s">
        <v>972</v>
      </c>
      <c r="E250" s="92" t="s">
        <v>94</v>
      </c>
      <c r="F250" s="92" t="s">
        <v>269</v>
      </c>
      <c r="G250" s="92" t="s">
        <v>270</v>
      </c>
      <c r="H250" s="92" t="s">
        <v>271</v>
      </c>
      <c r="I250" s="92" t="s">
        <v>272</v>
      </c>
      <c r="J250" s="92" t="s">
        <v>273</v>
      </c>
      <c r="K250" s="92" t="s">
        <v>273</v>
      </c>
      <c r="L250" s="92" t="s">
        <v>274</v>
      </c>
      <c r="M250" s="92" t="s">
        <v>122</v>
      </c>
      <c r="N250" s="92" t="s">
        <v>122</v>
      </c>
      <c r="O250" s="92" t="s">
        <v>123</v>
      </c>
      <c r="P250" s="92" t="s">
        <v>499</v>
      </c>
      <c r="Q250" s="92" t="s">
        <v>973</v>
      </c>
      <c r="R250" s="92">
        <v>4</v>
      </c>
      <c r="S250" s="92">
        <v>448</v>
      </c>
      <c r="T250" s="9">
        <v>44112</v>
      </c>
      <c r="U250" s="9">
        <v>44151</v>
      </c>
    </row>
    <row r="251" spans="1:21" x14ac:dyDescent="0.2">
      <c r="A251" s="10" t="str">
        <f>HYPERLINK("http://www.ofsted.gov.uk/inspection-reports/find-inspection-report/provider/ELS/112648 ","Ofsted School Webpage")</f>
        <v>Ofsted School Webpage</v>
      </c>
      <c r="B251" s="92">
        <v>112648</v>
      </c>
      <c r="C251" s="92">
        <v>8302269</v>
      </c>
      <c r="D251" s="92" t="s">
        <v>974</v>
      </c>
      <c r="E251" s="92" t="s">
        <v>94</v>
      </c>
      <c r="F251" s="92" t="s">
        <v>269</v>
      </c>
      <c r="G251" s="92" t="s">
        <v>270</v>
      </c>
      <c r="H251" s="92" t="s">
        <v>271</v>
      </c>
      <c r="I251" s="92" t="s">
        <v>272</v>
      </c>
      <c r="J251" s="92" t="s">
        <v>273</v>
      </c>
      <c r="K251" s="92" t="s">
        <v>273</v>
      </c>
      <c r="L251" s="92" t="s">
        <v>274</v>
      </c>
      <c r="M251" s="92" t="s">
        <v>100</v>
      </c>
      <c r="N251" s="92" t="s">
        <v>100</v>
      </c>
      <c r="O251" s="92" t="s">
        <v>101</v>
      </c>
      <c r="P251" s="92" t="s">
        <v>301</v>
      </c>
      <c r="Q251" s="92" t="s">
        <v>975</v>
      </c>
      <c r="R251" s="92">
        <v>3</v>
      </c>
      <c r="S251" s="92">
        <v>94</v>
      </c>
      <c r="T251" s="9">
        <v>44112</v>
      </c>
      <c r="U251" s="9">
        <v>44152</v>
      </c>
    </row>
    <row r="252" spans="1:21" x14ac:dyDescent="0.2">
      <c r="A252" s="10" t="str">
        <f>HYPERLINK("http://www.ofsted.gov.uk/inspection-reports/find-inspection-report/provider/ELS/103788 ","Ofsted School Webpage")</f>
        <v>Ofsted School Webpage</v>
      </c>
      <c r="B252" s="92">
        <v>103788</v>
      </c>
      <c r="C252" s="92">
        <v>3322068</v>
      </c>
      <c r="D252" s="92" t="s">
        <v>976</v>
      </c>
      <c r="E252" s="92" t="s">
        <v>94</v>
      </c>
      <c r="F252" s="92" t="s">
        <v>269</v>
      </c>
      <c r="G252" s="92" t="s">
        <v>270</v>
      </c>
      <c r="H252" s="92" t="s">
        <v>271</v>
      </c>
      <c r="I252" s="92" t="s">
        <v>272</v>
      </c>
      <c r="J252" s="92" t="s">
        <v>273</v>
      </c>
      <c r="K252" s="92" t="s">
        <v>273</v>
      </c>
      <c r="L252" s="92" t="s">
        <v>274</v>
      </c>
      <c r="M252" s="92" t="s">
        <v>226</v>
      </c>
      <c r="N252" s="92" t="s">
        <v>226</v>
      </c>
      <c r="O252" s="92" t="s">
        <v>240</v>
      </c>
      <c r="P252" s="92" t="s">
        <v>977</v>
      </c>
      <c r="Q252" s="92" t="s">
        <v>978</v>
      </c>
      <c r="R252" s="92">
        <v>5</v>
      </c>
      <c r="S252" s="92">
        <v>342</v>
      </c>
      <c r="T252" s="9">
        <v>44112</v>
      </c>
      <c r="U252" s="9">
        <v>44151</v>
      </c>
    </row>
    <row r="253" spans="1:21" x14ac:dyDescent="0.2">
      <c r="A253" s="10" t="str">
        <f>HYPERLINK("http://www.ofsted.gov.uk/inspection-reports/find-inspection-report/provider/ELS/112523 ","Ofsted School Webpage")</f>
        <v>Ofsted School Webpage</v>
      </c>
      <c r="B253" s="92">
        <v>112523</v>
      </c>
      <c r="C253" s="92">
        <v>8302062</v>
      </c>
      <c r="D253" s="92" t="s">
        <v>979</v>
      </c>
      <c r="E253" s="92" t="s">
        <v>94</v>
      </c>
      <c r="F253" s="92" t="s">
        <v>269</v>
      </c>
      <c r="G253" s="92" t="s">
        <v>270</v>
      </c>
      <c r="H253" s="92" t="s">
        <v>271</v>
      </c>
      <c r="I253" s="92" t="s">
        <v>272</v>
      </c>
      <c r="J253" s="92" t="s">
        <v>273</v>
      </c>
      <c r="K253" s="92" t="s">
        <v>273</v>
      </c>
      <c r="L253" s="92" t="s">
        <v>274</v>
      </c>
      <c r="M253" s="92" t="s">
        <v>100</v>
      </c>
      <c r="N253" s="92" t="s">
        <v>100</v>
      </c>
      <c r="O253" s="92" t="s">
        <v>101</v>
      </c>
      <c r="P253" s="92" t="s">
        <v>301</v>
      </c>
      <c r="Q253" s="92" t="s">
        <v>980</v>
      </c>
      <c r="R253" s="92">
        <v>1</v>
      </c>
      <c r="S253" s="92">
        <v>314</v>
      </c>
      <c r="T253" s="9">
        <v>44112</v>
      </c>
      <c r="U253" s="9">
        <v>44159</v>
      </c>
    </row>
    <row r="254" spans="1:21" x14ac:dyDescent="0.2">
      <c r="A254" s="10" t="str">
        <f>HYPERLINK("http://www.ofsted.gov.uk/inspection-reports/find-inspection-report/provider/ELS/118262 ","Ofsted School Webpage")</f>
        <v>Ofsted School Webpage</v>
      </c>
      <c r="B254" s="92">
        <v>118262</v>
      </c>
      <c r="C254" s="92">
        <v>8862109</v>
      </c>
      <c r="D254" s="92" t="s">
        <v>981</v>
      </c>
      <c r="E254" s="92" t="s">
        <v>94</v>
      </c>
      <c r="F254" s="92" t="s">
        <v>269</v>
      </c>
      <c r="G254" s="92" t="s">
        <v>270</v>
      </c>
      <c r="H254" s="92" t="s">
        <v>271</v>
      </c>
      <c r="I254" s="92" t="s">
        <v>272</v>
      </c>
      <c r="J254" s="92" t="s">
        <v>273</v>
      </c>
      <c r="K254" s="92" t="s">
        <v>273</v>
      </c>
      <c r="L254" s="92" t="s">
        <v>274</v>
      </c>
      <c r="M254" s="92" t="s">
        <v>192</v>
      </c>
      <c r="N254" s="92" t="s">
        <v>192</v>
      </c>
      <c r="O254" s="92" t="s">
        <v>194</v>
      </c>
      <c r="P254" s="92" t="s">
        <v>982</v>
      </c>
      <c r="Q254" s="92" t="s">
        <v>983</v>
      </c>
      <c r="R254" s="92">
        <v>2</v>
      </c>
      <c r="S254" s="92">
        <v>207</v>
      </c>
      <c r="T254" s="9">
        <v>44112</v>
      </c>
      <c r="U254" s="9">
        <v>44153</v>
      </c>
    </row>
    <row r="255" spans="1:21" x14ac:dyDescent="0.2">
      <c r="A255" s="10" t="str">
        <f>HYPERLINK("http://www.ofsted.gov.uk/inspection-reports/find-inspection-report/provider/ELS/119137 ","Ofsted School Webpage")</f>
        <v>Ofsted School Webpage</v>
      </c>
      <c r="B255" s="92">
        <v>119137</v>
      </c>
      <c r="C255" s="92">
        <v>8882027</v>
      </c>
      <c r="D255" s="92" t="s">
        <v>984</v>
      </c>
      <c r="E255" s="92" t="s">
        <v>94</v>
      </c>
      <c r="F255" s="92" t="s">
        <v>269</v>
      </c>
      <c r="G255" s="92" t="s">
        <v>270</v>
      </c>
      <c r="H255" s="92" t="s">
        <v>271</v>
      </c>
      <c r="I255" s="92" t="s">
        <v>272</v>
      </c>
      <c r="J255" s="92" t="s">
        <v>273</v>
      </c>
      <c r="K255" s="92" t="s">
        <v>273</v>
      </c>
      <c r="L255" s="92" t="s">
        <v>274</v>
      </c>
      <c r="M255" s="92" t="s">
        <v>168</v>
      </c>
      <c r="N255" s="92" t="s">
        <v>168</v>
      </c>
      <c r="O255" s="92" t="s">
        <v>169</v>
      </c>
      <c r="P255" s="92" t="s">
        <v>985</v>
      </c>
      <c r="Q255" s="92" t="s">
        <v>986</v>
      </c>
      <c r="R255" s="92">
        <v>4</v>
      </c>
      <c r="S255" s="92">
        <v>536</v>
      </c>
      <c r="T255" s="9">
        <v>44112</v>
      </c>
      <c r="U255" s="9">
        <v>44159</v>
      </c>
    </row>
    <row r="256" spans="1:21" x14ac:dyDescent="0.2">
      <c r="A256" s="10" t="str">
        <f>HYPERLINK("http://www.ofsted.gov.uk/inspection-reports/find-inspection-report/provider/ELS/122473 ","Ofsted School Webpage")</f>
        <v>Ofsted School Webpage</v>
      </c>
      <c r="B256" s="92">
        <v>122473</v>
      </c>
      <c r="C256" s="92">
        <v>8912150</v>
      </c>
      <c r="D256" s="92" t="s">
        <v>987</v>
      </c>
      <c r="E256" s="92" t="s">
        <v>94</v>
      </c>
      <c r="F256" s="92" t="s">
        <v>269</v>
      </c>
      <c r="G256" s="92" t="s">
        <v>270</v>
      </c>
      <c r="H256" s="92" t="s">
        <v>271</v>
      </c>
      <c r="I256" s="92" t="s">
        <v>272</v>
      </c>
      <c r="J256" s="92" t="s">
        <v>273</v>
      </c>
      <c r="K256" s="92" t="s">
        <v>273</v>
      </c>
      <c r="L256" s="92" t="s">
        <v>274</v>
      </c>
      <c r="M256" s="92" t="s">
        <v>100</v>
      </c>
      <c r="N256" s="92" t="s">
        <v>100</v>
      </c>
      <c r="O256" s="92" t="s">
        <v>105</v>
      </c>
      <c r="P256" s="92" t="s">
        <v>470</v>
      </c>
      <c r="Q256" s="92" t="s">
        <v>988</v>
      </c>
      <c r="R256" s="92">
        <v>4</v>
      </c>
      <c r="S256" s="92">
        <v>381</v>
      </c>
      <c r="T256" s="9">
        <v>44112</v>
      </c>
      <c r="U256" s="9">
        <v>44151</v>
      </c>
    </row>
    <row r="257" spans="1:21" x14ac:dyDescent="0.2">
      <c r="A257" s="10" t="str">
        <f>HYPERLINK("http://www.ofsted.gov.uk/inspection-reports/find-inspection-report/provider/ELS/113335 ","Ofsted School Webpage")</f>
        <v>Ofsted School Webpage</v>
      </c>
      <c r="B257" s="92">
        <v>113335</v>
      </c>
      <c r="C257" s="92">
        <v>8782715</v>
      </c>
      <c r="D257" s="92" t="s">
        <v>989</v>
      </c>
      <c r="E257" s="92" t="s">
        <v>94</v>
      </c>
      <c r="F257" s="92" t="s">
        <v>269</v>
      </c>
      <c r="G257" s="92" t="s">
        <v>270</v>
      </c>
      <c r="H257" s="92" t="s">
        <v>271</v>
      </c>
      <c r="I257" s="92" t="s">
        <v>272</v>
      </c>
      <c r="J257" s="92" t="s">
        <v>273</v>
      </c>
      <c r="K257" s="92" t="s">
        <v>273</v>
      </c>
      <c r="L257" s="92" t="s">
        <v>274</v>
      </c>
      <c r="M257" s="92" t="s">
        <v>211</v>
      </c>
      <c r="N257" s="92" t="s">
        <v>211</v>
      </c>
      <c r="O257" s="92" t="s">
        <v>220</v>
      </c>
      <c r="P257" s="92" t="s">
        <v>362</v>
      </c>
      <c r="Q257" s="92" t="s">
        <v>990</v>
      </c>
      <c r="R257" s="92">
        <v>2</v>
      </c>
      <c r="S257" s="92">
        <v>180</v>
      </c>
      <c r="T257" s="9">
        <v>44112</v>
      </c>
      <c r="U257" s="9">
        <v>44151</v>
      </c>
    </row>
    <row r="258" spans="1:21" x14ac:dyDescent="0.2">
      <c r="A258" s="10" t="str">
        <f>HYPERLINK("http://www.ofsted.gov.uk/inspection-reports/find-inspection-report/provider/ELS/116431 ","Ofsted School Webpage")</f>
        <v>Ofsted School Webpage</v>
      </c>
      <c r="B258" s="92">
        <v>116431</v>
      </c>
      <c r="C258" s="92">
        <v>8504163</v>
      </c>
      <c r="D258" s="92" t="s">
        <v>991</v>
      </c>
      <c r="E258" s="92" t="s">
        <v>95</v>
      </c>
      <c r="F258" s="92" t="s">
        <v>269</v>
      </c>
      <c r="G258" s="92" t="s">
        <v>270</v>
      </c>
      <c r="H258" s="92" t="s">
        <v>299</v>
      </c>
      <c r="I258" s="92" t="s">
        <v>272</v>
      </c>
      <c r="J258" s="92" t="s">
        <v>273</v>
      </c>
      <c r="K258" s="92" t="s">
        <v>273</v>
      </c>
      <c r="L258" s="92" t="s">
        <v>274</v>
      </c>
      <c r="M258" s="92" t="s">
        <v>192</v>
      </c>
      <c r="N258" s="92" t="s">
        <v>192</v>
      </c>
      <c r="O258" s="92" t="s">
        <v>193</v>
      </c>
      <c r="P258" s="92" t="s">
        <v>992</v>
      </c>
      <c r="Q258" s="92" t="s">
        <v>993</v>
      </c>
      <c r="R258" s="92">
        <v>2</v>
      </c>
      <c r="S258" s="92">
        <v>937</v>
      </c>
      <c r="T258" s="9">
        <v>44112</v>
      </c>
      <c r="U258" s="9">
        <v>44151</v>
      </c>
    </row>
    <row r="259" spans="1:21" x14ac:dyDescent="0.2">
      <c r="A259" s="10" t="str">
        <f>HYPERLINK("http://www.ofsted.gov.uk/inspection-reports/find-inspection-report/provider/ELS/103300 ","Ofsted School Webpage")</f>
        <v>Ofsted School Webpage</v>
      </c>
      <c r="B259" s="92">
        <v>103300</v>
      </c>
      <c r="C259" s="92">
        <v>3302254</v>
      </c>
      <c r="D259" s="92" t="s">
        <v>994</v>
      </c>
      <c r="E259" s="92" t="s">
        <v>94</v>
      </c>
      <c r="F259" s="92" t="s">
        <v>269</v>
      </c>
      <c r="G259" s="92" t="s">
        <v>270</v>
      </c>
      <c r="H259" s="92" t="s">
        <v>271</v>
      </c>
      <c r="I259" s="92" t="s">
        <v>271</v>
      </c>
      <c r="J259" s="92" t="s">
        <v>273</v>
      </c>
      <c r="K259" s="92" t="s">
        <v>273</v>
      </c>
      <c r="L259" s="92" t="s">
        <v>274</v>
      </c>
      <c r="M259" s="92" t="s">
        <v>226</v>
      </c>
      <c r="N259" s="92" t="s">
        <v>226</v>
      </c>
      <c r="O259" s="92" t="s">
        <v>232</v>
      </c>
      <c r="P259" s="92" t="s">
        <v>995</v>
      </c>
      <c r="Q259" s="92" t="s">
        <v>996</v>
      </c>
      <c r="R259" s="92">
        <v>5</v>
      </c>
      <c r="S259" s="92">
        <v>611</v>
      </c>
      <c r="T259" s="9">
        <v>44112</v>
      </c>
      <c r="U259" s="9">
        <v>44151</v>
      </c>
    </row>
    <row r="260" spans="1:21" x14ac:dyDescent="0.2">
      <c r="A260" s="10" t="str">
        <f>HYPERLINK("http://www.ofsted.gov.uk/inspection-reports/find-inspection-report/provider/ELS/117221 ","Ofsted School Webpage")</f>
        <v>Ofsted School Webpage</v>
      </c>
      <c r="B260" s="92">
        <v>117221</v>
      </c>
      <c r="C260" s="92">
        <v>9192226</v>
      </c>
      <c r="D260" s="92" t="s">
        <v>997</v>
      </c>
      <c r="E260" s="92" t="s">
        <v>94</v>
      </c>
      <c r="F260" s="92" t="s">
        <v>269</v>
      </c>
      <c r="G260" s="92" t="s">
        <v>270</v>
      </c>
      <c r="H260" s="92" t="s">
        <v>271</v>
      </c>
      <c r="I260" s="92" t="s">
        <v>272</v>
      </c>
      <c r="J260" s="92" t="s">
        <v>273</v>
      </c>
      <c r="K260" s="92" t="s">
        <v>273</v>
      </c>
      <c r="L260" s="92" t="s">
        <v>274</v>
      </c>
      <c r="M260" s="92" t="s">
        <v>110</v>
      </c>
      <c r="N260" s="92" t="s">
        <v>110</v>
      </c>
      <c r="O260" s="92" t="s">
        <v>117</v>
      </c>
      <c r="P260" s="92" t="s">
        <v>998</v>
      </c>
      <c r="Q260" s="92" t="s">
        <v>999</v>
      </c>
      <c r="R260" s="92">
        <v>3</v>
      </c>
      <c r="S260" s="92">
        <v>285</v>
      </c>
      <c r="T260" s="9">
        <v>44112</v>
      </c>
      <c r="U260" s="9">
        <v>44146</v>
      </c>
    </row>
    <row r="261" spans="1:21" x14ac:dyDescent="0.2">
      <c r="A261" s="10" t="str">
        <f>HYPERLINK("http://www.ofsted.gov.uk/inspection-reports/find-inspection-report/provider/ELS/110602 ","Ofsted School Webpage")</f>
        <v>Ofsted School Webpage</v>
      </c>
      <c r="B261" s="92">
        <v>110602</v>
      </c>
      <c r="C261" s="92">
        <v>8732002</v>
      </c>
      <c r="D261" s="92" t="s">
        <v>1000</v>
      </c>
      <c r="E261" s="92" t="s">
        <v>94</v>
      </c>
      <c r="F261" s="92" t="s">
        <v>269</v>
      </c>
      <c r="G261" s="92" t="s">
        <v>270</v>
      </c>
      <c r="H261" s="92" t="s">
        <v>271</v>
      </c>
      <c r="I261" s="92" t="s">
        <v>272</v>
      </c>
      <c r="J261" s="92" t="s">
        <v>273</v>
      </c>
      <c r="K261" s="92" t="s">
        <v>273</v>
      </c>
      <c r="L261" s="92" t="s">
        <v>274</v>
      </c>
      <c r="M261" s="92" t="s">
        <v>110</v>
      </c>
      <c r="N261" s="92" t="s">
        <v>110</v>
      </c>
      <c r="O261" s="92" t="s">
        <v>112</v>
      </c>
      <c r="P261" s="92" t="s">
        <v>445</v>
      </c>
      <c r="Q261" s="92" t="s">
        <v>1001</v>
      </c>
      <c r="R261" s="92">
        <v>1</v>
      </c>
      <c r="S261" s="92">
        <v>344</v>
      </c>
      <c r="T261" s="9">
        <v>44112</v>
      </c>
      <c r="U261" s="9">
        <v>44151</v>
      </c>
    </row>
    <row r="262" spans="1:21" x14ac:dyDescent="0.2">
      <c r="A262" s="10" t="str">
        <f>HYPERLINK("http://www.ofsted.gov.uk/inspection-reports/find-inspection-report/provider/ELS/105032 ","Ofsted School Webpage")</f>
        <v>Ofsted School Webpage</v>
      </c>
      <c r="B262" s="92">
        <v>105032</v>
      </c>
      <c r="C262" s="92">
        <v>3442232</v>
      </c>
      <c r="D262" s="92" t="s">
        <v>1002</v>
      </c>
      <c r="E262" s="92" t="s">
        <v>94</v>
      </c>
      <c r="F262" s="92" t="s">
        <v>269</v>
      </c>
      <c r="G262" s="9" t="s">
        <v>270</v>
      </c>
      <c r="H262" s="92" t="s">
        <v>271</v>
      </c>
      <c r="I262" s="92" t="s">
        <v>272</v>
      </c>
      <c r="J262" s="92" t="s">
        <v>273</v>
      </c>
      <c r="K262" s="92" t="s">
        <v>273</v>
      </c>
      <c r="L262" s="92" t="s">
        <v>274</v>
      </c>
      <c r="M262" s="92" t="s">
        <v>168</v>
      </c>
      <c r="N262" s="92" t="s">
        <v>168</v>
      </c>
      <c r="O262" s="92" t="s">
        <v>181</v>
      </c>
      <c r="P262" s="92" t="s">
        <v>1003</v>
      </c>
      <c r="Q262" s="92" t="s">
        <v>1004</v>
      </c>
      <c r="R262" s="92">
        <v>2</v>
      </c>
      <c r="S262" s="92">
        <v>206</v>
      </c>
      <c r="T262" s="9">
        <v>44112</v>
      </c>
      <c r="U262" s="9">
        <v>44146</v>
      </c>
    </row>
    <row r="263" spans="1:21" x14ac:dyDescent="0.2">
      <c r="A263" s="10" t="str">
        <f>HYPERLINK("http://www.ofsted.gov.uk/inspection-reports/find-inspection-report/provider/ELS/100457 ","Ofsted School Webpage")</f>
        <v>Ofsted School Webpage</v>
      </c>
      <c r="B263" s="92">
        <v>100457</v>
      </c>
      <c r="C263" s="92">
        <v>2064324</v>
      </c>
      <c r="D263" s="92" t="s">
        <v>1005</v>
      </c>
      <c r="E263" s="92" t="s">
        <v>95</v>
      </c>
      <c r="F263" s="92" t="s">
        <v>269</v>
      </c>
      <c r="G263" s="9" t="s">
        <v>270</v>
      </c>
      <c r="H263" s="92" t="s">
        <v>299</v>
      </c>
      <c r="I263" s="92" t="s">
        <v>272</v>
      </c>
      <c r="J263" s="92" t="s">
        <v>273</v>
      </c>
      <c r="K263" s="92" t="s">
        <v>273</v>
      </c>
      <c r="L263" s="92" t="s">
        <v>274</v>
      </c>
      <c r="M263" s="92" t="s">
        <v>122</v>
      </c>
      <c r="N263" s="92" t="s">
        <v>122</v>
      </c>
      <c r="O263" s="92" t="s">
        <v>133</v>
      </c>
      <c r="P263" s="92" t="s">
        <v>553</v>
      </c>
      <c r="Q263" s="92" t="s">
        <v>1006</v>
      </c>
      <c r="R263" s="92">
        <v>5</v>
      </c>
      <c r="S263" s="92">
        <v>892</v>
      </c>
      <c r="T263" s="9">
        <v>44112</v>
      </c>
      <c r="U263" s="9">
        <v>44154</v>
      </c>
    </row>
    <row r="264" spans="1:21" x14ac:dyDescent="0.2">
      <c r="A264" s="10" t="str">
        <f>HYPERLINK("http://www.ofsted.gov.uk/inspection-reports/find-inspection-report/provider/ELS/103333 ","Ofsted School Webpage")</f>
        <v>Ofsted School Webpage</v>
      </c>
      <c r="B264" s="92">
        <v>103333</v>
      </c>
      <c r="C264" s="92">
        <v>3302313</v>
      </c>
      <c r="D264" s="92" t="s">
        <v>1007</v>
      </c>
      <c r="E264" s="92" t="s">
        <v>94</v>
      </c>
      <c r="F264" s="92" t="s">
        <v>269</v>
      </c>
      <c r="G264" s="9" t="s">
        <v>270</v>
      </c>
      <c r="H264" s="92" t="s">
        <v>271</v>
      </c>
      <c r="I264" s="92" t="s">
        <v>271</v>
      </c>
      <c r="J264" s="92" t="s">
        <v>273</v>
      </c>
      <c r="K264" s="92" t="s">
        <v>273</v>
      </c>
      <c r="L264" s="92" t="s">
        <v>274</v>
      </c>
      <c r="M264" s="92" t="s">
        <v>226</v>
      </c>
      <c r="N264" s="92" t="s">
        <v>226</v>
      </c>
      <c r="O264" s="92" t="s">
        <v>232</v>
      </c>
      <c r="P264" s="92" t="s">
        <v>1008</v>
      </c>
      <c r="Q264" s="92" t="s">
        <v>1009</v>
      </c>
      <c r="R264" s="92">
        <v>5</v>
      </c>
      <c r="S264" s="92">
        <v>358</v>
      </c>
      <c r="T264" s="9">
        <v>44112</v>
      </c>
      <c r="U264" s="9">
        <v>44146</v>
      </c>
    </row>
    <row r="265" spans="1:21" x14ac:dyDescent="0.2">
      <c r="A265" s="10" t="str">
        <f>HYPERLINK("http://www.ofsted.gov.uk/inspection-reports/find-inspection-report/provider/ELS/113209 ","Ofsted School Webpage")</f>
        <v>Ofsted School Webpage</v>
      </c>
      <c r="B265" s="92">
        <v>113209</v>
      </c>
      <c r="C265" s="92">
        <v>8782431</v>
      </c>
      <c r="D265" s="92" t="s">
        <v>1010</v>
      </c>
      <c r="E265" s="92" t="s">
        <v>94</v>
      </c>
      <c r="F265" s="92" t="s">
        <v>269</v>
      </c>
      <c r="G265" s="9" t="s">
        <v>270</v>
      </c>
      <c r="H265" s="92" t="s">
        <v>271</v>
      </c>
      <c r="I265" s="92" t="s">
        <v>272</v>
      </c>
      <c r="J265" s="92" t="s">
        <v>273</v>
      </c>
      <c r="K265" s="92" t="s">
        <v>273</v>
      </c>
      <c r="L265" s="92" t="s">
        <v>274</v>
      </c>
      <c r="M265" s="92" t="s">
        <v>211</v>
      </c>
      <c r="N265" s="92" t="s">
        <v>211</v>
      </c>
      <c r="O265" s="92" t="s">
        <v>220</v>
      </c>
      <c r="P265" s="92" t="s">
        <v>1011</v>
      </c>
      <c r="Q265" s="92" t="s">
        <v>1012</v>
      </c>
      <c r="R265" s="92">
        <v>3</v>
      </c>
      <c r="S265" s="92">
        <v>439</v>
      </c>
      <c r="T265" s="9">
        <v>44112</v>
      </c>
      <c r="U265" s="9">
        <v>44151</v>
      </c>
    </row>
    <row r="266" spans="1:21" x14ac:dyDescent="0.2">
      <c r="A266" s="10" t="str">
        <f>HYPERLINK("http://www.ofsted.gov.uk/inspection-reports/find-inspection-report/provider/ELS/136281 ","Ofsted School Webpage")</f>
        <v>Ofsted School Webpage</v>
      </c>
      <c r="B266" s="92">
        <v>136281</v>
      </c>
      <c r="C266" s="92">
        <v>3055406</v>
      </c>
      <c r="D266" s="92" t="s">
        <v>1013</v>
      </c>
      <c r="E266" s="92" t="s">
        <v>95</v>
      </c>
      <c r="F266" s="92" t="s">
        <v>429</v>
      </c>
      <c r="G266" s="9">
        <v>40422</v>
      </c>
      <c r="H266" s="92" t="s">
        <v>299</v>
      </c>
      <c r="I266" s="92" t="s">
        <v>300</v>
      </c>
      <c r="J266" s="92" t="s">
        <v>410</v>
      </c>
      <c r="K266" s="92" t="s">
        <v>273</v>
      </c>
      <c r="L266" s="92" t="s">
        <v>274</v>
      </c>
      <c r="M266" s="92" t="s">
        <v>122</v>
      </c>
      <c r="N266" s="92" t="s">
        <v>122</v>
      </c>
      <c r="O266" s="92" t="s">
        <v>139</v>
      </c>
      <c r="P266" s="92" t="s">
        <v>1014</v>
      </c>
      <c r="Q266" s="92" t="s">
        <v>1015</v>
      </c>
      <c r="R266" s="92">
        <v>5</v>
      </c>
      <c r="S266" s="92">
        <v>512</v>
      </c>
      <c r="T266" s="9">
        <v>44112</v>
      </c>
      <c r="U266" s="9">
        <v>44159</v>
      </c>
    </row>
    <row r="267" spans="1:21" x14ac:dyDescent="0.2">
      <c r="A267" s="10" t="str">
        <f>HYPERLINK("http://www.ofsted.gov.uk/inspection-reports/find-inspection-report/provider/ELS/138129 ","Ofsted School Webpage")</f>
        <v>Ofsted School Webpage</v>
      </c>
      <c r="B267" s="92">
        <v>138129</v>
      </c>
      <c r="C267" s="92">
        <v>8412001</v>
      </c>
      <c r="D267" s="92" t="s">
        <v>1016</v>
      </c>
      <c r="E267" s="92" t="s">
        <v>94</v>
      </c>
      <c r="F267" s="92" t="s">
        <v>429</v>
      </c>
      <c r="G267" s="9">
        <v>41030</v>
      </c>
      <c r="H267" s="92" t="s">
        <v>271</v>
      </c>
      <c r="I267" s="92" t="s">
        <v>272</v>
      </c>
      <c r="J267" s="92" t="s">
        <v>273</v>
      </c>
      <c r="K267" s="92" t="s">
        <v>273</v>
      </c>
      <c r="L267" s="92" t="s">
        <v>274</v>
      </c>
      <c r="M267" s="92" t="s">
        <v>261</v>
      </c>
      <c r="N267" s="92" t="s">
        <v>155</v>
      </c>
      <c r="O267" s="92" t="s">
        <v>160</v>
      </c>
      <c r="P267" s="92" t="s">
        <v>160</v>
      </c>
      <c r="Q267" s="92" t="s">
        <v>1017</v>
      </c>
      <c r="R267" s="92">
        <v>5</v>
      </c>
      <c r="S267" s="92">
        <v>313</v>
      </c>
      <c r="T267" s="9">
        <v>44112</v>
      </c>
      <c r="U267" s="9">
        <v>44152</v>
      </c>
    </row>
    <row r="268" spans="1:21" x14ac:dyDescent="0.2">
      <c r="A268" s="10" t="str">
        <f>HYPERLINK("http://www.ofsted.gov.uk/inspection-reports/find-inspection-report/provider/ELS/141446 ","Ofsted School Webpage")</f>
        <v>Ofsted School Webpage</v>
      </c>
      <c r="B268" s="92">
        <v>141446</v>
      </c>
      <c r="C268" s="92">
        <v>9363353</v>
      </c>
      <c r="D268" s="92" t="s">
        <v>1018</v>
      </c>
      <c r="E268" s="92" t="s">
        <v>94</v>
      </c>
      <c r="F268" s="92" t="s">
        <v>429</v>
      </c>
      <c r="G268" s="9">
        <v>41913</v>
      </c>
      <c r="H268" s="92" t="s">
        <v>271</v>
      </c>
      <c r="I268" s="92" t="s">
        <v>272</v>
      </c>
      <c r="J268" s="92" t="s">
        <v>346</v>
      </c>
      <c r="K268" s="92" t="s">
        <v>273</v>
      </c>
      <c r="L268" s="92" t="s">
        <v>347</v>
      </c>
      <c r="M268" s="92" t="s">
        <v>192</v>
      </c>
      <c r="N268" s="92" t="s">
        <v>192</v>
      </c>
      <c r="O268" s="92" t="s">
        <v>198</v>
      </c>
      <c r="P268" s="92" t="s">
        <v>1019</v>
      </c>
      <c r="Q268" s="92" t="s">
        <v>1020</v>
      </c>
      <c r="R268" s="92">
        <v>1</v>
      </c>
      <c r="S268" s="92">
        <v>353</v>
      </c>
      <c r="T268" s="9">
        <v>44112</v>
      </c>
      <c r="U268" s="9">
        <v>44147</v>
      </c>
    </row>
    <row r="269" spans="1:21" x14ac:dyDescent="0.2">
      <c r="A269" s="10" t="str">
        <f>HYPERLINK("http://www.ofsted.gov.uk/inspection-reports/find-inspection-report/provider/ELS/137131 ","Ofsted School Webpage")</f>
        <v>Ofsted School Webpage</v>
      </c>
      <c r="B269" s="92">
        <v>137131</v>
      </c>
      <c r="C269" s="92">
        <v>3024208</v>
      </c>
      <c r="D269" s="92" t="s">
        <v>1021</v>
      </c>
      <c r="E269" s="92" t="s">
        <v>95</v>
      </c>
      <c r="F269" s="92" t="s">
        <v>429</v>
      </c>
      <c r="G269" s="9">
        <v>40756</v>
      </c>
      <c r="H269" s="92" t="s">
        <v>299</v>
      </c>
      <c r="I269" s="92" t="s">
        <v>300</v>
      </c>
      <c r="J269" s="92" t="s">
        <v>273</v>
      </c>
      <c r="K269" s="92" t="s">
        <v>273</v>
      </c>
      <c r="L269" s="92" t="s">
        <v>274</v>
      </c>
      <c r="M269" s="92" t="s">
        <v>122</v>
      </c>
      <c r="N269" s="92" t="s">
        <v>122</v>
      </c>
      <c r="O269" s="92" t="s">
        <v>136</v>
      </c>
      <c r="P269" s="92" t="s">
        <v>1022</v>
      </c>
      <c r="Q269" s="92" t="s">
        <v>1023</v>
      </c>
      <c r="R269" s="92">
        <v>3</v>
      </c>
      <c r="S269" s="92">
        <v>1040</v>
      </c>
      <c r="T269" s="9">
        <v>44112</v>
      </c>
      <c r="U269" s="9">
        <v>44158</v>
      </c>
    </row>
    <row r="270" spans="1:21" x14ac:dyDescent="0.2">
      <c r="A270" s="10" t="str">
        <f>HYPERLINK("http://www.ofsted.gov.uk/inspection-reports/find-inspection-report/provider/ELS/144845 ","Ofsted School Webpage")</f>
        <v>Ofsted School Webpage</v>
      </c>
      <c r="B270" s="92">
        <v>144845</v>
      </c>
      <c r="C270" s="92">
        <v>8512694</v>
      </c>
      <c r="D270" s="92" t="s">
        <v>1024</v>
      </c>
      <c r="E270" s="92" t="s">
        <v>94</v>
      </c>
      <c r="F270" s="92" t="s">
        <v>429</v>
      </c>
      <c r="G270" s="9">
        <v>43009</v>
      </c>
      <c r="H270" s="92" t="s">
        <v>271</v>
      </c>
      <c r="I270" s="92" t="s">
        <v>272</v>
      </c>
      <c r="J270" s="92" t="s">
        <v>273</v>
      </c>
      <c r="K270" s="92" t="s">
        <v>273</v>
      </c>
      <c r="L270" s="92" t="s">
        <v>274</v>
      </c>
      <c r="M270" s="92" t="s">
        <v>192</v>
      </c>
      <c r="N270" s="92" t="s">
        <v>192</v>
      </c>
      <c r="O270" s="92" t="s">
        <v>196</v>
      </c>
      <c r="P270" s="92" t="s">
        <v>1025</v>
      </c>
      <c r="Q270" s="92" t="s">
        <v>1026</v>
      </c>
      <c r="R270" s="92">
        <v>3</v>
      </c>
      <c r="S270" s="92">
        <v>259</v>
      </c>
      <c r="T270" s="9">
        <v>44112</v>
      </c>
      <c r="U270" s="9">
        <v>44146</v>
      </c>
    </row>
    <row r="271" spans="1:21" x14ac:dyDescent="0.2">
      <c r="A271" s="10" t="str">
        <f>HYPERLINK("http://www.ofsted.gov.uk/inspection-reports/find-inspection-report/provider/ELS/144634 ","Ofsted School Webpage")</f>
        <v>Ofsted School Webpage</v>
      </c>
      <c r="B271" s="92">
        <v>144634</v>
      </c>
      <c r="C271" s="92">
        <v>8862086</v>
      </c>
      <c r="D271" s="92" t="s">
        <v>1027</v>
      </c>
      <c r="E271" s="92" t="s">
        <v>94</v>
      </c>
      <c r="F271" s="92" t="s">
        <v>491</v>
      </c>
      <c r="G271" s="9">
        <v>42979</v>
      </c>
      <c r="H271" s="92" t="s">
        <v>484</v>
      </c>
      <c r="I271" s="92" t="s">
        <v>272</v>
      </c>
      <c r="J271" s="92" t="s">
        <v>346</v>
      </c>
      <c r="K271" s="92" t="s">
        <v>346</v>
      </c>
      <c r="L271" s="92" t="s">
        <v>347</v>
      </c>
      <c r="M271" s="92" t="s">
        <v>192</v>
      </c>
      <c r="N271" s="92" t="s">
        <v>192</v>
      </c>
      <c r="O271" s="92" t="s">
        <v>194</v>
      </c>
      <c r="P271" s="92" t="s">
        <v>1028</v>
      </c>
      <c r="Q271" s="92" t="s">
        <v>1029</v>
      </c>
      <c r="R271" s="92">
        <v>4</v>
      </c>
      <c r="S271" s="92">
        <v>161</v>
      </c>
      <c r="T271" s="9">
        <v>44112</v>
      </c>
      <c r="U271" s="9">
        <v>44157</v>
      </c>
    </row>
    <row r="272" spans="1:21" x14ac:dyDescent="0.2">
      <c r="A272" s="10" t="str">
        <f>HYPERLINK("http://www.ofsted.gov.uk/inspection-reports/find-inspection-report/provider/ELS/141971 ","Ofsted School Webpage")</f>
        <v>Ofsted School Webpage</v>
      </c>
      <c r="B272" s="92">
        <v>141971</v>
      </c>
      <c r="C272" s="92">
        <v>8884014</v>
      </c>
      <c r="D272" s="92" t="s">
        <v>1030</v>
      </c>
      <c r="E272" s="92" t="s">
        <v>95</v>
      </c>
      <c r="F272" s="92" t="s">
        <v>491</v>
      </c>
      <c r="G272" s="9">
        <v>42248</v>
      </c>
      <c r="H272" s="92" t="s">
        <v>299</v>
      </c>
      <c r="I272" s="92" t="s">
        <v>300</v>
      </c>
      <c r="J272" s="92" t="s">
        <v>547</v>
      </c>
      <c r="K272" s="92" t="s">
        <v>410</v>
      </c>
      <c r="L272" s="92" t="s">
        <v>547</v>
      </c>
      <c r="M272" s="92" t="s">
        <v>168</v>
      </c>
      <c r="N272" s="92" t="s">
        <v>168</v>
      </c>
      <c r="O272" s="92" t="s">
        <v>169</v>
      </c>
      <c r="P272" s="92" t="s">
        <v>1031</v>
      </c>
      <c r="Q272" s="92" t="s">
        <v>1032</v>
      </c>
      <c r="R272" s="92">
        <v>4</v>
      </c>
      <c r="S272" s="92">
        <v>580</v>
      </c>
      <c r="T272" s="9">
        <v>44112</v>
      </c>
      <c r="U272" s="9">
        <v>44154</v>
      </c>
    </row>
    <row r="273" spans="1:21" x14ac:dyDescent="0.2">
      <c r="A273" s="10" t="str">
        <f>HYPERLINK("http://www.ofsted.gov.uk/inspection-reports/find-inspection-report/provider/ELS/138005 ","Ofsted School Webpage")</f>
        <v>Ofsted School Webpage</v>
      </c>
      <c r="B273" s="92">
        <v>138005</v>
      </c>
      <c r="C273" s="92">
        <v>8662151</v>
      </c>
      <c r="D273" s="92" t="s">
        <v>1033</v>
      </c>
      <c r="E273" s="92" t="s">
        <v>94</v>
      </c>
      <c r="F273" s="92" t="s">
        <v>429</v>
      </c>
      <c r="G273" s="9">
        <v>41000</v>
      </c>
      <c r="H273" s="92" t="s">
        <v>271</v>
      </c>
      <c r="I273" s="92" t="s">
        <v>272</v>
      </c>
      <c r="J273" s="92" t="s">
        <v>273</v>
      </c>
      <c r="K273" s="92" t="s">
        <v>273</v>
      </c>
      <c r="L273" s="92" t="s">
        <v>274</v>
      </c>
      <c r="M273" s="92" t="s">
        <v>211</v>
      </c>
      <c r="N273" s="92" t="s">
        <v>211</v>
      </c>
      <c r="O273" s="92" t="s">
        <v>224</v>
      </c>
      <c r="P273" s="92" t="s">
        <v>1034</v>
      </c>
      <c r="Q273" s="92" t="s">
        <v>1035</v>
      </c>
      <c r="R273" s="92">
        <v>5</v>
      </c>
      <c r="S273" s="92">
        <v>336</v>
      </c>
      <c r="T273" s="9">
        <v>44112</v>
      </c>
      <c r="U273" s="9">
        <v>44157</v>
      </c>
    </row>
    <row r="274" spans="1:21" x14ac:dyDescent="0.2">
      <c r="A274" s="10" t="str">
        <f>HYPERLINK("http://www.ofsted.gov.uk/inspection-reports/find-inspection-report/provider/ELS/141760 ","Ofsted School Webpage")</f>
        <v>Ofsted School Webpage</v>
      </c>
      <c r="B274" s="92">
        <v>141760</v>
      </c>
      <c r="C274" s="92">
        <v>8913292</v>
      </c>
      <c r="D274" s="92" t="s">
        <v>1036</v>
      </c>
      <c r="E274" s="92" t="s">
        <v>94</v>
      </c>
      <c r="F274" s="92" t="s">
        <v>429</v>
      </c>
      <c r="G274" s="9">
        <v>42064</v>
      </c>
      <c r="H274" s="92" t="s">
        <v>271</v>
      </c>
      <c r="I274" s="92" t="s">
        <v>272</v>
      </c>
      <c r="J274" s="92" t="s">
        <v>273</v>
      </c>
      <c r="K274" s="92" t="s">
        <v>273</v>
      </c>
      <c r="L274" s="92" t="s">
        <v>274</v>
      </c>
      <c r="M274" s="92" t="s">
        <v>100</v>
      </c>
      <c r="N274" s="92" t="s">
        <v>100</v>
      </c>
      <c r="O274" s="92" t="s">
        <v>105</v>
      </c>
      <c r="P274" s="92" t="s">
        <v>1037</v>
      </c>
      <c r="Q274" s="92" t="s">
        <v>1038</v>
      </c>
      <c r="R274" s="92">
        <v>5</v>
      </c>
      <c r="S274" s="92">
        <v>552</v>
      </c>
      <c r="T274" s="9">
        <v>44112</v>
      </c>
      <c r="U274" s="9">
        <v>44151</v>
      </c>
    </row>
    <row r="275" spans="1:21" x14ac:dyDescent="0.2">
      <c r="A275" s="10" t="str">
        <f>HYPERLINK("http://www.ofsted.gov.uk/inspection-reports/find-inspection-report/provider/ELS/140254 ","Ofsted School Webpage")</f>
        <v>Ofsted School Webpage</v>
      </c>
      <c r="B275" s="92">
        <v>140254</v>
      </c>
      <c r="C275" s="92">
        <v>3724020</v>
      </c>
      <c r="D275" s="92" t="s">
        <v>1039</v>
      </c>
      <c r="E275" s="92" t="s">
        <v>95</v>
      </c>
      <c r="F275" s="92" t="s">
        <v>429</v>
      </c>
      <c r="G275" s="9">
        <v>41548</v>
      </c>
      <c r="H275" s="92" t="s">
        <v>299</v>
      </c>
      <c r="I275" s="92" t="s">
        <v>272</v>
      </c>
      <c r="J275" s="92" t="s">
        <v>273</v>
      </c>
      <c r="K275" s="92" t="s">
        <v>273</v>
      </c>
      <c r="L275" s="92" t="s">
        <v>274</v>
      </c>
      <c r="M275" s="92" t="s">
        <v>261</v>
      </c>
      <c r="N275" s="92" t="s">
        <v>241</v>
      </c>
      <c r="O275" s="92" t="s">
        <v>242</v>
      </c>
      <c r="P275" s="92" t="s">
        <v>1040</v>
      </c>
      <c r="Q275" s="92" t="s">
        <v>1041</v>
      </c>
      <c r="R275" s="92">
        <v>5</v>
      </c>
      <c r="S275" s="92">
        <v>673</v>
      </c>
      <c r="T275" s="9">
        <v>44112</v>
      </c>
      <c r="U275" s="9">
        <v>44158</v>
      </c>
    </row>
    <row r="276" spans="1:21" x14ac:dyDescent="0.2">
      <c r="A276" s="10" t="str">
        <f>HYPERLINK("http://www.ofsted.gov.uk/inspection-reports/find-inspection-report/provider/ELS/136528 ","Ofsted School Webpage")</f>
        <v>Ofsted School Webpage</v>
      </c>
      <c r="B276" s="92">
        <v>136528</v>
      </c>
      <c r="C276" s="92">
        <v>9165200</v>
      </c>
      <c r="D276" s="92" t="s">
        <v>1042</v>
      </c>
      <c r="E276" s="92" t="s">
        <v>94</v>
      </c>
      <c r="F276" s="92" t="s">
        <v>429</v>
      </c>
      <c r="G276" s="9">
        <v>40634</v>
      </c>
      <c r="H276" s="92" t="s">
        <v>271</v>
      </c>
      <c r="I276" s="92" t="s">
        <v>271</v>
      </c>
      <c r="J276" s="92" t="s">
        <v>410</v>
      </c>
      <c r="K276" s="92" t="s">
        <v>273</v>
      </c>
      <c r="L276" s="92" t="s">
        <v>274</v>
      </c>
      <c r="M276" s="92" t="s">
        <v>211</v>
      </c>
      <c r="N276" s="92" t="s">
        <v>211</v>
      </c>
      <c r="O276" s="92" t="s">
        <v>217</v>
      </c>
      <c r="P276" s="92" t="s">
        <v>774</v>
      </c>
      <c r="Q276" s="92" t="s">
        <v>1043</v>
      </c>
      <c r="R276" s="92">
        <v>5</v>
      </c>
      <c r="S276" s="92">
        <v>440</v>
      </c>
      <c r="T276" s="9">
        <v>44112</v>
      </c>
      <c r="U276" s="9">
        <v>44146</v>
      </c>
    </row>
    <row r="277" spans="1:21" x14ac:dyDescent="0.2">
      <c r="A277" s="10" t="str">
        <f>HYPERLINK("http://www.ofsted.gov.uk/inspection-reports/find-inspection-report/provider/ELS/140790 ","Ofsted School Webpage")</f>
        <v>Ofsted School Webpage</v>
      </c>
      <c r="B277" s="92">
        <v>140790</v>
      </c>
      <c r="C277" s="92">
        <v>9082224</v>
      </c>
      <c r="D277" s="92" t="s">
        <v>1044</v>
      </c>
      <c r="E277" s="92" t="s">
        <v>94</v>
      </c>
      <c r="F277" s="92" t="s">
        <v>429</v>
      </c>
      <c r="G277" s="9">
        <v>41730</v>
      </c>
      <c r="H277" s="92" t="s">
        <v>271</v>
      </c>
      <c r="I277" s="92" t="s">
        <v>272</v>
      </c>
      <c r="J277" s="92" t="s">
        <v>273</v>
      </c>
      <c r="K277" s="92" t="s">
        <v>273</v>
      </c>
      <c r="L277" s="92" t="s">
        <v>274</v>
      </c>
      <c r="M277" s="92" t="s">
        <v>211</v>
      </c>
      <c r="N277" s="92" t="s">
        <v>211</v>
      </c>
      <c r="O277" s="92" t="s">
        <v>219</v>
      </c>
      <c r="P277" s="92" t="s">
        <v>877</v>
      </c>
      <c r="Q277" s="92" t="s">
        <v>1045</v>
      </c>
      <c r="R277" s="92">
        <v>4</v>
      </c>
      <c r="S277" s="92">
        <v>170</v>
      </c>
      <c r="T277" s="9">
        <v>44112</v>
      </c>
      <c r="U277" s="9">
        <v>44157</v>
      </c>
    </row>
    <row r="278" spans="1:21" x14ac:dyDescent="0.2">
      <c r="A278" s="10" t="str">
        <f>HYPERLINK("http://www.ofsted.gov.uk/inspection-reports/find-inspection-report/provider/ELS/138059 ","Ofsted School Webpage")</f>
        <v>Ofsted School Webpage</v>
      </c>
      <c r="B278" s="92">
        <v>138059</v>
      </c>
      <c r="C278" s="92">
        <v>3304323</v>
      </c>
      <c r="D278" s="92" t="s">
        <v>1046</v>
      </c>
      <c r="E278" s="92" t="s">
        <v>95</v>
      </c>
      <c r="F278" s="92" t="s">
        <v>429</v>
      </c>
      <c r="G278" s="9">
        <v>41000</v>
      </c>
      <c r="H278" s="92" t="s">
        <v>299</v>
      </c>
      <c r="I278" s="92" t="s">
        <v>272</v>
      </c>
      <c r="J278" s="92" t="s">
        <v>273</v>
      </c>
      <c r="K278" s="92" t="s">
        <v>273</v>
      </c>
      <c r="L278" s="92" t="s">
        <v>274</v>
      </c>
      <c r="M278" s="92" t="s">
        <v>226</v>
      </c>
      <c r="N278" s="92" t="s">
        <v>226</v>
      </c>
      <c r="O278" s="92" t="s">
        <v>232</v>
      </c>
      <c r="P278" s="92" t="s">
        <v>1047</v>
      </c>
      <c r="Q278" s="92" t="s">
        <v>1048</v>
      </c>
      <c r="R278" s="92">
        <v>5</v>
      </c>
      <c r="S278" s="92">
        <v>785</v>
      </c>
      <c r="T278" s="9">
        <v>44112</v>
      </c>
      <c r="U278" s="9">
        <v>44151</v>
      </c>
    </row>
    <row r="279" spans="1:21" x14ac:dyDescent="0.2">
      <c r="A279" s="10" t="str">
        <f>HYPERLINK("http://www.ofsted.gov.uk/inspection-reports/find-inspection-report/provider/ELS/136958 ","Ofsted School Webpage")</f>
        <v>Ofsted School Webpage</v>
      </c>
      <c r="B279" s="92">
        <v>136958</v>
      </c>
      <c r="C279" s="92">
        <v>9254049</v>
      </c>
      <c r="D279" s="92" t="s">
        <v>1049</v>
      </c>
      <c r="E279" s="92" t="s">
        <v>95</v>
      </c>
      <c r="F279" s="92" t="s">
        <v>429</v>
      </c>
      <c r="G279" s="9">
        <v>40756</v>
      </c>
      <c r="H279" s="92" t="s">
        <v>299</v>
      </c>
      <c r="I279" s="92" t="s">
        <v>272</v>
      </c>
      <c r="J279" s="92" t="s">
        <v>273</v>
      </c>
      <c r="K279" s="92" t="s">
        <v>273</v>
      </c>
      <c r="L279" s="92" t="s">
        <v>274</v>
      </c>
      <c r="M279" s="92" t="s">
        <v>100</v>
      </c>
      <c r="N279" s="92" t="s">
        <v>100</v>
      </c>
      <c r="O279" s="92" t="s">
        <v>104</v>
      </c>
      <c r="P279" s="92" t="s">
        <v>1050</v>
      </c>
      <c r="Q279" s="92" t="s">
        <v>1051</v>
      </c>
      <c r="R279" s="92">
        <v>3</v>
      </c>
      <c r="S279" s="92">
        <v>373</v>
      </c>
      <c r="T279" s="9">
        <v>44112</v>
      </c>
      <c r="U279" s="9">
        <v>44150</v>
      </c>
    </row>
    <row r="280" spans="1:21" x14ac:dyDescent="0.2">
      <c r="A280" s="10" t="str">
        <f>HYPERLINK("http://www.ofsted.gov.uk/inspection-reports/find-inspection-report/provider/ELS/140018 ","Ofsted School Webpage")</f>
        <v>Ofsted School Webpage</v>
      </c>
      <c r="B280" s="92">
        <v>140018</v>
      </c>
      <c r="C280" s="92">
        <v>8152000</v>
      </c>
      <c r="D280" s="92" t="s">
        <v>1052</v>
      </c>
      <c r="E280" s="92" t="s">
        <v>94</v>
      </c>
      <c r="F280" s="92" t="s">
        <v>409</v>
      </c>
      <c r="G280" s="9">
        <v>41579</v>
      </c>
      <c r="H280" s="92" t="s">
        <v>271</v>
      </c>
      <c r="I280" s="92" t="s">
        <v>272</v>
      </c>
      <c r="J280" s="92" t="s">
        <v>273</v>
      </c>
      <c r="K280" s="92" t="s">
        <v>410</v>
      </c>
      <c r="L280" s="92" t="s">
        <v>274</v>
      </c>
      <c r="M280" s="92" t="s">
        <v>261</v>
      </c>
      <c r="N280" s="92" t="s">
        <v>241</v>
      </c>
      <c r="O280" s="92" t="s">
        <v>247</v>
      </c>
      <c r="P280" s="92" t="s">
        <v>619</v>
      </c>
      <c r="Q280" s="92" t="s">
        <v>1053</v>
      </c>
      <c r="R280" s="92">
        <v>5</v>
      </c>
      <c r="S280" s="92">
        <v>270</v>
      </c>
      <c r="T280" s="9">
        <v>44112</v>
      </c>
      <c r="U280" s="9">
        <v>44160</v>
      </c>
    </row>
    <row r="281" spans="1:21" x14ac:dyDescent="0.2">
      <c r="A281" s="10" t="str">
        <f>HYPERLINK("http://www.ofsted.gov.uk/inspection-reports/find-inspection-report/provider/ELS/138359 ","Ofsted School Webpage")</f>
        <v>Ofsted School Webpage</v>
      </c>
      <c r="B281" s="92">
        <v>138359</v>
      </c>
      <c r="C281" s="92">
        <v>8553059</v>
      </c>
      <c r="D281" s="92" t="s">
        <v>1054</v>
      </c>
      <c r="E281" s="92" t="s">
        <v>94</v>
      </c>
      <c r="F281" s="92" t="s">
        <v>429</v>
      </c>
      <c r="G281" s="9">
        <v>41091</v>
      </c>
      <c r="H281" s="92" t="s">
        <v>271</v>
      </c>
      <c r="I281" s="92" t="s">
        <v>272</v>
      </c>
      <c r="J281" s="92" t="s">
        <v>346</v>
      </c>
      <c r="K281" s="92" t="s">
        <v>273</v>
      </c>
      <c r="L281" s="92" t="s">
        <v>347</v>
      </c>
      <c r="M281" s="92" t="s">
        <v>100</v>
      </c>
      <c r="N281" s="92" t="s">
        <v>100</v>
      </c>
      <c r="O281" s="92" t="s">
        <v>108</v>
      </c>
      <c r="P281" s="92" t="s">
        <v>1055</v>
      </c>
      <c r="Q281" s="92" t="s">
        <v>1056</v>
      </c>
      <c r="R281" s="92">
        <v>1</v>
      </c>
      <c r="S281" s="92">
        <v>138</v>
      </c>
      <c r="T281" s="9">
        <v>44112</v>
      </c>
      <c r="U281" s="9">
        <v>44151</v>
      </c>
    </row>
    <row r="282" spans="1:21" x14ac:dyDescent="0.2">
      <c r="A282" s="10" t="str">
        <f>HYPERLINK("http://www.ofsted.gov.uk/inspection-reports/find-inspection-report/provider/ELS/137656 ","Ofsted School Webpage")</f>
        <v>Ofsted School Webpage</v>
      </c>
      <c r="B282" s="92">
        <v>137656</v>
      </c>
      <c r="C282" s="92">
        <v>9194140</v>
      </c>
      <c r="D282" s="92" t="s">
        <v>1057</v>
      </c>
      <c r="E282" s="92" t="s">
        <v>95</v>
      </c>
      <c r="F282" s="92" t="s">
        <v>429</v>
      </c>
      <c r="G282" s="9">
        <v>40848</v>
      </c>
      <c r="H282" s="92" t="s">
        <v>299</v>
      </c>
      <c r="I282" s="92" t="s">
        <v>300</v>
      </c>
      <c r="J282" s="92" t="s">
        <v>273</v>
      </c>
      <c r="K282" s="92" t="s">
        <v>273</v>
      </c>
      <c r="L282" s="92" t="s">
        <v>274</v>
      </c>
      <c r="M282" s="92" t="s">
        <v>110</v>
      </c>
      <c r="N282" s="92" t="s">
        <v>110</v>
      </c>
      <c r="O282" s="92" t="s">
        <v>117</v>
      </c>
      <c r="P282" s="92" t="s">
        <v>777</v>
      </c>
      <c r="Q282" s="92" t="s">
        <v>1058</v>
      </c>
      <c r="R282" s="92">
        <v>1</v>
      </c>
      <c r="S282" s="92">
        <v>861</v>
      </c>
      <c r="T282" s="9">
        <v>44112</v>
      </c>
      <c r="U282" s="9">
        <v>44164</v>
      </c>
    </row>
    <row r="283" spans="1:21" x14ac:dyDescent="0.2">
      <c r="A283" s="10" t="str">
        <f>HYPERLINK("http://www.ofsted.gov.uk/inspection-reports/find-inspection-report/provider/ELS/136903 ","Ofsted School Webpage")</f>
        <v>Ofsted School Webpage</v>
      </c>
      <c r="B283" s="92">
        <v>136903</v>
      </c>
      <c r="C283" s="92">
        <v>8505418</v>
      </c>
      <c r="D283" s="92" t="s">
        <v>1059</v>
      </c>
      <c r="E283" s="92" t="s">
        <v>95</v>
      </c>
      <c r="F283" s="92" t="s">
        <v>429</v>
      </c>
      <c r="G283" s="9">
        <v>40725</v>
      </c>
      <c r="H283" s="92" t="s">
        <v>299</v>
      </c>
      <c r="I283" s="92" t="s">
        <v>272</v>
      </c>
      <c r="J283" s="92" t="s">
        <v>410</v>
      </c>
      <c r="K283" s="92" t="s">
        <v>273</v>
      </c>
      <c r="L283" s="92" t="s">
        <v>274</v>
      </c>
      <c r="M283" s="92" t="s">
        <v>192</v>
      </c>
      <c r="N283" s="92" t="s">
        <v>192</v>
      </c>
      <c r="O283" s="92" t="s">
        <v>193</v>
      </c>
      <c r="P283" s="92" t="s">
        <v>1060</v>
      </c>
      <c r="Q283" s="92" t="s">
        <v>1061</v>
      </c>
      <c r="R283" s="92">
        <v>1</v>
      </c>
      <c r="S283" s="92">
        <v>1394</v>
      </c>
      <c r="T283" s="9">
        <v>44112</v>
      </c>
      <c r="U283" s="9">
        <v>44150</v>
      </c>
    </row>
    <row r="284" spans="1:21" x14ac:dyDescent="0.2">
      <c r="A284" s="10" t="str">
        <f>HYPERLINK("http://www.ofsted.gov.uk/inspection-reports/find-inspection-report/provider/ELS/136530 ","Ofsted School Webpage")</f>
        <v>Ofsted School Webpage</v>
      </c>
      <c r="B284" s="92">
        <v>136530</v>
      </c>
      <c r="C284" s="92">
        <v>8575406</v>
      </c>
      <c r="D284" s="92" t="s">
        <v>1062</v>
      </c>
      <c r="E284" s="92" t="s">
        <v>95</v>
      </c>
      <c r="F284" s="92" t="s">
        <v>429</v>
      </c>
      <c r="G284" s="9">
        <v>40634</v>
      </c>
      <c r="H284" s="92" t="s">
        <v>299</v>
      </c>
      <c r="I284" s="92" t="s">
        <v>272</v>
      </c>
      <c r="J284" s="92" t="s">
        <v>410</v>
      </c>
      <c r="K284" s="92" t="s">
        <v>273</v>
      </c>
      <c r="L284" s="92" t="s">
        <v>274</v>
      </c>
      <c r="M284" s="92" t="s">
        <v>100</v>
      </c>
      <c r="N284" s="92" t="s">
        <v>100</v>
      </c>
      <c r="O284" s="92" t="s">
        <v>103</v>
      </c>
      <c r="P284" s="92" t="s">
        <v>476</v>
      </c>
      <c r="Q284" s="92" t="s">
        <v>1063</v>
      </c>
      <c r="R284" s="92">
        <v>1</v>
      </c>
      <c r="S284" s="92">
        <v>1017</v>
      </c>
      <c r="T284" s="9">
        <v>44112</v>
      </c>
      <c r="U284" s="9">
        <v>44157</v>
      </c>
    </row>
    <row r="285" spans="1:21" x14ac:dyDescent="0.2">
      <c r="A285" s="10" t="str">
        <f>HYPERLINK("http://www.ofsted.gov.uk/inspection-reports/find-inspection-report/provider/ELS/138738 ","Ofsted School Webpage")</f>
        <v>Ofsted School Webpage</v>
      </c>
      <c r="B285" s="92">
        <v>138738</v>
      </c>
      <c r="C285" s="92">
        <v>8863128</v>
      </c>
      <c r="D285" s="92" t="s">
        <v>1064</v>
      </c>
      <c r="E285" s="92" t="s">
        <v>94</v>
      </c>
      <c r="F285" s="92" t="s">
        <v>429</v>
      </c>
      <c r="G285" s="9">
        <v>41153</v>
      </c>
      <c r="H285" s="92" t="s">
        <v>271</v>
      </c>
      <c r="I285" s="92" t="s">
        <v>272</v>
      </c>
      <c r="J285" s="92" t="s">
        <v>346</v>
      </c>
      <c r="K285" s="92" t="s">
        <v>273</v>
      </c>
      <c r="L285" s="92" t="s">
        <v>347</v>
      </c>
      <c r="M285" s="92" t="s">
        <v>192</v>
      </c>
      <c r="N285" s="92" t="s">
        <v>192</v>
      </c>
      <c r="O285" s="92" t="s">
        <v>194</v>
      </c>
      <c r="P285" s="92" t="s">
        <v>385</v>
      </c>
      <c r="Q285" s="92" t="s">
        <v>1065</v>
      </c>
      <c r="R285" s="92">
        <v>3</v>
      </c>
      <c r="S285" s="92">
        <v>398</v>
      </c>
      <c r="T285" s="9">
        <v>44112</v>
      </c>
      <c r="U285" s="9">
        <v>44160</v>
      </c>
    </row>
    <row r="286" spans="1:21" x14ac:dyDescent="0.2">
      <c r="A286" s="10" t="str">
        <f>HYPERLINK("http://www.ofsted.gov.uk/inspection-reports/find-inspection-report/provider/ELS/136409 ","Ofsted School Webpage")</f>
        <v>Ofsted School Webpage</v>
      </c>
      <c r="B286" s="92">
        <v>136409</v>
      </c>
      <c r="C286" s="92">
        <v>3414797</v>
      </c>
      <c r="D286" s="92" t="s">
        <v>1066</v>
      </c>
      <c r="E286" s="92" t="s">
        <v>95</v>
      </c>
      <c r="F286" s="92" t="s">
        <v>409</v>
      </c>
      <c r="G286" s="9">
        <v>40544</v>
      </c>
      <c r="H286" s="92" t="s">
        <v>299</v>
      </c>
      <c r="I286" s="92" t="s">
        <v>300</v>
      </c>
      <c r="J286" s="92" t="s">
        <v>352</v>
      </c>
      <c r="K286" s="92" t="s">
        <v>410</v>
      </c>
      <c r="L286" s="92" t="s">
        <v>347</v>
      </c>
      <c r="M286" s="92" t="s">
        <v>168</v>
      </c>
      <c r="N286" s="92" t="s">
        <v>168</v>
      </c>
      <c r="O286" s="92" t="s">
        <v>170</v>
      </c>
      <c r="P286" s="92" t="s">
        <v>1067</v>
      </c>
      <c r="Q286" s="92" t="s">
        <v>1068</v>
      </c>
      <c r="R286" s="92">
        <v>5</v>
      </c>
      <c r="S286" s="92">
        <v>376</v>
      </c>
      <c r="T286" s="9">
        <v>44112</v>
      </c>
      <c r="U286" s="9">
        <v>44160</v>
      </c>
    </row>
    <row r="287" spans="1:21" x14ac:dyDescent="0.2">
      <c r="A287" s="10" t="str">
        <f>HYPERLINK("http://www.ofsted.gov.uk/inspection-reports/find-inspection-report/provider/ELS/139282 ","Ofsted School Webpage")</f>
        <v>Ofsted School Webpage</v>
      </c>
      <c r="B287" s="92">
        <v>139282</v>
      </c>
      <c r="C287" s="92">
        <v>3834055</v>
      </c>
      <c r="D287" s="92" t="s">
        <v>1069</v>
      </c>
      <c r="E287" s="92" t="s">
        <v>95</v>
      </c>
      <c r="F287" s="92" t="s">
        <v>409</v>
      </c>
      <c r="G287" s="9">
        <v>41640</v>
      </c>
      <c r="H287" s="92" t="s">
        <v>299</v>
      </c>
      <c r="I287" s="92" t="s">
        <v>300</v>
      </c>
      <c r="J287" s="92" t="s">
        <v>273</v>
      </c>
      <c r="K287" s="92" t="s">
        <v>410</v>
      </c>
      <c r="L287" s="92" t="s">
        <v>274</v>
      </c>
      <c r="M287" s="92" t="s">
        <v>261</v>
      </c>
      <c r="N287" s="92" t="s">
        <v>241</v>
      </c>
      <c r="O287" s="92" t="s">
        <v>244</v>
      </c>
      <c r="P287" s="92" t="s">
        <v>1070</v>
      </c>
      <c r="Q287" s="92" t="s">
        <v>1071</v>
      </c>
      <c r="R287" s="92">
        <v>5</v>
      </c>
      <c r="S287" s="92">
        <v>804</v>
      </c>
      <c r="T287" s="9">
        <v>44112</v>
      </c>
      <c r="U287" s="9">
        <v>44158</v>
      </c>
    </row>
    <row r="288" spans="1:21" x14ac:dyDescent="0.2">
      <c r="A288" s="10" t="str">
        <f>HYPERLINK("http://www.ofsted.gov.uk/inspection-reports/find-inspection-report/provider/ELS/103619 ","Ofsted School Webpage")</f>
        <v>Ofsted School Webpage</v>
      </c>
      <c r="B288" s="92">
        <v>103619</v>
      </c>
      <c r="C288" s="92">
        <v>3307040</v>
      </c>
      <c r="D288" s="92" t="s">
        <v>588</v>
      </c>
      <c r="E288" s="92" t="s">
        <v>96</v>
      </c>
      <c r="F288" s="92" t="s">
        <v>401</v>
      </c>
      <c r="G288" s="92" t="s">
        <v>270</v>
      </c>
      <c r="H288" s="92" t="s">
        <v>271</v>
      </c>
      <c r="I288" s="92" t="s">
        <v>300</v>
      </c>
      <c r="J288" s="92" t="s">
        <v>273</v>
      </c>
      <c r="K288" s="92" t="s">
        <v>273</v>
      </c>
      <c r="L288" s="92" t="s">
        <v>274</v>
      </c>
      <c r="M288" s="92" t="s">
        <v>226</v>
      </c>
      <c r="N288" s="92" t="s">
        <v>226</v>
      </c>
      <c r="O288" s="92" t="s">
        <v>232</v>
      </c>
      <c r="P288" s="92" t="s">
        <v>885</v>
      </c>
      <c r="Q288" s="92" t="s">
        <v>1072</v>
      </c>
      <c r="R288" s="92">
        <v>5</v>
      </c>
      <c r="S288" s="92">
        <v>299</v>
      </c>
      <c r="T288" s="9">
        <v>44112</v>
      </c>
      <c r="U288" s="9">
        <v>44146</v>
      </c>
    </row>
    <row r="289" spans="1:21" x14ac:dyDescent="0.2">
      <c r="A289" s="10" t="str">
        <f>HYPERLINK("http://www.ofsted.gov.uk/inspection-reports/find-inspection-report/provider/ELS/140658 ","Ofsted School Webpage")</f>
        <v>Ofsted School Webpage</v>
      </c>
      <c r="B289" s="92">
        <v>140658</v>
      </c>
      <c r="C289" s="92">
        <v>3362012</v>
      </c>
      <c r="D289" s="92" t="s">
        <v>1073</v>
      </c>
      <c r="E289" s="92" t="s">
        <v>94</v>
      </c>
      <c r="F289" s="92" t="s">
        <v>409</v>
      </c>
      <c r="G289" s="9">
        <v>41730</v>
      </c>
      <c r="H289" s="92" t="s">
        <v>484</v>
      </c>
      <c r="I289" s="92" t="s">
        <v>272</v>
      </c>
      <c r="J289" s="92" t="s">
        <v>273</v>
      </c>
      <c r="K289" s="92" t="s">
        <v>410</v>
      </c>
      <c r="L289" s="92" t="s">
        <v>274</v>
      </c>
      <c r="M289" s="92" t="s">
        <v>226</v>
      </c>
      <c r="N289" s="92" t="s">
        <v>226</v>
      </c>
      <c r="O289" s="92" t="s">
        <v>231</v>
      </c>
      <c r="P289" s="92" t="s">
        <v>683</v>
      </c>
      <c r="Q289" s="92" t="s">
        <v>1074</v>
      </c>
      <c r="R289" s="92">
        <v>5</v>
      </c>
      <c r="S289" s="92">
        <v>257</v>
      </c>
      <c r="T289" s="9">
        <v>44112</v>
      </c>
      <c r="U289" s="9">
        <v>44160</v>
      </c>
    </row>
    <row r="290" spans="1:21" x14ac:dyDescent="0.2">
      <c r="A290" s="10" t="str">
        <f>HYPERLINK("http://www.ofsted.gov.uk/inspection-reports/find-inspection-report/provider/ELS/135653 ","Ofsted School Webpage")</f>
        <v>Ofsted School Webpage</v>
      </c>
      <c r="B290" s="92">
        <v>135653</v>
      </c>
      <c r="C290" s="92">
        <v>8816907</v>
      </c>
      <c r="D290" s="92" t="s">
        <v>1075</v>
      </c>
      <c r="E290" s="92" t="s">
        <v>95</v>
      </c>
      <c r="F290" s="92" t="s">
        <v>409</v>
      </c>
      <c r="G290" s="9">
        <v>39692</v>
      </c>
      <c r="H290" s="92" t="s">
        <v>299</v>
      </c>
      <c r="I290" s="92" t="s">
        <v>300</v>
      </c>
      <c r="J290" s="92" t="s">
        <v>273</v>
      </c>
      <c r="K290" s="92" t="s">
        <v>410</v>
      </c>
      <c r="L290" s="92" t="s">
        <v>274</v>
      </c>
      <c r="M290" s="92" t="s">
        <v>110</v>
      </c>
      <c r="N290" s="92" t="s">
        <v>110</v>
      </c>
      <c r="O290" s="92" t="s">
        <v>119</v>
      </c>
      <c r="P290" s="92" t="s">
        <v>1076</v>
      </c>
      <c r="Q290" s="92" t="s">
        <v>1077</v>
      </c>
      <c r="R290" s="92">
        <v>3</v>
      </c>
      <c r="S290" s="92">
        <v>987</v>
      </c>
      <c r="T290" s="9">
        <v>44112</v>
      </c>
      <c r="U290" s="9">
        <v>44158</v>
      </c>
    </row>
    <row r="291" spans="1:21" x14ac:dyDescent="0.2">
      <c r="A291" s="10" t="str">
        <f>HYPERLINK("http://www.ofsted.gov.uk/inspection-reports/find-inspection-report/provider/ELS/104271 ","Ofsted School Webpage")</f>
        <v>Ofsted School Webpage</v>
      </c>
      <c r="B291" s="92">
        <v>104271</v>
      </c>
      <c r="C291" s="92">
        <v>3357004</v>
      </c>
      <c r="D291" s="92" t="s">
        <v>1078</v>
      </c>
      <c r="E291" s="92" t="s">
        <v>96</v>
      </c>
      <c r="F291" s="92" t="s">
        <v>401</v>
      </c>
      <c r="G291" s="9" t="s">
        <v>270</v>
      </c>
      <c r="H291" s="92" t="s">
        <v>271</v>
      </c>
      <c r="I291" s="92" t="s">
        <v>300</v>
      </c>
      <c r="J291" s="92" t="s">
        <v>273</v>
      </c>
      <c r="K291" s="92" t="s">
        <v>273</v>
      </c>
      <c r="L291" s="92" t="s">
        <v>274</v>
      </c>
      <c r="M291" s="92" t="s">
        <v>226</v>
      </c>
      <c r="N291" s="92" t="s">
        <v>226</v>
      </c>
      <c r="O291" s="92" t="s">
        <v>230</v>
      </c>
      <c r="P291" s="92" t="s">
        <v>570</v>
      </c>
      <c r="Q291" s="92" t="s">
        <v>1079</v>
      </c>
      <c r="R291" s="92">
        <v>5</v>
      </c>
      <c r="S291" s="92">
        <v>123</v>
      </c>
      <c r="T291" s="9">
        <v>44112</v>
      </c>
      <c r="U291" s="9">
        <v>44146</v>
      </c>
    </row>
    <row r="292" spans="1:21" x14ac:dyDescent="0.2">
      <c r="A292" s="10" t="str">
        <f>HYPERLINK("http://www.ofsted.gov.uk/inspection-reports/find-inspection-report/provider/ELS/141989 ","Ofsted School Webpage")</f>
        <v>Ofsted School Webpage</v>
      </c>
      <c r="B292" s="92">
        <v>141989</v>
      </c>
      <c r="C292" s="92">
        <v>3057001</v>
      </c>
      <c r="D292" s="92" t="s">
        <v>1080</v>
      </c>
      <c r="E292" s="92" t="s">
        <v>96</v>
      </c>
      <c r="F292" s="92" t="s">
        <v>458</v>
      </c>
      <c r="G292" s="9">
        <v>42401</v>
      </c>
      <c r="H292" s="92" t="s">
        <v>271</v>
      </c>
      <c r="I292" s="92" t="s">
        <v>300</v>
      </c>
      <c r="J292" s="92" t="s">
        <v>273</v>
      </c>
      <c r="K292" s="92" t="s">
        <v>410</v>
      </c>
      <c r="L292" s="92" t="s">
        <v>274</v>
      </c>
      <c r="M292" s="92" t="s">
        <v>122</v>
      </c>
      <c r="N292" s="92" t="s">
        <v>122</v>
      </c>
      <c r="O292" s="92" t="s">
        <v>139</v>
      </c>
      <c r="P292" s="92" t="s">
        <v>1081</v>
      </c>
      <c r="Q292" s="92" t="s">
        <v>1082</v>
      </c>
      <c r="R292" s="92">
        <v>4</v>
      </c>
      <c r="S292" s="92">
        <v>119</v>
      </c>
      <c r="T292" s="9">
        <v>44112</v>
      </c>
      <c r="U292" s="9">
        <v>44159</v>
      </c>
    </row>
    <row r="293" spans="1:21" x14ac:dyDescent="0.2">
      <c r="A293" s="10" t="str">
        <f>HYPERLINK("http://www.ofsted.gov.uk/inspection-reports/find-inspection-report/provider/ELS/108652 ","Ofsted School Webpage")</f>
        <v>Ofsted School Webpage</v>
      </c>
      <c r="B293" s="92">
        <v>108652</v>
      </c>
      <c r="C293" s="92">
        <v>3927001</v>
      </c>
      <c r="D293" s="92" t="s">
        <v>1083</v>
      </c>
      <c r="E293" s="92" t="s">
        <v>96</v>
      </c>
      <c r="F293" s="92" t="s">
        <v>610</v>
      </c>
      <c r="G293" s="9" t="s">
        <v>270</v>
      </c>
      <c r="H293" s="92" t="s">
        <v>271</v>
      </c>
      <c r="I293" s="92" t="s">
        <v>300</v>
      </c>
      <c r="J293" s="92" t="s">
        <v>273</v>
      </c>
      <c r="K293" s="92" t="s">
        <v>273</v>
      </c>
      <c r="L293" s="92" t="s">
        <v>274</v>
      </c>
      <c r="M293" s="92" t="s">
        <v>261</v>
      </c>
      <c r="N293" s="92" t="s">
        <v>155</v>
      </c>
      <c r="O293" s="92" t="s">
        <v>165</v>
      </c>
      <c r="P293" s="92" t="s">
        <v>1084</v>
      </c>
      <c r="Q293" s="92" t="s">
        <v>1085</v>
      </c>
      <c r="R293" s="92">
        <v>4</v>
      </c>
      <c r="S293" s="92">
        <v>111</v>
      </c>
      <c r="T293" s="9">
        <v>44112</v>
      </c>
      <c r="U293" s="9">
        <v>44154</v>
      </c>
    </row>
    <row r="294" spans="1:21" x14ac:dyDescent="0.2">
      <c r="A294" s="10" t="str">
        <f>HYPERLINK("http://www.ofsted.gov.uk/inspection-reports/find-inspection-report/provider/ELS/133397 ","Ofsted School Webpage")</f>
        <v>Ofsted School Webpage</v>
      </c>
      <c r="B294" s="92">
        <v>133397</v>
      </c>
      <c r="C294" s="92">
        <v>3907010</v>
      </c>
      <c r="D294" s="92" t="s">
        <v>1086</v>
      </c>
      <c r="E294" s="92" t="s">
        <v>96</v>
      </c>
      <c r="F294" s="92" t="s">
        <v>401</v>
      </c>
      <c r="G294" s="9">
        <v>37135</v>
      </c>
      <c r="H294" s="92" t="s">
        <v>271</v>
      </c>
      <c r="I294" s="92" t="s">
        <v>271</v>
      </c>
      <c r="J294" s="92" t="s">
        <v>273</v>
      </c>
      <c r="K294" s="92" t="s">
        <v>273</v>
      </c>
      <c r="L294" s="92" t="s">
        <v>274</v>
      </c>
      <c r="M294" s="92" t="s">
        <v>261</v>
      </c>
      <c r="N294" s="92" t="s">
        <v>155</v>
      </c>
      <c r="O294" s="92" t="s">
        <v>166</v>
      </c>
      <c r="P294" s="92" t="s">
        <v>166</v>
      </c>
      <c r="Q294" s="92" t="s">
        <v>1087</v>
      </c>
      <c r="R294" s="92">
        <v>4</v>
      </c>
      <c r="S294" s="92">
        <v>61</v>
      </c>
      <c r="T294" s="9">
        <v>44112</v>
      </c>
      <c r="U294" s="9">
        <v>44154</v>
      </c>
    </row>
    <row r="295" spans="1:21" x14ac:dyDescent="0.2">
      <c r="A295" s="10" t="str">
        <f>HYPERLINK("http://www.ofsted.gov.uk/inspection-reports/find-inspection-report/provider/ELS/125661 ","Ofsted School Webpage")</f>
        <v>Ofsted School Webpage</v>
      </c>
      <c r="B295" s="92">
        <v>125661</v>
      </c>
      <c r="C295" s="92">
        <v>9373146</v>
      </c>
      <c r="D295" s="92" t="s">
        <v>1088</v>
      </c>
      <c r="E295" s="92" t="s">
        <v>94</v>
      </c>
      <c r="F295" s="92" t="s">
        <v>345</v>
      </c>
      <c r="G295" s="9" t="s">
        <v>270</v>
      </c>
      <c r="H295" s="92" t="s">
        <v>271</v>
      </c>
      <c r="I295" s="92" t="s">
        <v>272</v>
      </c>
      <c r="J295" s="92" t="s">
        <v>346</v>
      </c>
      <c r="K295" s="92" t="s">
        <v>273</v>
      </c>
      <c r="L295" s="92" t="s">
        <v>347</v>
      </c>
      <c r="M295" s="92" t="s">
        <v>226</v>
      </c>
      <c r="N295" s="92" t="s">
        <v>226</v>
      </c>
      <c r="O295" s="92" t="s">
        <v>235</v>
      </c>
      <c r="P295" s="92" t="s">
        <v>521</v>
      </c>
      <c r="Q295" s="92" t="s">
        <v>1089</v>
      </c>
      <c r="R295" s="92">
        <v>2</v>
      </c>
      <c r="S295" s="92">
        <v>407</v>
      </c>
      <c r="T295" s="9">
        <v>44112</v>
      </c>
      <c r="U295" s="9">
        <v>44157</v>
      </c>
    </row>
    <row r="296" spans="1:21" x14ac:dyDescent="0.2">
      <c r="A296" s="10" t="str">
        <f>HYPERLINK("http://www.ofsted.gov.uk/inspection-reports/find-inspection-report/provider/ELS/109221 ","Ofsted School Webpage")</f>
        <v>Ofsted School Webpage</v>
      </c>
      <c r="B296" s="92">
        <v>109221</v>
      </c>
      <c r="C296" s="92">
        <v>8023119</v>
      </c>
      <c r="D296" s="92" t="s">
        <v>1090</v>
      </c>
      <c r="E296" s="92" t="s">
        <v>94</v>
      </c>
      <c r="F296" s="92" t="s">
        <v>345</v>
      </c>
      <c r="G296" s="9" t="s">
        <v>270</v>
      </c>
      <c r="H296" s="92" t="s">
        <v>271</v>
      </c>
      <c r="I296" s="92" t="s">
        <v>272</v>
      </c>
      <c r="J296" s="92" t="s">
        <v>346</v>
      </c>
      <c r="K296" s="92" t="s">
        <v>273</v>
      </c>
      <c r="L296" s="92" t="s">
        <v>347</v>
      </c>
      <c r="M296" s="92" t="s">
        <v>211</v>
      </c>
      <c r="N296" s="92" t="s">
        <v>211</v>
      </c>
      <c r="O296" s="92" t="s">
        <v>222</v>
      </c>
      <c r="P296" s="92" t="s">
        <v>222</v>
      </c>
      <c r="Q296" s="92" t="s">
        <v>1091</v>
      </c>
      <c r="R296" s="92">
        <v>1</v>
      </c>
      <c r="S296" s="92">
        <v>202</v>
      </c>
      <c r="T296" s="9">
        <v>44112</v>
      </c>
      <c r="U296" s="9">
        <v>44157</v>
      </c>
    </row>
    <row r="297" spans="1:21" x14ac:dyDescent="0.2">
      <c r="A297" s="10" t="str">
        <f>HYPERLINK("http://www.ofsted.gov.uk/inspection-reports/find-inspection-report/provider/ELS/116280 ","Ofsted School Webpage")</f>
        <v>Ofsted School Webpage</v>
      </c>
      <c r="B297" s="92">
        <v>116280</v>
      </c>
      <c r="C297" s="92">
        <v>8503027</v>
      </c>
      <c r="D297" s="92" t="s">
        <v>1092</v>
      </c>
      <c r="E297" s="92" t="s">
        <v>94</v>
      </c>
      <c r="F297" s="92" t="s">
        <v>345</v>
      </c>
      <c r="G297" s="9" t="s">
        <v>270</v>
      </c>
      <c r="H297" s="92" t="s">
        <v>271</v>
      </c>
      <c r="I297" s="92" t="s">
        <v>272</v>
      </c>
      <c r="J297" s="92" t="s">
        <v>346</v>
      </c>
      <c r="K297" s="92" t="s">
        <v>273</v>
      </c>
      <c r="L297" s="92" t="s">
        <v>347</v>
      </c>
      <c r="M297" s="92" t="s">
        <v>192</v>
      </c>
      <c r="N297" s="92" t="s">
        <v>192</v>
      </c>
      <c r="O297" s="92" t="s">
        <v>193</v>
      </c>
      <c r="P297" s="92" t="s">
        <v>695</v>
      </c>
      <c r="Q297" s="92" t="s">
        <v>1093</v>
      </c>
      <c r="R297" s="92">
        <v>1</v>
      </c>
      <c r="S297" s="92">
        <v>80</v>
      </c>
      <c r="T297" s="9">
        <v>44112</v>
      </c>
      <c r="U297" s="9">
        <v>44159</v>
      </c>
    </row>
    <row r="298" spans="1:21" x14ac:dyDescent="0.2">
      <c r="A298" s="10" t="str">
        <f>HYPERLINK("http://www.ofsted.gov.uk/inspection-reports/find-inspection-report/provider/ELS/145529 ","Ofsted School Webpage")</f>
        <v>Ofsted School Webpage</v>
      </c>
      <c r="B298" s="92">
        <v>145529</v>
      </c>
      <c r="C298" s="92">
        <v>9267021</v>
      </c>
      <c r="D298" s="92" t="s">
        <v>1094</v>
      </c>
      <c r="E298" s="92" t="s">
        <v>96</v>
      </c>
      <c r="F298" s="92" t="s">
        <v>1095</v>
      </c>
      <c r="G298" s="9">
        <v>43160</v>
      </c>
      <c r="H298" s="92" t="s">
        <v>271</v>
      </c>
      <c r="I298" s="92" t="s">
        <v>300</v>
      </c>
      <c r="J298" s="92" t="s">
        <v>273</v>
      </c>
      <c r="K298" s="92" t="s">
        <v>273</v>
      </c>
      <c r="L298" s="92" t="s">
        <v>274</v>
      </c>
      <c r="M298" s="92" t="s">
        <v>110</v>
      </c>
      <c r="N298" s="92" t="s">
        <v>110</v>
      </c>
      <c r="O298" s="92" t="s">
        <v>118</v>
      </c>
      <c r="P298" s="92" t="s">
        <v>1096</v>
      </c>
      <c r="Q298" s="92" t="s">
        <v>1097</v>
      </c>
      <c r="R298" s="92">
        <v>3</v>
      </c>
      <c r="S298" s="92">
        <v>221</v>
      </c>
      <c r="T298" s="9">
        <v>44112</v>
      </c>
      <c r="U298" s="9">
        <v>44151</v>
      </c>
    </row>
    <row r="299" spans="1:21" x14ac:dyDescent="0.2">
      <c r="A299" s="10" t="str">
        <f>HYPERLINK("http://www.ofsted.gov.uk/inspection-reports/find-inspection-report/provider/ELS/140286 ","Ofsted School Webpage")</f>
        <v>Ofsted School Webpage</v>
      </c>
      <c r="B299" s="92">
        <v>140286</v>
      </c>
      <c r="C299" s="92">
        <v>8237018</v>
      </c>
      <c r="D299" s="92" t="s">
        <v>1098</v>
      </c>
      <c r="E299" s="92" t="s">
        <v>96</v>
      </c>
      <c r="F299" s="92" t="s">
        <v>1095</v>
      </c>
      <c r="G299" s="9">
        <v>41579</v>
      </c>
      <c r="H299" s="92" t="s">
        <v>271</v>
      </c>
      <c r="I299" s="92" t="s">
        <v>300</v>
      </c>
      <c r="J299" s="92" t="s">
        <v>273</v>
      </c>
      <c r="K299" s="92" t="s">
        <v>410</v>
      </c>
      <c r="L299" s="92" t="s">
        <v>274</v>
      </c>
      <c r="M299" s="92" t="s">
        <v>110</v>
      </c>
      <c r="N299" s="92" t="s">
        <v>110</v>
      </c>
      <c r="O299" s="92" t="s">
        <v>120</v>
      </c>
      <c r="P299" s="92" t="s">
        <v>1099</v>
      </c>
      <c r="Q299" s="92" t="s">
        <v>1100</v>
      </c>
      <c r="R299" s="92">
        <v>4</v>
      </c>
      <c r="S299" s="92">
        <v>111</v>
      </c>
      <c r="T299" s="9">
        <v>44112</v>
      </c>
      <c r="U299" s="9">
        <v>44157</v>
      </c>
    </row>
    <row r="300" spans="1:21" x14ac:dyDescent="0.2">
      <c r="A300" s="10" t="str">
        <f>HYPERLINK("http://www.ofsted.gov.uk/inspection-reports/find-inspection-report/provider/ELS/144575 ","Ofsted School Webpage")</f>
        <v>Ofsted School Webpage</v>
      </c>
      <c r="B300" s="92">
        <v>144575</v>
      </c>
      <c r="C300" s="92">
        <v>3512033</v>
      </c>
      <c r="D300" s="92" t="s">
        <v>1101</v>
      </c>
      <c r="E300" s="92" t="s">
        <v>94</v>
      </c>
      <c r="F300" s="92" t="s">
        <v>429</v>
      </c>
      <c r="G300" s="9">
        <v>42917</v>
      </c>
      <c r="H300" s="92" t="s">
        <v>271</v>
      </c>
      <c r="I300" s="92" t="s">
        <v>272</v>
      </c>
      <c r="J300" s="92" t="s">
        <v>273</v>
      </c>
      <c r="K300" s="92" t="s">
        <v>273</v>
      </c>
      <c r="L300" s="92" t="s">
        <v>274</v>
      </c>
      <c r="M300" s="92" t="s">
        <v>168</v>
      </c>
      <c r="N300" s="92" t="s">
        <v>168</v>
      </c>
      <c r="O300" s="92" t="s">
        <v>184</v>
      </c>
      <c r="P300" s="92" t="s">
        <v>1102</v>
      </c>
      <c r="Q300" s="92" t="s">
        <v>1103</v>
      </c>
      <c r="R300" s="92">
        <v>3</v>
      </c>
      <c r="S300" s="92">
        <v>459</v>
      </c>
      <c r="T300" s="9">
        <v>44112</v>
      </c>
      <c r="U300" s="9">
        <v>44161</v>
      </c>
    </row>
    <row r="301" spans="1:21" x14ac:dyDescent="0.2">
      <c r="A301" s="10" t="str">
        <f>HYPERLINK("http://www.ofsted.gov.uk/inspection-reports/find-inspection-report/provider/ELS/143030 ","Ofsted School Webpage")</f>
        <v>Ofsted School Webpage</v>
      </c>
      <c r="B301" s="92">
        <v>143030</v>
      </c>
      <c r="C301" s="92">
        <v>3502081</v>
      </c>
      <c r="D301" s="92" t="s">
        <v>1104</v>
      </c>
      <c r="E301" s="92" t="s">
        <v>94</v>
      </c>
      <c r="F301" s="92" t="s">
        <v>429</v>
      </c>
      <c r="G301" s="9">
        <v>42583</v>
      </c>
      <c r="H301" s="92" t="s">
        <v>271</v>
      </c>
      <c r="I301" s="92" t="s">
        <v>272</v>
      </c>
      <c r="J301" s="92" t="s">
        <v>273</v>
      </c>
      <c r="K301" s="92" t="s">
        <v>273</v>
      </c>
      <c r="L301" s="92" t="s">
        <v>274</v>
      </c>
      <c r="M301" s="92" t="s">
        <v>168</v>
      </c>
      <c r="N301" s="92" t="s">
        <v>168</v>
      </c>
      <c r="O301" s="92" t="s">
        <v>187</v>
      </c>
      <c r="P301" s="92" t="s">
        <v>1105</v>
      </c>
      <c r="Q301" s="92" t="s">
        <v>1106</v>
      </c>
      <c r="R301" s="92">
        <v>5</v>
      </c>
      <c r="S301" s="92">
        <v>502</v>
      </c>
      <c r="T301" s="9">
        <v>44112</v>
      </c>
      <c r="U301" s="9">
        <v>44146</v>
      </c>
    </row>
    <row r="302" spans="1:21" x14ac:dyDescent="0.2">
      <c r="A302" s="10" t="str">
        <f>HYPERLINK("http://www.ofsted.gov.uk/inspection-reports/find-inspection-report/provider/ELS/107326 ","Ofsted School Webpage")</f>
        <v>Ofsted School Webpage</v>
      </c>
      <c r="B302" s="92">
        <v>107326</v>
      </c>
      <c r="C302" s="92">
        <v>3803335</v>
      </c>
      <c r="D302" s="92" t="s">
        <v>1107</v>
      </c>
      <c r="E302" s="92" t="s">
        <v>94</v>
      </c>
      <c r="F302" s="92" t="s">
        <v>351</v>
      </c>
      <c r="G302" s="92" t="s">
        <v>270</v>
      </c>
      <c r="H302" s="92" t="s">
        <v>271</v>
      </c>
      <c r="I302" s="92" t="s">
        <v>272</v>
      </c>
      <c r="J302" s="92" t="s">
        <v>352</v>
      </c>
      <c r="K302" s="92" t="s">
        <v>273</v>
      </c>
      <c r="L302" s="92" t="s">
        <v>347</v>
      </c>
      <c r="M302" s="92" t="s">
        <v>261</v>
      </c>
      <c r="N302" s="92" t="s">
        <v>241</v>
      </c>
      <c r="O302" s="92" t="s">
        <v>250</v>
      </c>
      <c r="P302" s="92" t="s">
        <v>1108</v>
      </c>
      <c r="Q302" s="92" t="s">
        <v>1109</v>
      </c>
      <c r="R302" s="92">
        <v>5</v>
      </c>
      <c r="S302" s="92">
        <v>389</v>
      </c>
      <c r="T302" s="9">
        <v>44113</v>
      </c>
      <c r="U302" s="9">
        <v>44161</v>
      </c>
    </row>
    <row r="303" spans="1:21" x14ac:dyDescent="0.2">
      <c r="A303" s="10" t="str">
        <f>HYPERLINK("http://www.ofsted.gov.uk/inspection-reports/find-inspection-report/provider/ELS/105247 ","Ofsted School Webpage")</f>
        <v>Ofsted School Webpage</v>
      </c>
      <c r="B303" s="92">
        <v>105247</v>
      </c>
      <c r="C303" s="92">
        <v>3503364</v>
      </c>
      <c r="D303" s="92" t="s">
        <v>1110</v>
      </c>
      <c r="E303" s="92" t="s">
        <v>94</v>
      </c>
      <c r="F303" s="92" t="s">
        <v>351</v>
      </c>
      <c r="G303" s="92" t="s">
        <v>270</v>
      </c>
      <c r="H303" s="92" t="s">
        <v>271</v>
      </c>
      <c r="I303" s="92" t="s">
        <v>272</v>
      </c>
      <c r="J303" s="92" t="s">
        <v>352</v>
      </c>
      <c r="K303" s="92" t="s">
        <v>273</v>
      </c>
      <c r="L303" s="92" t="s">
        <v>347</v>
      </c>
      <c r="M303" s="92" t="s">
        <v>168</v>
      </c>
      <c r="N303" s="92" t="s">
        <v>168</v>
      </c>
      <c r="O303" s="92" t="s">
        <v>187</v>
      </c>
      <c r="P303" s="92" t="s">
        <v>1111</v>
      </c>
      <c r="Q303" s="92" t="s">
        <v>1112</v>
      </c>
      <c r="R303" s="92">
        <v>3</v>
      </c>
      <c r="S303" s="92">
        <v>140</v>
      </c>
      <c r="T303" s="9">
        <v>44117</v>
      </c>
      <c r="U303" s="9">
        <v>44160</v>
      </c>
    </row>
    <row r="304" spans="1:21" x14ac:dyDescent="0.2">
      <c r="A304" s="10" t="str">
        <f>HYPERLINK("http://www.ofsted.gov.uk/inspection-reports/find-inspection-report/provider/ELS/105577 ","Ofsted School Webpage")</f>
        <v>Ofsted School Webpage</v>
      </c>
      <c r="B304" s="92">
        <v>105577</v>
      </c>
      <c r="C304" s="92">
        <v>3524762</v>
      </c>
      <c r="D304" s="92" t="s">
        <v>1113</v>
      </c>
      <c r="E304" s="92" t="s">
        <v>95</v>
      </c>
      <c r="F304" s="92" t="s">
        <v>351</v>
      </c>
      <c r="G304" s="9">
        <v>1</v>
      </c>
      <c r="H304" s="92" t="s">
        <v>299</v>
      </c>
      <c r="I304" s="92" t="s">
        <v>272</v>
      </c>
      <c r="J304" s="92" t="s">
        <v>352</v>
      </c>
      <c r="K304" s="92" t="s">
        <v>273</v>
      </c>
      <c r="L304" s="92" t="s">
        <v>347</v>
      </c>
      <c r="M304" s="92" t="s">
        <v>168</v>
      </c>
      <c r="N304" s="92" t="s">
        <v>168</v>
      </c>
      <c r="O304" s="92" t="s">
        <v>171</v>
      </c>
      <c r="P304" s="92" t="s">
        <v>287</v>
      </c>
      <c r="Q304" s="92" t="s">
        <v>1114</v>
      </c>
      <c r="R304" s="92">
        <v>5</v>
      </c>
      <c r="S304" s="92">
        <v>1295</v>
      </c>
      <c r="T304" s="9">
        <v>44117</v>
      </c>
      <c r="U304" s="9">
        <v>44158</v>
      </c>
    </row>
    <row r="305" spans="1:21" x14ac:dyDescent="0.2">
      <c r="A305" s="10" t="str">
        <f>HYPERLINK("http://www.ofsted.gov.uk/inspection-reports/find-inspection-report/provider/ELS/118044 ","Ofsted School Webpage")</f>
        <v>Ofsted School Webpage</v>
      </c>
      <c r="B305" s="92">
        <v>118044</v>
      </c>
      <c r="C305" s="92">
        <v>8113331</v>
      </c>
      <c r="D305" s="92" t="s">
        <v>1115</v>
      </c>
      <c r="E305" s="92" t="s">
        <v>94</v>
      </c>
      <c r="F305" s="92" t="s">
        <v>351</v>
      </c>
      <c r="G305" s="92" t="s">
        <v>270</v>
      </c>
      <c r="H305" s="92" t="s">
        <v>271</v>
      </c>
      <c r="I305" s="92" t="s">
        <v>272</v>
      </c>
      <c r="J305" s="92" t="s">
        <v>346</v>
      </c>
      <c r="K305" s="92" t="s">
        <v>273</v>
      </c>
      <c r="L305" s="92" t="s">
        <v>347</v>
      </c>
      <c r="M305" s="92" t="s">
        <v>261</v>
      </c>
      <c r="N305" s="92" t="s">
        <v>241</v>
      </c>
      <c r="O305" s="92" t="s">
        <v>243</v>
      </c>
      <c r="P305" s="92" t="s">
        <v>1116</v>
      </c>
      <c r="Q305" s="92" t="s">
        <v>1117</v>
      </c>
      <c r="R305" s="92">
        <v>2</v>
      </c>
      <c r="S305" s="92">
        <v>108</v>
      </c>
      <c r="T305" s="9">
        <v>44117</v>
      </c>
      <c r="U305" s="9">
        <v>44153</v>
      </c>
    </row>
    <row r="306" spans="1:21" x14ac:dyDescent="0.2">
      <c r="A306" s="10" t="str">
        <f>HYPERLINK("http://www.ofsted.gov.uk/inspection-reports/find-inspection-report/provider/ELS/119538 ","Ofsted School Webpage")</f>
        <v>Ofsted School Webpage</v>
      </c>
      <c r="B306" s="92">
        <v>119538</v>
      </c>
      <c r="C306" s="92">
        <v>8883537</v>
      </c>
      <c r="D306" s="92" t="s">
        <v>1118</v>
      </c>
      <c r="E306" s="92" t="s">
        <v>94</v>
      </c>
      <c r="F306" s="92" t="s">
        <v>351</v>
      </c>
      <c r="G306" s="92" t="s">
        <v>270</v>
      </c>
      <c r="H306" s="92" t="s">
        <v>271</v>
      </c>
      <c r="I306" s="92" t="s">
        <v>272</v>
      </c>
      <c r="J306" s="92" t="s">
        <v>346</v>
      </c>
      <c r="K306" s="92" t="s">
        <v>273</v>
      </c>
      <c r="L306" s="92" t="s">
        <v>347</v>
      </c>
      <c r="M306" s="92" t="s">
        <v>168</v>
      </c>
      <c r="N306" s="92" t="s">
        <v>168</v>
      </c>
      <c r="O306" s="92" t="s">
        <v>169</v>
      </c>
      <c r="P306" s="92" t="s">
        <v>985</v>
      </c>
      <c r="Q306" s="92" t="s">
        <v>1119</v>
      </c>
      <c r="R306" s="92">
        <v>5</v>
      </c>
      <c r="S306" s="92">
        <v>179</v>
      </c>
      <c r="T306" s="9">
        <v>44117</v>
      </c>
      <c r="U306" s="9">
        <v>44154</v>
      </c>
    </row>
    <row r="307" spans="1:21" x14ac:dyDescent="0.2">
      <c r="A307" s="10" t="str">
        <f>HYPERLINK("http://www.ofsted.gov.uk/inspection-reports/find-inspection-report/provider/ELS/134009 ","Ofsted School Webpage")</f>
        <v>Ofsted School Webpage</v>
      </c>
      <c r="B307" s="92">
        <v>134009</v>
      </c>
      <c r="C307" s="92">
        <v>2053649</v>
      </c>
      <c r="D307" s="92" t="s">
        <v>1120</v>
      </c>
      <c r="E307" s="92" t="s">
        <v>94</v>
      </c>
      <c r="F307" s="92" t="s">
        <v>351</v>
      </c>
      <c r="G307" s="9">
        <v>37500</v>
      </c>
      <c r="H307" s="92" t="s">
        <v>271</v>
      </c>
      <c r="I307" s="92" t="s">
        <v>272</v>
      </c>
      <c r="J307" s="92" t="s">
        <v>352</v>
      </c>
      <c r="K307" s="92" t="s">
        <v>273</v>
      </c>
      <c r="L307" s="92" t="s">
        <v>347</v>
      </c>
      <c r="M307" s="92" t="s">
        <v>122</v>
      </c>
      <c r="N307" s="92" t="s">
        <v>122</v>
      </c>
      <c r="O307" s="92" t="s">
        <v>137</v>
      </c>
      <c r="P307" s="92" t="s">
        <v>840</v>
      </c>
      <c r="Q307" s="92" t="s">
        <v>1121</v>
      </c>
      <c r="R307" s="92">
        <v>3</v>
      </c>
      <c r="S307" s="92">
        <v>440</v>
      </c>
      <c r="T307" s="9">
        <v>44117</v>
      </c>
      <c r="U307" s="9">
        <v>44158</v>
      </c>
    </row>
    <row r="308" spans="1:21" x14ac:dyDescent="0.2">
      <c r="A308" s="10" t="str">
        <f>HYPERLINK("http://www.ofsted.gov.uk/inspection-reports/find-inspection-report/provider/ELS/133293 ","Ofsted School Webpage")</f>
        <v>Ofsted School Webpage</v>
      </c>
      <c r="B308" s="92">
        <v>133293</v>
      </c>
      <c r="C308" s="92">
        <v>8054000</v>
      </c>
      <c r="D308" s="92" t="s">
        <v>1122</v>
      </c>
      <c r="E308" s="92" t="s">
        <v>95</v>
      </c>
      <c r="F308" s="92" t="s">
        <v>351</v>
      </c>
      <c r="G308" s="9">
        <v>37135</v>
      </c>
      <c r="H308" s="92" t="s">
        <v>299</v>
      </c>
      <c r="I308" s="92" t="s">
        <v>272</v>
      </c>
      <c r="J308" s="92" t="s">
        <v>346</v>
      </c>
      <c r="K308" s="92" t="s">
        <v>273</v>
      </c>
      <c r="L308" s="92" t="s">
        <v>347</v>
      </c>
      <c r="M308" s="92" t="s">
        <v>261</v>
      </c>
      <c r="N308" s="92" t="s">
        <v>155</v>
      </c>
      <c r="O308" s="92" t="s">
        <v>167</v>
      </c>
      <c r="P308" s="92" t="s">
        <v>167</v>
      </c>
      <c r="Q308" s="92" t="s">
        <v>1123</v>
      </c>
      <c r="R308" s="92">
        <v>5</v>
      </c>
      <c r="S308" s="92">
        <v>707</v>
      </c>
      <c r="T308" s="9">
        <v>44117</v>
      </c>
      <c r="U308" s="9">
        <v>44153</v>
      </c>
    </row>
    <row r="309" spans="1:21" x14ac:dyDescent="0.2">
      <c r="A309" s="10" t="str">
        <f>HYPERLINK("http://www.ofsted.gov.uk/inspection-reports/find-inspection-report/provider/ELS/115239 ","Ofsted School Webpage")</f>
        <v>Ofsted School Webpage</v>
      </c>
      <c r="B309" s="92">
        <v>115239</v>
      </c>
      <c r="C309" s="92">
        <v>8834733</v>
      </c>
      <c r="D309" s="92" t="s">
        <v>1124</v>
      </c>
      <c r="E309" s="92" t="s">
        <v>95</v>
      </c>
      <c r="F309" s="92" t="s">
        <v>351</v>
      </c>
      <c r="G309" s="9" t="s">
        <v>270</v>
      </c>
      <c r="H309" s="92" t="s">
        <v>299</v>
      </c>
      <c r="I309" s="92" t="s">
        <v>272</v>
      </c>
      <c r="J309" s="92" t="s">
        <v>352</v>
      </c>
      <c r="K309" s="92" t="s">
        <v>273</v>
      </c>
      <c r="L309" s="92" t="s">
        <v>347</v>
      </c>
      <c r="M309" s="92" t="s">
        <v>110</v>
      </c>
      <c r="N309" s="92" t="s">
        <v>110</v>
      </c>
      <c r="O309" s="92" t="s">
        <v>113</v>
      </c>
      <c r="P309" s="92" t="s">
        <v>113</v>
      </c>
      <c r="Q309" s="92" t="s">
        <v>1125</v>
      </c>
      <c r="R309" s="92">
        <v>4</v>
      </c>
      <c r="S309" s="92">
        <v>643</v>
      </c>
      <c r="T309" s="9">
        <v>44117</v>
      </c>
      <c r="U309" s="9">
        <v>44159</v>
      </c>
    </row>
    <row r="310" spans="1:21" x14ac:dyDescent="0.2">
      <c r="A310" s="10" t="str">
        <f>HYPERLINK("http://www.ofsted.gov.uk/inspection-reports/find-inspection-report/provider/ELS/105342 ","Ofsted School Webpage")</f>
        <v>Ofsted School Webpage</v>
      </c>
      <c r="B310" s="92">
        <v>105342</v>
      </c>
      <c r="C310" s="92">
        <v>3513334</v>
      </c>
      <c r="D310" s="92" t="s">
        <v>1126</v>
      </c>
      <c r="E310" s="92" t="s">
        <v>94</v>
      </c>
      <c r="F310" s="92" t="s">
        <v>351</v>
      </c>
      <c r="G310" s="9" t="s">
        <v>270</v>
      </c>
      <c r="H310" s="92" t="s">
        <v>271</v>
      </c>
      <c r="I310" s="92" t="s">
        <v>272</v>
      </c>
      <c r="J310" s="92" t="s">
        <v>346</v>
      </c>
      <c r="K310" s="92" t="s">
        <v>273</v>
      </c>
      <c r="L310" s="92" t="s">
        <v>347</v>
      </c>
      <c r="M310" s="92" t="s">
        <v>168</v>
      </c>
      <c r="N310" s="92" t="s">
        <v>168</v>
      </c>
      <c r="O310" s="92" t="s">
        <v>184</v>
      </c>
      <c r="P310" s="92" t="s">
        <v>1102</v>
      </c>
      <c r="Q310" s="92" t="s">
        <v>1127</v>
      </c>
      <c r="R310" s="92">
        <v>3</v>
      </c>
      <c r="S310" s="92">
        <v>236</v>
      </c>
      <c r="T310" s="9">
        <v>44117</v>
      </c>
      <c r="U310" s="9">
        <v>44153</v>
      </c>
    </row>
    <row r="311" spans="1:21" x14ac:dyDescent="0.2">
      <c r="A311" s="10" t="str">
        <f>HYPERLINK("http://www.ofsted.gov.uk/inspection-reports/find-inspection-report/provider/ELS/102909 ","Ofsted School Webpage")</f>
        <v>Ofsted School Webpage</v>
      </c>
      <c r="B311" s="92">
        <v>102909</v>
      </c>
      <c r="C311" s="92">
        <v>3183309</v>
      </c>
      <c r="D311" s="92" t="s">
        <v>1128</v>
      </c>
      <c r="E311" s="92" t="s">
        <v>94</v>
      </c>
      <c r="F311" s="92" t="s">
        <v>351</v>
      </c>
      <c r="G311" s="9" t="s">
        <v>270</v>
      </c>
      <c r="H311" s="92" t="s">
        <v>271</v>
      </c>
      <c r="I311" s="92" t="s">
        <v>272</v>
      </c>
      <c r="J311" s="92" t="s">
        <v>352</v>
      </c>
      <c r="K311" s="92" t="s">
        <v>273</v>
      </c>
      <c r="L311" s="92" t="s">
        <v>347</v>
      </c>
      <c r="M311" s="92" t="s">
        <v>122</v>
      </c>
      <c r="N311" s="92" t="s">
        <v>122</v>
      </c>
      <c r="O311" s="92" t="s">
        <v>134</v>
      </c>
      <c r="P311" s="92" t="s">
        <v>1129</v>
      </c>
      <c r="Q311" s="92" t="s">
        <v>1130</v>
      </c>
      <c r="R311" s="92">
        <v>1</v>
      </c>
      <c r="S311" s="92">
        <v>244</v>
      </c>
      <c r="T311" s="9">
        <v>44117</v>
      </c>
      <c r="U311" s="9">
        <v>44150</v>
      </c>
    </row>
    <row r="312" spans="1:21" x14ac:dyDescent="0.2">
      <c r="A312" s="10" t="str">
        <f>HYPERLINK("http://www.ofsted.gov.uk/inspection-reports/find-inspection-report/provider/ELS/104672 ","Ofsted School Webpage")</f>
        <v>Ofsted School Webpage</v>
      </c>
      <c r="B312" s="92">
        <v>104672</v>
      </c>
      <c r="C312" s="92">
        <v>3413601</v>
      </c>
      <c r="D312" s="92" t="s">
        <v>1131</v>
      </c>
      <c r="E312" s="92" t="s">
        <v>94</v>
      </c>
      <c r="F312" s="92" t="s">
        <v>351</v>
      </c>
      <c r="G312" s="9" t="s">
        <v>270</v>
      </c>
      <c r="H312" s="92" t="s">
        <v>271</v>
      </c>
      <c r="I312" s="92" t="s">
        <v>272</v>
      </c>
      <c r="J312" s="92" t="s">
        <v>352</v>
      </c>
      <c r="K312" s="92" t="s">
        <v>273</v>
      </c>
      <c r="L312" s="92" t="s">
        <v>347</v>
      </c>
      <c r="M312" s="92" t="s">
        <v>168</v>
      </c>
      <c r="N312" s="92" t="s">
        <v>168</v>
      </c>
      <c r="O312" s="92" t="s">
        <v>170</v>
      </c>
      <c r="P312" s="92" t="s">
        <v>1132</v>
      </c>
      <c r="Q312" s="92" t="s">
        <v>1133</v>
      </c>
      <c r="R312" s="92">
        <v>5</v>
      </c>
      <c r="S312" s="92">
        <v>228</v>
      </c>
      <c r="T312" s="9">
        <v>44117</v>
      </c>
      <c r="U312" s="9">
        <v>44153</v>
      </c>
    </row>
    <row r="313" spans="1:21" x14ac:dyDescent="0.2">
      <c r="A313" s="10" t="str">
        <f>HYPERLINK("http://www.ofsted.gov.uk/inspection-reports/find-inspection-report/provider/ELS/103809 ","Ofsted School Webpage")</f>
        <v>Ofsted School Webpage</v>
      </c>
      <c r="B313" s="92">
        <v>103809</v>
      </c>
      <c r="C313" s="92">
        <v>3322126</v>
      </c>
      <c r="D313" s="92" t="s">
        <v>1134</v>
      </c>
      <c r="E313" s="92" t="s">
        <v>94</v>
      </c>
      <c r="F313" s="92" t="s">
        <v>269</v>
      </c>
      <c r="G313" s="9" t="s">
        <v>270</v>
      </c>
      <c r="H313" s="92" t="s">
        <v>271</v>
      </c>
      <c r="I313" s="92" t="s">
        <v>272</v>
      </c>
      <c r="J313" s="92" t="s">
        <v>273</v>
      </c>
      <c r="K313" s="92" t="s">
        <v>273</v>
      </c>
      <c r="L313" s="92" t="s">
        <v>274</v>
      </c>
      <c r="M313" s="92" t="s">
        <v>226</v>
      </c>
      <c r="N313" s="92" t="s">
        <v>226</v>
      </c>
      <c r="O313" s="92" t="s">
        <v>240</v>
      </c>
      <c r="P313" s="92" t="s">
        <v>1135</v>
      </c>
      <c r="Q313" s="92" t="s">
        <v>1136</v>
      </c>
      <c r="R313" s="92">
        <v>3</v>
      </c>
      <c r="S313" s="92">
        <v>413</v>
      </c>
      <c r="T313" s="9">
        <v>44117</v>
      </c>
      <c r="U313" s="9">
        <v>44150</v>
      </c>
    </row>
    <row r="314" spans="1:21" x14ac:dyDescent="0.2">
      <c r="A314" s="10" t="str">
        <f>HYPERLINK("http://www.ofsted.gov.uk/inspection-reports/find-inspection-report/provider/ELS/111057 ","Ofsted School Webpage")</f>
        <v>Ofsted School Webpage</v>
      </c>
      <c r="B314" s="92">
        <v>111057</v>
      </c>
      <c r="C314" s="92">
        <v>8962191</v>
      </c>
      <c r="D314" s="92" t="s">
        <v>1137</v>
      </c>
      <c r="E314" s="92" t="s">
        <v>94</v>
      </c>
      <c r="F314" s="92" t="s">
        <v>269</v>
      </c>
      <c r="G314" s="9" t="s">
        <v>270</v>
      </c>
      <c r="H314" s="92" t="s">
        <v>271</v>
      </c>
      <c r="I314" s="92" t="s">
        <v>272</v>
      </c>
      <c r="J314" s="92" t="s">
        <v>273</v>
      </c>
      <c r="K314" s="92" t="s">
        <v>273</v>
      </c>
      <c r="L314" s="92" t="s">
        <v>274</v>
      </c>
      <c r="M314" s="92" t="s">
        <v>168</v>
      </c>
      <c r="N314" s="92" t="s">
        <v>168</v>
      </c>
      <c r="O314" s="92" t="s">
        <v>175</v>
      </c>
      <c r="P314" s="92" t="s">
        <v>1138</v>
      </c>
      <c r="Q314" s="92" t="s">
        <v>1139</v>
      </c>
      <c r="R314" s="92">
        <v>4</v>
      </c>
      <c r="S314" s="92">
        <v>563</v>
      </c>
      <c r="T314" s="9">
        <v>44117</v>
      </c>
      <c r="U314" s="9">
        <v>44154</v>
      </c>
    </row>
    <row r="315" spans="1:21" x14ac:dyDescent="0.2">
      <c r="A315" s="10" t="str">
        <f>HYPERLINK("http://www.ofsted.gov.uk/inspection-reports/find-inspection-report/provider/ELS/118411 ","Ofsted School Webpage")</f>
        <v>Ofsted School Webpage</v>
      </c>
      <c r="B315" s="92">
        <v>118411</v>
      </c>
      <c r="C315" s="92">
        <v>8862337</v>
      </c>
      <c r="D315" s="92" t="s">
        <v>1140</v>
      </c>
      <c r="E315" s="92" t="s">
        <v>94</v>
      </c>
      <c r="F315" s="92" t="s">
        <v>269</v>
      </c>
      <c r="G315" s="9" t="s">
        <v>270</v>
      </c>
      <c r="H315" s="92" t="s">
        <v>271</v>
      </c>
      <c r="I315" s="92" t="s">
        <v>272</v>
      </c>
      <c r="J315" s="92" t="s">
        <v>273</v>
      </c>
      <c r="K315" s="92" t="s">
        <v>273</v>
      </c>
      <c r="L315" s="92" t="s">
        <v>274</v>
      </c>
      <c r="M315" s="92" t="s">
        <v>192</v>
      </c>
      <c r="N315" s="92" t="s">
        <v>192</v>
      </c>
      <c r="O315" s="92" t="s">
        <v>194</v>
      </c>
      <c r="P315" s="92" t="s">
        <v>1141</v>
      </c>
      <c r="Q315" s="92" t="s">
        <v>1142</v>
      </c>
      <c r="R315" s="92">
        <v>3</v>
      </c>
      <c r="S315" s="92">
        <v>269</v>
      </c>
      <c r="T315" s="9">
        <v>44117</v>
      </c>
      <c r="U315" s="9">
        <v>44157</v>
      </c>
    </row>
    <row r="316" spans="1:21" x14ac:dyDescent="0.2">
      <c r="A316" s="10" t="str">
        <f>HYPERLINK("http://www.ofsted.gov.uk/inspection-reports/find-inspection-report/provider/ELS/135077 ","Ofsted School Webpage")</f>
        <v>Ofsted School Webpage</v>
      </c>
      <c r="B316" s="92">
        <v>135077</v>
      </c>
      <c r="C316" s="92">
        <v>8113509</v>
      </c>
      <c r="D316" s="92" t="s">
        <v>1143</v>
      </c>
      <c r="E316" s="92" t="s">
        <v>94</v>
      </c>
      <c r="F316" s="92" t="s">
        <v>269</v>
      </c>
      <c r="G316" s="9">
        <v>39326</v>
      </c>
      <c r="H316" s="92" t="s">
        <v>271</v>
      </c>
      <c r="I316" s="92" t="s">
        <v>272</v>
      </c>
      <c r="J316" s="92" t="s">
        <v>273</v>
      </c>
      <c r="K316" s="92" t="s">
        <v>273</v>
      </c>
      <c r="L316" s="92" t="s">
        <v>274</v>
      </c>
      <c r="M316" s="92" t="s">
        <v>261</v>
      </c>
      <c r="N316" s="92" t="s">
        <v>241</v>
      </c>
      <c r="O316" s="92" t="s">
        <v>243</v>
      </c>
      <c r="P316" s="92" t="s">
        <v>1144</v>
      </c>
      <c r="Q316" s="92" t="s">
        <v>1145</v>
      </c>
      <c r="R316" s="92">
        <v>1</v>
      </c>
      <c r="S316" s="92">
        <v>215</v>
      </c>
      <c r="T316" s="9">
        <v>44117</v>
      </c>
      <c r="U316" s="9">
        <v>44147</v>
      </c>
    </row>
    <row r="317" spans="1:21" x14ac:dyDescent="0.2">
      <c r="A317" s="10" t="str">
        <f>HYPERLINK("http://www.ofsted.gov.uk/inspection-reports/find-inspection-report/provider/ELS/120230 ","Ofsted School Webpage")</f>
        <v>Ofsted School Webpage</v>
      </c>
      <c r="B317" s="92">
        <v>120230</v>
      </c>
      <c r="C317" s="92">
        <v>8563431</v>
      </c>
      <c r="D317" s="92" t="s">
        <v>1146</v>
      </c>
      <c r="E317" s="92" t="s">
        <v>94</v>
      </c>
      <c r="F317" s="92" t="s">
        <v>351</v>
      </c>
      <c r="G317" s="9" t="s">
        <v>270</v>
      </c>
      <c r="H317" s="92" t="s">
        <v>271</v>
      </c>
      <c r="I317" s="92" t="s">
        <v>272</v>
      </c>
      <c r="J317" s="92" t="s">
        <v>346</v>
      </c>
      <c r="K317" s="92" t="s">
        <v>273</v>
      </c>
      <c r="L317" s="92" t="s">
        <v>347</v>
      </c>
      <c r="M317" s="92" t="s">
        <v>100</v>
      </c>
      <c r="N317" s="92" t="s">
        <v>100</v>
      </c>
      <c r="O317" s="92" t="s">
        <v>102</v>
      </c>
      <c r="P317" s="92" t="s">
        <v>1147</v>
      </c>
      <c r="Q317" s="92" t="s">
        <v>1148</v>
      </c>
      <c r="R317" s="92">
        <v>3</v>
      </c>
      <c r="S317" s="92">
        <v>545</v>
      </c>
      <c r="T317" s="9">
        <v>44117</v>
      </c>
      <c r="U317" s="9">
        <v>44153</v>
      </c>
    </row>
    <row r="318" spans="1:21" x14ac:dyDescent="0.2">
      <c r="A318" s="10" t="str">
        <f>HYPERLINK("http://www.ofsted.gov.uk/inspection-reports/find-inspection-report/provider/ELS/109481 ","Ofsted School Webpage")</f>
        <v>Ofsted School Webpage</v>
      </c>
      <c r="B318" s="92">
        <v>109481</v>
      </c>
      <c r="C318" s="92">
        <v>8232124</v>
      </c>
      <c r="D318" s="92" t="s">
        <v>1149</v>
      </c>
      <c r="E318" s="92" t="s">
        <v>94</v>
      </c>
      <c r="F318" s="92" t="s">
        <v>269</v>
      </c>
      <c r="G318" s="9" t="s">
        <v>270</v>
      </c>
      <c r="H318" s="92" t="s">
        <v>271</v>
      </c>
      <c r="I318" s="92" t="s">
        <v>272</v>
      </c>
      <c r="J318" s="92" t="s">
        <v>273</v>
      </c>
      <c r="K318" s="92" t="s">
        <v>273</v>
      </c>
      <c r="L318" s="92" t="s">
        <v>274</v>
      </c>
      <c r="M318" s="92" t="s">
        <v>110</v>
      </c>
      <c r="N318" s="92" t="s">
        <v>110</v>
      </c>
      <c r="O318" s="92" t="s">
        <v>120</v>
      </c>
      <c r="P318" s="92" t="s">
        <v>1150</v>
      </c>
      <c r="Q318" s="92" t="s">
        <v>1151</v>
      </c>
      <c r="R318" s="92">
        <v>2</v>
      </c>
      <c r="S318" s="92">
        <v>61</v>
      </c>
      <c r="T318" s="9">
        <v>44117</v>
      </c>
      <c r="U318" s="9">
        <v>44159</v>
      </c>
    </row>
    <row r="319" spans="1:21" x14ac:dyDescent="0.2">
      <c r="A319" s="10" t="str">
        <f>HYPERLINK("http://www.ofsted.gov.uk/inspection-reports/find-inspection-report/provider/ELS/113327 ","Ofsted School Webpage")</f>
        <v>Ofsted School Webpage</v>
      </c>
      <c r="B319" s="92">
        <v>113327</v>
      </c>
      <c r="C319" s="92">
        <v>8792706</v>
      </c>
      <c r="D319" s="92" t="s">
        <v>1152</v>
      </c>
      <c r="E319" s="92" t="s">
        <v>94</v>
      </c>
      <c r="F319" s="92" t="s">
        <v>269</v>
      </c>
      <c r="G319" s="9" t="s">
        <v>270</v>
      </c>
      <c r="H319" s="92" t="s">
        <v>271</v>
      </c>
      <c r="I319" s="92" t="s">
        <v>272</v>
      </c>
      <c r="J319" s="92" t="s">
        <v>273</v>
      </c>
      <c r="K319" s="92" t="s">
        <v>273</v>
      </c>
      <c r="L319" s="92" t="s">
        <v>274</v>
      </c>
      <c r="M319" s="92" t="s">
        <v>211</v>
      </c>
      <c r="N319" s="92" t="s">
        <v>211</v>
      </c>
      <c r="O319" s="92" t="s">
        <v>214</v>
      </c>
      <c r="P319" s="92" t="s">
        <v>607</v>
      </c>
      <c r="Q319" s="92" t="s">
        <v>1153</v>
      </c>
      <c r="R319" s="92">
        <v>4</v>
      </c>
      <c r="S319" s="92">
        <v>170</v>
      </c>
      <c r="T319" s="9">
        <v>44117</v>
      </c>
      <c r="U319" s="9">
        <v>44153</v>
      </c>
    </row>
    <row r="320" spans="1:21" x14ac:dyDescent="0.2">
      <c r="A320" s="10" t="str">
        <f>HYPERLINK("http://www.ofsted.gov.uk/inspection-reports/find-inspection-report/provider/ELS/101243 ","Ofsted School Webpage")</f>
        <v>Ofsted School Webpage</v>
      </c>
      <c r="B320" s="92">
        <v>101243</v>
      </c>
      <c r="C320" s="92">
        <v>3014023</v>
      </c>
      <c r="D320" s="92" t="s">
        <v>1154</v>
      </c>
      <c r="E320" s="92" t="s">
        <v>95</v>
      </c>
      <c r="F320" s="92" t="s">
        <v>269</v>
      </c>
      <c r="G320" s="9" t="s">
        <v>270</v>
      </c>
      <c r="H320" s="92" t="s">
        <v>299</v>
      </c>
      <c r="I320" s="92" t="s">
        <v>300</v>
      </c>
      <c r="J320" s="92" t="s">
        <v>273</v>
      </c>
      <c r="K320" s="92" t="s">
        <v>273</v>
      </c>
      <c r="L320" s="92" t="s">
        <v>274</v>
      </c>
      <c r="M320" s="92" t="s">
        <v>122</v>
      </c>
      <c r="N320" s="92" t="s">
        <v>122</v>
      </c>
      <c r="O320" s="92" t="s">
        <v>140</v>
      </c>
      <c r="P320" s="92" t="s">
        <v>455</v>
      </c>
      <c r="Q320" s="92" t="s">
        <v>1155</v>
      </c>
      <c r="R320" s="92">
        <v>4</v>
      </c>
      <c r="S320" s="92">
        <v>1190</v>
      </c>
      <c r="T320" s="9">
        <v>44117</v>
      </c>
      <c r="U320" s="9">
        <v>44158</v>
      </c>
    </row>
    <row r="321" spans="1:21" x14ac:dyDescent="0.2">
      <c r="A321" s="10" t="str">
        <f>HYPERLINK("http://www.ofsted.gov.uk/inspection-reports/find-inspection-report/provider/ELS/104692 ","Ofsted School Webpage")</f>
        <v>Ofsted School Webpage</v>
      </c>
      <c r="B321" s="92">
        <v>104692</v>
      </c>
      <c r="C321" s="92">
        <v>3414420</v>
      </c>
      <c r="D321" s="92" t="s">
        <v>1156</v>
      </c>
      <c r="E321" s="92" t="s">
        <v>95</v>
      </c>
      <c r="F321" s="92" t="s">
        <v>269</v>
      </c>
      <c r="G321" s="9" t="s">
        <v>270</v>
      </c>
      <c r="H321" s="92" t="s">
        <v>299</v>
      </c>
      <c r="I321" s="92" t="s">
        <v>272</v>
      </c>
      <c r="J321" s="92" t="s">
        <v>273</v>
      </c>
      <c r="K321" s="92" t="s">
        <v>273</v>
      </c>
      <c r="L321" s="92" t="s">
        <v>274</v>
      </c>
      <c r="M321" s="92" t="s">
        <v>168</v>
      </c>
      <c r="N321" s="92" t="s">
        <v>168</v>
      </c>
      <c r="O321" s="92" t="s">
        <v>170</v>
      </c>
      <c r="P321" s="92" t="s">
        <v>1157</v>
      </c>
      <c r="Q321" s="92" t="s">
        <v>1158</v>
      </c>
      <c r="R321" s="92">
        <v>5</v>
      </c>
      <c r="S321" s="92">
        <v>817</v>
      </c>
      <c r="T321" s="9">
        <v>44117</v>
      </c>
      <c r="U321" s="9">
        <v>44153</v>
      </c>
    </row>
    <row r="322" spans="1:21" x14ac:dyDescent="0.2">
      <c r="A322" s="10" t="str">
        <f>HYPERLINK("http://www.ofsted.gov.uk/inspection-reports/find-inspection-report/provider/ELS/109116 ","Ofsted School Webpage")</f>
        <v>Ofsted School Webpage</v>
      </c>
      <c r="B322" s="92">
        <v>109116</v>
      </c>
      <c r="C322" s="92">
        <v>8012312</v>
      </c>
      <c r="D322" s="92" t="s">
        <v>1159</v>
      </c>
      <c r="E322" s="92" t="s">
        <v>94</v>
      </c>
      <c r="F322" s="92" t="s">
        <v>269</v>
      </c>
      <c r="G322" s="9" t="s">
        <v>270</v>
      </c>
      <c r="H322" s="92" t="s">
        <v>271</v>
      </c>
      <c r="I322" s="92" t="s">
        <v>272</v>
      </c>
      <c r="J322" s="92" t="s">
        <v>273</v>
      </c>
      <c r="K322" s="92" t="s">
        <v>273</v>
      </c>
      <c r="L322" s="92" t="s">
        <v>274</v>
      </c>
      <c r="M322" s="92" t="s">
        <v>211</v>
      </c>
      <c r="N322" s="92" t="s">
        <v>211</v>
      </c>
      <c r="O322" s="92" t="s">
        <v>212</v>
      </c>
      <c r="P322" s="92" t="s">
        <v>1160</v>
      </c>
      <c r="Q322" s="92" t="s">
        <v>1161</v>
      </c>
      <c r="R322" s="92">
        <v>1</v>
      </c>
      <c r="S322" s="92">
        <v>819</v>
      </c>
      <c r="T322" s="9">
        <v>44117</v>
      </c>
      <c r="U322" s="9">
        <v>44151</v>
      </c>
    </row>
    <row r="323" spans="1:21" x14ac:dyDescent="0.2">
      <c r="A323" s="10" t="str">
        <f>HYPERLINK("http://www.ofsted.gov.uk/inspection-reports/find-inspection-report/provider/ELS/117361 ","Ofsted School Webpage")</f>
        <v>Ofsted School Webpage</v>
      </c>
      <c r="B323" s="92">
        <v>117361</v>
      </c>
      <c r="C323" s="92">
        <v>9192462</v>
      </c>
      <c r="D323" s="92" t="s">
        <v>1162</v>
      </c>
      <c r="E323" s="92" t="s">
        <v>94</v>
      </c>
      <c r="F323" s="92" t="s">
        <v>269</v>
      </c>
      <c r="G323" s="9" t="s">
        <v>270</v>
      </c>
      <c r="H323" s="92" t="s">
        <v>271</v>
      </c>
      <c r="I323" s="92" t="s">
        <v>272</v>
      </c>
      <c r="J323" s="92" t="s">
        <v>273</v>
      </c>
      <c r="K323" s="92" t="s">
        <v>273</v>
      </c>
      <c r="L323" s="92" t="s">
        <v>274</v>
      </c>
      <c r="M323" s="92" t="s">
        <v>110</v>
      </c>
      <c r="N323" s="92" t="s">
        <v>110</v>
      </c>
      <c r="O323" s="92" t="s">
        <v>117</v>
      </c>
      <c r="P323" s="92" t="s">
        <v>1163</v>
      </c>
      <c r="Q323" s="92" t="s">
        <v>1164</v>
      </c>
      <c r="R323" s="92">
        <v>1</v>
      </c>
      <c r="S323" s="92">
        <v>462</v>
      </c>
      <c r="T323" s="9">
        <v>44117</v>
      </c>
      <c r="U323" s="9">
        <v>44146</v>
      </c>
    </row>
    <row r="324" spans="1:21" x14ac:dyDescent="0.2">
      <c r="A324" s="10" t="str">
        <f>HYPERLINK("http://www.ofsted.gov.uk/inspection-reports/find-inspection-report/provider/ELS/131706 ","Ofsted School Webpage")</f>
        <v>Ofsted School Webpage</v>
      </c>
      <c r="B324" s="92">
        <v>131706</v>
      </c>
      <c r="C324" s="92">
        <v>2042899</v>
      </c>
      <c r="D324" s="92" t="s">
        <v>1165</v>
      </c>
      <c r="E324" s="92" t="s">
        <v>94</v>
      </c>
      <c r="F324" s="92" t="s">
        <v>269</v>
      </c>
      <c r="G324" s="9">
        <v>36404</v>
      </c>
      <c r="H324" s="92" t="s">
        <v>271</v>
      </c>
      <c r="I324" s="92" t="s">
        <v>272</v>
      </c>
      <c r="J324" s="92" t="s">
        <v>273</v>
      </c>
      <c r="K324" s="92" t="s">
        <v>273</v>
      </c>
      <c r="L324" s="92" t="s">
        <v>274</v>
      </c>
      <c r="M324" s="92" t="s">
        <v>122</v>
      </c>
      <c r="N324" s="92" t="s">
        <v>122</v>
      </c>
      <c r="O324" s="92" t="s">
        <v>126</v>
      </c>
      <c r="P324" s="92" t="s">
        <v>320</v>
      </c>
      <c r="Q324" s="92" t="s">
        <v>1166</v>
      </c>
      <c r="R324" s="92">
        <v>4</v>
      </c>
      <c r="S324" s="92">
        <v>446</v>
      </c>
      <c r="T324" s="9">
        <v>44117</v>
      </c>
      <c r="U324" s="9">
        <v>44160</v>
      </c>
    </row>
    <row r="325" spans="1:21" x14ac:dyDescent="0.2">
      <c r="A325" s="10" t="str">
        <f>HYPERLINK("http://www.ofsted.gov.uk/inspection-reports/find-inspection-report/provider/ELS/103168 ","Ofsted School Webpage")</f>
        <v>Ofsted School Webpage</v>
      </c>
      <c r="B325" s="92">
        <v>103168</v>
      </c>
      <c r="C325" s="92">
        <v>3302024</v>
      </c>
      <c r="D325" s="92" t="s">
        <v>1167</v>
      </c>
      <c r="E325" s="92" t="s">
        <v>94</v>
      </c>
      <c r="F325" s="92" t="s">
        <v>269</v>
      </c>
      <c r="G325" s="92" t="s">
        <v>270</v>
      </c>
      <c r="H325" s="92" t="s">
        <v>271</v>
      </c>
      <c r="I325" s="92" t="s">
        <v>271</v>
      </c>
      <c r="J325" s="92" t="s">
        <v>273</v>
      </c>
      <c r="K325" s="92" t="s">
        <v>273</v>
      </c>
      <c r="L325" s="92" t="s">
        <v>274</v>
      </c>
      <c r="M325" s="92" t="s">
        <v>226</v>
      </c>
      <c r="N325" s="92" t="s">
        <v>226</v>
      </c>
      <c r="O325" s="92" t="s">
        <v>232</v>
      </c>
      <c r="P325" s="92" t="s">
        <v>307</v>
      </c>
      <c r="Q325" s="92" t="s">
        <v>1168</v>
      </c>
      <c r="R325" s="92">
        <v>5</v>
      </c>
      <c r="S325" s="92">
        <v>217</v>
      </c>
      <c r="T325" s="9">
        <v>44117</v>
      </c>
      <c r="U325" s="9">
        <v>44146</v>
      </c>
    </row>
    <row r="326" spans="1:21" x14ac:dyDescent="0.2">
      <c r="A326" s="10" t="str">
        <f>HYPERLINK("http://www.ofsted.gov.uk/inspection-reports/find-inspection-report/provider/ELS/123672 ","Ofsted School Webpage")</f>
        <v>Ofsted School Webpage</v>
      </c>
      <c r="B326" s="92">
        <v>123672</v>
      </c>
      <c r="C326" s="92">
        <v>9332106</v>
      </c>
      <c r="D326" s="92" t="s">
        <v>1169</v>
      </c>
      <c r="E326" s="92" t="s">
        <v>94</v>
      </c>
      <c r="F326" s="92" t="s">
        <v>269</v>
      </c>
      <c r="G326" s="92" t="s">
        <v>270</v>
      </c>
      <c r="H326" s="92" t="s">
        <v>271</v>
      </c>
      <c r="I326" s="92" t="s">
        <v>272</v>
      </c>
      <c r="J326" s="92" t="s">
        <v>273</v>
      </c>
      <c r="K326" s="92" t="s">
        <v>273</v>
      </c>
      <c r="L326" s="92" t="s">
        <v>274</v>
      </c>
      <c r="M326" s="92" t="s">
        <v>211</v>
      </c>
      <c r="N326" s="92" t="s">
        <v>211</v>
      </c>
      <c r="O326" s="92" t="s">
        <v>218</v>
      </c>
      <c r="P326" s="92" t="s">
        <v>527</v>
      </c>
      <c r="Q326" s="92" t="s">
        <v>1170</v>
      </c>
      <c r="R326" s="92">
        <v>4</v>
      </c>
      <c r="S326" s="92">
        <v>108</v>
      </c>
      <c r="T326" s="9">
        <v>44117</v>
      </c>
      <c r="U326" s="9">
        <v>44153</v>
      </c>
    </row>
    <row r="327" spans="1:21" x14ac:dyDescent="0.2">
      <c r="A327" s="10" t="str">
        <f>HYPERLINK("http://www.ofsted.gov.uk/inspection-reports/find-inspection-report/provider/ELS/112575 ","Ofsted School Webpage")</f>
        <v>Ofsted School Webpage</v>
      </c>
      <c r="B327" s="92">
        <v>112575</v>
      </c>
      <c r="C327" s="92">
        <v>8302146</v>
      </c>
      <c r="D327" s="92" t="s">
        <v>1171</v>
      </c>
      <c r="E327" s="92" t="s">
        <v>94</v>
      </c>
      <c r="F327" s="92" t="s">
        <v>269</v>
      </c>
      <c r="G327" s="92" t="s">
        <v>270</v>
      </c>
      <c r="H327" s="92" t="s">
        <v>271</v>
      </c>
      <c r="I327" s="92" t="s">
        <v>272</v>
      </c>
      <c r="J327" s="92" t="s">
        <v>273</v>
      </c>
      <c r="K327" s="92" t="s">
        <v>273</v>
      </c>
      <c r="L327" s="92" t="s">
        <v>274</v>
      </c>
      <c r="M327" s="92" t="s">
        <v>100</v>
      </c>
      <c r="N327" s="92" t="s">
        <v>100</v>
      </c>
      <c r="O327" s="92" t="s">
        <v>101</v>
      </c>
      <c r="P327" s="92" t="s">
        <v>742</v>
      </c>
      <c r="Q327" s="92" t="s">
        <v>1172</v>
      </c>
      <c r="R327" s="92">
        <v>4</v>
      </c>
      <c r="S327" s="92">
        <v>330</v>
      </c>
      <c r="T327" s="9">
        <v>44117</v>
      </c>
      <c r="U327" s="9">
        <v>44158</v>
      </c>
    </row>
    <row r="328" spans="1:21" x14ac:dyDescent="0.2">
      <c r="A328" s="10" t="str">
        <f>HYPERLINK("http://www.ofsted.gov.uk/inspection-reports/find-inspection-report/provider/ELS/134999 ","Ofsted School Webpage")</f>
        <v>Ofsted School Webpage</v>
      </c>
      <c r="B328" s="92">
        <v>134999</v>
      </c>
      <c r="C328" s="92">
        <v>8943362</v>
      </c>
      <c r="D328" s="92" t="s">
        <v>1173</v>
      </c>
      <c r="E328" s="92" t="s">
        <v>94</v>
      </c>
      <c r="F328" s="92" t="s">
        <v>269</v>
      </c>
      <c r="G328" s="9">
        <v>38596</v>
      </c>
      <c r="H328" s="92" t="s">
        <v>271</v>
      </c>
      <c r="I328" s="92" t="s">
        <v>272</v>
      </c>
      <c r="J328" s="92" t="s">
        <v>273</v>
      </c>
      <c r="K328" s="92" t="s">
        <v>273</v>
      </c>
      <c r="L328" s="92" t="s">
        <v>274</v>
      </c>
      <c r="M328" s="92" t="s">
        <v>226</v>
      </c>
      <c r="N328" s="92" t="s">
        <v>226</v>
      </c>
      <c r="O328" s="92" t="s">
        <v>239</v>
      </c>
      <c r="P328" s="92" t="s">
        <v>1174</v>
      </c>
      <c r="Q328" s="92" t="s">
        <v>1175</v>
      </c>
      <c r="R328" s="92">
        <v>4</v>
      </c>
      <c r="S328" s="92">
        <v>455</v>
      </c>
      <c r="T328" s="9">
        <v>44117</v>
      </c>
      <c r="U328" s="9">
        <v>44158</v>
      </c>
    </row>
    <row r="329" spans="1:21" x14ac:dyDescent="0.2">
      <c r="A329" s="10" t="str">
        <f>HYPERLINK("http://www.ofsted.gov.uk/inspection-reports/find-inspection-report/provider/ELS/109548 ","Ofsted School Webpage")</f>
        <v>Ofsted School Webpage</v>
      </c>
      <c r="B329" s="92">
        <v>109548</v>
      </c>
      <c r="C329" s="92">
        <v>8212239</v>
      </c>
      <c r="D329" s="92" t="s">
        <v>1176</v>
      </c>
      <c r="E329" s="92" t="s">
        <v>94</v>
      </c>
      <c r="F329" s="92" t="s">
        <v>269</v>
      </c>
      <c r="G329" s="92" t="s">
        <v>270</v>
      </c>
      <c r="H329" s="92" t="s">
        <v>271</v>
      </c>
      <c r="I329" s="92" t="s">
        <v>272</v>
      </c>
      <c r="J329" s="92" t="s">
        <v>273</v>
      </c>
      <c r="K329" s="92" t="s">
        <v>273</v>
      </c>
      <c r="L329" s="92" t="s">
        <v>274</v>
      </c>
      <c r="M329" s="92" t="s">
        <v>110</v>
      </c>
      <c r="N329" s="92" t="s">
        <v>110</v>
      </c>
      <c r="O329" s="92" t="s">
        <v>116</v>
      </c>
      <c r="P329" s="92" t="s">
        <v>1177</v>
      </c>
      <c r="Q329" s="92" t="s">
        <v>1178</v>
      </c>
      <c r="R329" s="92">
        <v>4</v>
      </c>
      <c r="S329" s="92">
        <v>399</v>
      </c>
      <c r="T329" s="9">
        <v>44117</v>
      </c>
      <c r="U329" s="9">
        <v>44164</v>
      </c>
    </row>
    <row r="330" spans="1:21" x14ac:dyDescent="0.2">
      <c r="A330" s="10" t="str">
        <f>HYPERLINK("http://www.ofsted.gov.uk/inspection-reports/find-inspection-report/provider/ELS/132185 ","Ofsted School Webpage")</f>
        <v>Ofsted School Webpage</v>
      </c>
      <c r="B330" s="92">
        <v>132185</v>
      </c>
      <c r="C330" s="92">
        <v>3802197</v>
      </c>
      <c r="D330" s="92" t="s">
        <v>1179</v>
      </c>
      <c r="E330" s="92" t="s">
        <v>94</v>
      </c>
      <c r="F330" s="92" t="s">
        <v>269</v>
      </c>
      <c r="G330" s="9">
        <v>36770</v>
      </c>
      <c r="H330" s="92" t="s">
        <v>271</v>
      </c>
      <c r="I330" s="92" t="s">
        <v>272</v>
      </c>
      <c r="J330" s="92" t="s">
        <v>273</v>
      </c>
      <c r="K330" s="92" t="s">
        <v>273</v>
      </c>
      <c r="L330" s="92" t="s">
        <v>274</v>
      </c>
      <c r="M330" s="92" t="s">
        <v>261</v>
      </c>
      <c r="N330" s="92" t="s">
        <v>241</v>
      </c>
      <c r="O330" s="92" t="s">
        <v>250</v>
      </c>
      <c r="P330" s="92" t="s">
        <v>1108</v>
      </c>
      <c r="Q330" s="92" t="s">
        <v>1180</v>
      </c>
      <c r="R330" s="92">
        <v>4</v>
      </c>
      <c r="S330" s="92">
        <v>460</v>
      </c>
      <c r="T330" s="9">
        <v>44117</v>
      </c>
      <c r="U330" s="9">
        <v>44158</v>
      </c>
    </row>
    <row r="331" spans="1:21" x14ac:dyDescent="0.2">
      <c r="A331" s="10" t="str">
        <f>HYPERLINK("http://www.ofsted.gov.uk/inspection-reports/find-inspection-report/provider/ELS/112162 ","Ofsted School Webpage")</f>
        <v>Ofsted School Webpage</v>
      </c>
      <c r="B331" s="92">
        <v>112162</v>
      </c>
      <c r="C331" s="92">
        <v>9092223</v>
      </c>
      <c r="D331" s="92" t="s">
        <v>1181</v>
      </c>
      <c r="E331" s="92" t="s">
        <v>94</v>
      </c>
      <c r="F331" s="92" t="s">
        <v>269</v>
      </c>
      <c r="G331" s="9" t="s">
        <v>270</v>
      </c>
      <c r="H331" s="92" t="s">
        <v>271</v>
      </c>
      <c r="I331" s="92" t="s">
        <v>272</v>
      </c>
      <c r="J331" s="92" t="s">
        <v>273</v>
      </c>
      <c r="K331" s="92" t="s">
        <v>273</v>
      </c>
      <c r="L331" s="92" t="s">
        <v>274</v>
      </c>
      <c r="M331" s="92" t="s">
        <v>168</v>
      </c>
      <c r="N331" s="92" t="s">
        <v>168</v>
      </c>
      <c r="O331" s="92" t="s">
        <v>176</v>
      </c>
      <c r="P331" s="92" t="s">
        <v>374</v>
      </c>
      <c r="Q331" s="92" t="s">
        <v>1182</v>
      </c>
      <c r="R331" s="92">
        <v>2</v>
      </c>
      <c r="S331" s="92">
        <v>123</v>
      </c>
      <c r="T331" s="9">
        <v>44117</v>
      </c>
      <c r="U331" s="9">
        <v>44158</v>
      </c>
    </row>
    <row r="332" spans="1:21" x14ac:dyDescent="0.2">
      <c r="A332" s="10" t="str">
        <f>HYPERLINK("http://www.ofsted.gov.uk/inspection-reports/find-inspection-report/provider/ELS/100967 ","Ofsted School Webpage")</f>
        <v>Ofsted School Webpage</v>
      </c>
      <c r="B332" s="92">
        <v>100967</v>
      </c>
      <c r="C332" s="92">
        <v>2114150</v>
      </c>
      <c r="D332" s="92" t="s">
        <v>1183</v>
      </c>
      <c r="E332" s="92" t="s">
        <v>95</v>
      </c>
      <c r="F332" s="92" t="s">
        <v>269</v>
      </c>
      <c r="G332" s="92" t="s">
        <v>270</v>
      </c>
      <c r="H332" s="92" t="s">
        <v>299</v>
      </c>
      <c r="I332" s="92" t="s">
        <v>300</v>
      </c>
      <c r="J332" s="92" t="s">
        <v>273</v>
      </c>
      <c r="K332" s="92" t="s">
        <v>273</v>
      </c>
      <c r="L332" s="92" t="s">
        <v>274</v>
      </c>
      <c r="M332" s="92" t="s">
        <v>122</v>
      </c>
      <c r="N332" s="92" t="s">
        <v>122</v>
      </c>
      <c r="O332" s="92" t="s">
        <v>141</v>
      </c>
      <c r="P332" s="92" t="s">
        <v>1184</v>
      </c>
      <c r="Q332" s="92" t="s">
        <v>1185</v>
      </c>
      <c r="R332" s="92">
        <v>5</v>
      </c>
      <c r="S332" s="92">
        <v>1522</v>
      </c>
      <c r="T332" s="9">
        <v>44117</v>
      </c>
      <c r="U332" s="9">
        <v>44154</v>
      </c>
    </row>
    <row r="333" spans="1:21" x14ac:dyDescent="0.2">
      <c r="A333" s="10" t="str">
        <f>HYPERLINK("http://www.ofsted.gov.uk/inspection-reports/find-inspection-report/provider/ELS/101509 ","Ofsted School Webpage")</f>
        <v>Ofsted School Webpage</v>
      </c>
      <c r="B333" s="92">
        <v>101509</v>
      </c>
      <c r="C333" s="92">
        <v>3042038</v>
      </c>
      <c r="D333" s="92" t="s">
        <v>1186</v>
      </c>
      <c r="E333" s="92" t="s">
        <v>94</v>
      </c>
      <c r="F333" s="92" t="s">
        <v>269</v>
      </c>
      <c r="G333" s="92" t="s">
        <v>270</v>
      </c>
      <c r="H333" s="92" t="s">
        <v>271</v>
      </c>
      <c r="I333" s="92" t="s">
        <v>272</v>
      </c>
      <c r="J333" s="92" t="s">
        <v>273</v>
      </c>
      <c r="K333" s="92" t="s">
        <v>273</v>
      </c>
      <c r="L333" s="92" t="s">
        <v>274</v>
      </c>
      <c r="M333" s="92" t="s">
        <v>122</v>
      </c>
      <c r="N333" s="92" t="s">
        <v>122</v>
      </c>
      <c r="O333" s="92" t="s">
        <v>132</v>
      </c>
      <c r="P333" s="92" t="s">
        <v>567</v>
      </c>
      <c r="Q333" s="92" t="s">
        <v>1187</v>
      </c>
      <c r="R333" s="92">
        <v>3</v>
      </c>
      <c r="S333" s="92">
        <v>460</v>
      </c>
      <c r="T333" s="9">
        <v>44117</v>
      </c>
      <c r="U333" s="9">
        <v>44146</v>
      </c>
    </row>
    <row r="334" spans="1:21" x14ac:dyDescent="0.2">
      <c r="A334" s="10" t="str">
        <f>HYPERLINK("http://www.ofsted.gov.uk/inspection-reports/find-inspection-report/provider/ELS/125049 ","Ofsted School Webpage")</f>
        <v>Ofsted School Webpage</v>
      </c>
      <c r="B334" s="92">
        <v>125049</v>
      </c>
      <c r="C334" s="92">
        <v>9362409</v>
      </c>
      <c r="D334" s="92" t="s">
        <v>1188</v>
      </c>
      <c r="E334" s="92" t="s">
        <v>94</v>
      </c>
      <c r="F334" s="92" t="s">
        <v>397</v>
      </c>
      <c r="G334" s="92" t="s">
        <v>270</v>
      </c>
      <c r="H334" s="92" t="s">
        <v>271</v>
      </c>
      <c r="I334" s="92" t="s">
        <v>272</v>
      </c>
      <c r="J334" s="92" t="s">
        <v>273</v>
      </c>
      <c r="K334" s="92" t="s">
        <v>273</v>
      </c>
      <c r="L334" s="92" t="s">
        <v>274</v>
      </c>
      <c r="M334" s="92" t="s">
        <v>192</v>
      </c>
      <c r="N334" s="92" t="s">
        <v>192</v>
      </c>
      <c r="O334" s="92" t="s">
        <v>198</v>
      </c>
      <c r="P334" s="92" t="s">
        <v>356</v>
      </c>
      <c r="Q334" s="92" t="s">
        <v>1189</v>
      </c>
      <c r="R334" s="92">
        <v>1</v>
      </c>
      <c r="S334" s="92">
        <v>174</v>
      </c>
      <c r="T334" s="9">
        <v>44117</v>
      </c>
      <c r="U334" s="9">
        <v>44146</v>
      </c>
    </row>
    <row r="335" spans="1:21" x14ac:dyDescent="0.2">
      <c r="A335" s="10" t="str">
        <f>HYPERLINK("http://www.ofsted.gov.uk/inspection-reports/find-inspection-report/provider/ELS/113350 ","Ofsted School Webpage")</f>
        <v>Ofsted School Webpage</v>
      </c>
      <c r="B335" s="92">
        <v>113350</v>
      </c>
      <c r="C335" s="92">
        <v>8783004</v>
      </c>
      <c r="D335" s="92" t="s">
        <v>1190</v>
      </c>
      <c r="E335" s="92" t="s">
        <v>94</v>
      </c>
      <c r="F335" s="92" t="s">
        <v>345</v>
      </c>
      <c r="G335" s="92" t="s">
        <v>270</v>
      </c>
      <c r="H335" s="92" t="s">
        <v>271</v>
      </c>
      <c r="I335" s="92" t="s">
        <v>272</v>
      </c>
      <c r="J335" s="92" t="s">
        <v>346</v>
      </c>
      <c r="K335" s="92" t="s">
        <v>273</v>
      </c>
      <c r="L335" s="92" t="s">
        <v>347</v>
      </c>
      <c r="M335" s="92" t="s">
        <v>211</v>
      </c>
      <c r="N335" s="92" t="s">
        <v>211</v>
      </c>
      <c r="O335" s="92" t="s">
        <v>220</v>
      </c>
      <c r="P335" s="92" t="s">
        <v>672</v>
      </c>
      <c r="Q335" s="92" t="s">
        <v>1191</v>
      </c>
      <c r="R335" s="92">
        <v>2</v>
      </c>
      <c r="S335" s="92">
        <v>52</v>
      </c>
      <c r="T335" s="9">
        <v>44117</v>
      </c>
      <c r="U335" s="9">
        <v>44153</v>
      </c>
    </row>
    <row r="336" spans="1:21" x14ac:dyDescent="0.2">
      <c r="A336" s="10" t="str">
        <f>HYPERLINK("http://www.ofsted.gov.uk/inspection-reports/find-inspection-report/provider/ELS/124856 ","Ofsted School Webpage")</f>
        <v>Ofsted School Webpage</v>
      </c>
      <c r="B336" s="92">
        <v>124856</v>
      </c>
      <c r="C336" s="92">
        <v>9354500</v>
      </c>
      <c r="D336" s="92" t="s">
        <v>1192</v>
      </c>
      <c r="E336" s="92" t="s">
        <v>95</v>
      </c>
      <c r="F336" s="92" t="s">
        <v>345</v>
      </c>
      <c r="G336" s="92" t="s">
        <v>270</v>
      </c>
      <c r="H336" s="92" t="s">
        <v>299</v>
      </c>
      <c r="I336" s="92" t="s">
        <v>272</v>
      </c>
      <c r="J336" s="92" t="s">
        <v>346</v>
      </c>
      <c r="K336" s="92" t="s">
        <v>273</v>
      </c>
      <c r="L336" s="92" t="s">
        <v>347</v>
      </c>
      <c r="M336" s="92" t="s">
        <v>110</v>
      </c>
      <c r="N336" s="92" t="s">
        <v>110</v>
      </c>
      <c r="O336" s="92" t="s">
        <v>114</v>
      </c>
      <c r="P336" s="92" t="s">
        <v>925</v>
      </c>
      <c r="Q336" s="92" t="s">
        <v>1193</v>
      </c>
      <c r="R336" s="92">
        <v>2</v>
      </c>
      <c r="S336" s="92">
        <v>1345</v>
      </c>
      <c r="T336" s="9">
        <v>44117</v>
      </c>
      <c r="U336" s="9">
        <v>44158</v>
      </c>
    </row>
    <row r="337" spans="1:21" x14ac:dyDescent="0.2">
      <c r="A337" s="10" t="str">
        <f>HYPERLINK("http://www.ofsted.gov.uk/inspection-reports/find-inspection-report/provider/ELS/122328 ","Ofsted School Webpage")</f>
        <v>Ofsted School Webpage</v>
      </c>
      <c r="B337" s="92">
        <v>122328</v>
      </c>
      <c r="C337" s="92">
        <v>9294130</v>
      </c>
      <c r="D337" s="92" t="s">
        <v>1194</v>
      </c>
      <c r="E337" s="92" t="s">
        <v>95</v>
      </c>
      <c r="F337" s="92" t="s">
        <v>397</v>
      </c>
      <c r="G337" s="9">
        <v>1</v>
      </c>
      <c r="H337" s="92" t="s">
        <v>299</v>
      </c>
      <c r="I337" s="92" t="s">
        <v>300</v>
      </c>
      <c r="J337" s="92" t="s">
        <v>410</v>
      </c>
      <c r="K337" s="92" t="s">
        <v>273</v>
      </c>
      <c r="L337" s="92" t="s">
        <v>274</v>
      </c>
      <c r="M337" s="92" t="s">
        <v>261</v>
      </c>
      <c r="N337" s="92" t="s">
        <v>155</v>
      </c>
      <c r="O337" s="92" t="s">
        <v>158</v>
      </c>
      <c r="P337" s="92" t="s">
        <v>689</v>
      </c>
      <c r="Q337" s="92" t="s">
        <v>1195</v>
      </c>
      <c r="R337" s="92">
        <v>2</v>
      </c>
      <c r="S337" s="92">
        <v>405</v>
      </c>
      <c r="T337" s="9">
        <v>44117</v>
      </c>
      <c r="U337" s="9">
        <v>44157</v>
      </c>
    </row>
    <row r="338" spans="1:21" x14ac:dyDescent="0.2">
      <c r="A338" s="10" t="str">
        <f>HYPERLINK("http://www.ofsted.gov.uk/inspection-reports/find-inspection-report/provider/ELS/120558 ","Ofsted School Webpage")</f>
        <v>Ofsted School Webpage</v>
      </c>
      <c r="B338" s="92">
        <v>120558</v>
      </c>
      <c r="C338" s="92">
        <v>9253102</v>
      </c>
      <c r="D338" s="92" t="s">
        <v>1196</v>
      </c>
      <c r="E338" s="92" t="s">
        <v>94</v>
      </c>
      <c r="F338" s="92" t="s">
        <v>345</v>
      </c>
      <c r="G338" s="92" t="s">
        <v>270</v>
      </c>
      <c r="H338" s="92" t="s">
        <v>271</v>
      </c>
      <c r="I338" s="92" t="s">
        <v>272</v>
      </c>
      <c r="J338" s="92" t="s">
        <v>346</v>
      </c>
      <c r="K338" s="92" t="s">
        <v>273</v>
      </c>
      <c r="L338" s="92" t="s">
        <v>347</v>
      </c>
      <c r="M338" s="92" t="s">
        <v>100</v>
      </c>
      <c r="N338" s="92" t="s">
        <v>100</v>
      </c>
      <c r="O338" s="92" t="s">
        <v>104</v>
      </c>
      <c r="P338" s="92" t="s">
        <v>1197</v>
      </c>
      <c r="Q338" s="92" t="s">
        <v>1198</v>
      </c>
      <c r="R338" s="92">
        <v>3</v>
      </c>
      <c r="S338" s="92">
        <v>255</v>
      </c>
      <c r="T338" s="9">
        <v>44117</v>
      </c>
      <c r="U338" s="9">
        <v>44151</v>
      </c>
    </row>
    <row r="339" spans="1:21" x14ac:dyDescent="0.2">
      <c r="A339" s="10" t="str">
        <f>HYPERLINK("http://www.ofsted.gov.uk/inspection-reports/find-inspection-report/provider/ELS/131644 ","Ofsted School Webpage")</f>
        <v>Ofsted School Webpage</v>
      </c>
      <c r="B339" s="92">
        <v>131644</v>
      </c>
      <c r="C339" s="92">
        <v>8073396</v>
      </c>
      <c r="D339" s="92" t="s">
        <v>1199</v>
      </c>
      <c r="E339" s="92" t="s">
        <v>94</v>
      </c>
      <c r="F339" s="92" t="s">
        <v>397</v>
      </c>
      <c r="G339" s="9">
        <v>38961</v>
      </c>
      <c r="H339" s="92" t="s">
        <v>271</v>
      </c>
      <c r="I339" s="92" t="s">
        <v>272</v>
      </c>
      <c r="J339" s="92" t="s">
        <v>273</v>
      </c>
      <c r="K339" s="92" t="s">
        <v>273</v>
      </c>
      <c r="L339" s="92" t="s">
        <v>274</v>
      </c>
      <c r="M339" s="92" t="s">
        <v>261</v>
      </c>
      <c r="N339" s="92" t="s">
        <v>155</v>
      </c>
      <c r="O339" s="92" t="s">
        <v>161</v>
      </c>
      <c r="P339" s="92" t="s">
        <v>505</v>
      </c>
      <c r="Q339" s="92" t="s">
        <v>1200</v>
      </c>
      <c r="R339" s="92">
        <v>5</v>
      </c>
      <c r="S339" s="92">
        <v>244</v>
      </c>
      <c r="T339" s="9">
        <v>44117</v>
      </c>
      <c r="U339" s="9">
        <v>44160</v>
      </c>
    </row>
    <row r="340" spans="1:21" x14ac:dyDescent="0.2">
      <c r="A340" s="10" t="str">
        <f>HYPERLINK("http://www.ofsted.gov.uk/inspection-reports/find-inspection-report/provider/ELS/134768 ","Ofsted School Webpage")</f>
        <v>Ofsted School Webpage</v>
      </c>
      <c r="B340" s="92">
        <v>134768</v>
      </c>
      <c r="C340" s="92">
        <v>3321104</v>
      </c>
      <c r="D340" s="92" t="s">
        <v>1201</v>
      </c>
      <c r="E340" s="92" t="s">
        <v>98</v>
      </c>
      <c r="F340" s="92" t="s">
        <v>405</v>
      </c>
      <c r="G340" s="9">
        <v>40422</v>
      </c>
      <c r="H340" s="92" t="s">
        <v>271</v>
      </c>
      <c r="I340" s="92" t="s">
        <v>271</v>
      </c>
      <c r="J340" s="92" t="s">
        <v>273</v>
      </c>
      <c r="K340" s="92" t="s">
        <v>273</v>
      </c>
      <c r="L340" s="92" t="s">
        <v>274</v>
      </c>
      <c r="M340" s="92" t="s">
        <v>226</v>
      </c>
      <c r="N340" s="92" t="s">
        <v>226</v>
      </c>
      <c r="O340" s="92" t="s">
        <v>240</v>
      </c>
      <c r="P340" s="92" t="s">
        <v>977</v>
      </c>
      <c r="Q340" s="92" t="s">
        <v>1202</v>
      </c>
      <c r="R340" s="92">
        <v>5</v>
      </c>
      <c r="S340" s="92">
        <v>30</v>
      </c>
      <c r="T340" s="9">
        <v>44117</v>
      </c>
      <c r="U340" s="9">
        <v>44153</v>
      </c>
    </row>
    <row r="341" spans="1:21" x14ac:dyDescent="0.2">
      <c r="A341" s="10" t="str">
        <f>HYPERLINK("http://www.ofsted.gov.uk/inspection-reports/find-inspection-report/provider/ELS/142050 ","Ofsted School Webpage")</f>
        <v>Ofsted School Webpage</v>
      </c>
      <c r="B341" s="92">
        <v>142050</v>
      </c>
      <c r="C341" s="92">
        <v>3117004</v>
      </c>
      <c r="D341" s="92" t="s">
        <v>1203</v>
      </c>
      <c r="E341" s="92" t="s">
        <v>96</v>
      </c>
      <c r="F341" s="92" t="s">
        <v>458</v>
      </c>
      <c r="G341" s="9">
        <v>42248</v>
      </c>
      <c r="H341" s="92" t="s">
        <v>271</v>
      </c>
      <c r="I341" s="92" t="s">
        <v>300</v>
      </c>
      <c r="J341" s="92" t="s">
        <v>273</v>
      </c>
      <c r="K341" s="92" t="s">
        <v>410</v>
      </c>
      <c r="L341" s="92" t="s">
        <v>274</v>
      </c>
      <c r="M341" s="92" t="s">
        <v>122</v>
      </c>
      <c r="N341" s="92" t="s">
        <v>122</v>
      </c>
      <c r="O341" s="92" t="s">
        <v>124</v>
      </c>
      <c r="P341" s="92" t="s">
        <v>1204</v>
      </c>
      <c r="Q341" s="92" t="s">
        <v>1205</v>
      </c>
      <c r="R341" s="92">
        <v>4</v>
      </c>
      <c r="S341" s="92">
        <v>124</v>
      </c>
      <c r="T341" s="9">
        <v>44117</v>
      </c>
      <c r="U341" s="9">
        <v>44161</v>
      </c>
    </row>
    <row r="342" spans="1:21" x14ac:dyDescent="0.2">
      <c r="A342" s="10" t="str">
        <f>HYPERLINK("http://www.ofsted.gov.uk/inspection-reports/find-inspection-report/provider/ELS/141990 ","Ofsted School Webpage")</f>
        <v>Ofsted School Webpage</v>
      </c>
      <c r="B342" s="92">
        <v>141990</v>
      </c>
      <c r="C342" s="92">
        <v>8252018</v>
      </c>
      <c r="D342" s="92" t="s">
        <v>1206</v>
      </c>
      <c r="E342" s="92" t="s">
        <v>94</v>
      </c>
      <c r="F342" s="92" t="s">
        <v>409</v>
      </c>
      <c r="G342" s="9">
        <v>42248</v>
      </c>
      <c r="H342" s="92" t="s">
        <v>271</v>
      </c>
      <c r="I342" s="92" t="s">
        <v>272</v>
      </c>
      <c r="J342" s="92" t="s">
        <v>273</v>
      </c>
      <c r="K342" s="92" t="s">
        <v>410</v>
      </c>
      <c r="L342" s="92" t="s">
        <v>274</v>
      </c>
      <c r="M342" s="92" t="s">
        <v>192</v>
      </c>
      <c r="N342" s="92" t="s">
        <v>192</v>
      </c>
      <c r="O342" s="92" t="s">
        <v>207</v>
      </c>
      <c r="P342" s="92" t="s">
        <v>1207</v>
      </c>
      <c r="Q342" s="92" t="s">
        <v>1208</v>
      </c>
      <c r="R342" s="92">
        <v>4</v>
      </c>
      <c r="S342" s="92">
        <v>183</v>
      </c>
      <c r="T342" s="9">
        <v>44117</v>
      </c>
      <c r="U342" s="9">
        <v>44151</v>
      </c>
    </row>
    <row r="343" spans="1:21" x14ac:dyDescent="0.2">
      <c r="A343" s="10" t="str">
        <f>HYPERLINK("http://www.ofsted.gov.uk/inspection-reports/find-inspection-report/provider/ELS/139060 ","Ofsted School Webpage")</f>
        <v>Ofsted School Webpage</v>
      </c>
      <c r="B343" s="92">
        <v>139060</v>
      </c>
      <c r="C343" s="92">
        <v>9284009</v>
      </c>
      <c r="D343" s="92" t="s">
        <v>1209</v>
      </c>
      <c r="E343" s="92" t="s">
        <v>95</v>
      </c>
      <c r="F343" s="92" t="s">
        <v>409</v>
      </c>
      <c r="G343" s="9">
        <v>41275</v>
      </c>
      <c r="H343" s="92" t="s">
        <v>299</v>
      </c>
      <c r="I343" s="92" t="s">
        <v>300</v>
      </c>
      <c r="J343" s="92" t="s">
        <v>410</v>
      </c>
      <c r="K343" s="92" t="s">
        <v>410</v>
      </c>
      <c r="L343" s="92" t="s">
        <v>274</v>
      </c>
      <c r="M343" s="92" t="s">
        <v>100</v>
      </c>
      <c r="N343" s="92" t="s">
        <v>100</v>
      </c>
      <c r="O343" s="92" t="s">
        <v>107</v>
      </c>
      <c r="P343" s="92" t="s">
        <v>518</v>
      </c>
      <c r="Q343" s="92" t="s">
        <v>1210</v>
      </c>
      <c r="R343" s="92">
        <v>4</v>
      </c>
      <c r="S343" s="92">
        <v>884</v>
      </c>
      <c r="T343" s="9">
        <v>44117</v>
      </c>
      <c r="U343" s="9">
        <v>44154</v>
      </c>
    </row>
    <row r="344" spans="1:21" x14ac:dyDescent="0.2">
      <c r="A344" s="10" t="str">
        <f>HYPERLINK("http://www.ofsted.gov.uk/inspection-reports/find-inspection-report/provider/ELS/140888 ","Ofsted School Webpage")</f>
        <v>Ofsted School Webpage</v>
      </c>
      <c r="B344" s="92">
        <v>140888</v>
      </c>
      <c r="C344" s="92">
        <v>8732026</v>
      </c>
      <c r="D344" s="92" t="s">
        <v>1211</v>
      </c>
      <c r="E344" s="92" t="s">
        <v>94</v>
      </c>
      <c r="F344" s="92" t="s">
        <v>409</v>
      </c>
      <c r="G344" s="9">
        <v>41821</v>
      </c>
      <c r="H344" s="92" t="s">
        <v>271</v>
      </c>
      <c r="I344" s="92" t="s">
        <v>272</v>
      </c>
      <c r="J344" s="92" t="s">
        <v>273</v>
      </c>
      <c r="K344" s="92" t="s">
        <v>410</v>
      </c>
      <c r="L344" s="92" t="s">
        <v>274</v>
      </c>
      <c r="M344" s="92" t="s">
        <v>110</v>
      </c>
      <c r="N344" s="92" t="s">
        <v>110</v>
      </c>
      <c r="O344" s="92" t="s">
        <v>112</v>
      </c>
      <c r="P344" s="92" t="s">
        <v>1212</v>
      </c>
      <c r="Q344" s="92" t="s">
        <v>1213</v>
      </c>
      <c r="R344" s="92">
        <v>4</v>
      </c>
      <c r="S344" s="92">
        <v>460</v>
      </c>
      <c r="T344" s="9">
        <v>44117</v>
      </c>
      <c r="U344" s="9">
        <v>44159</v>
      </c>
    </row>
    <row r="345" spans="1:21" x14ac:dyDescent="0.2">
      <c r="A345" s="10" t="str">
        <f>HYPERLINK("http://www.ofsted.gov.uk/inspection-reports/find-inspection-report/provider/ELS/141378 ","Ofsted School Webpage")</f>
        <v>Ofsted School Webpage</v>
      </c>
      <c r="B345" s="92">
        <v>141378</v>
      </c>
      <c r="C345" s="92">
        <v>8394006</v>
      </c>
      <c r="D345" s="92" t="s">
        <v>1214</v>
      </c>
      <c r="E345" s="92" t="s">
        <v>95</v>
      </c>
      <c r="F345" s="92" t="s">
        <v>409</v>
      </c>
      <c r="G345" s="9">
        <v>42036</v>
      </c>
      <c r="H345" s="92" t="s">
        <v>299</v>
      </c>
      <c r="I345" s="92" t="s">
        <v>300</v>
      </c>
      <c r="J345" s="92" t="s">
        <v>273</v>
      </c>
      <c r="K345" s="92" t="s">
        <v>410</v>
      </c>
      <c r="L345" s="92" t="s">
        <v>274</v>
      </c>
      <c r="M345" s="92" t="s">
        <v>211</v>
      </c>
      <c r="N345" s="92" t="s">
        <v>211</v>
      </c>
      <c r="O345" s="92" t="s">
        <v>223</v>
      </c>
      <c r="P345" s="92" t="s">
        <v>1215</v>
      </c>
      <c r="Q345" s="92" t="s">
        <v>1216</v>
      </c>
      <c r="R345" s="92">
        <v>4</v>
      </c>
      <c r="S345" s="92">
        <v>387</v>
      </c>
      <c r="T345" s="9">
        <v>44117</v>
      </c>
      <c r="U345" s="9">
        <v>44154</v>
      </c>
    </row>
    <row r="346" spans="1:21" x14ac:dyDescent="0.2">
      <c r="A346" s="10" t="str">
        <f>HYPERLINK("http://www.ofsted.gov.uk/inspection-reports/find-inspection-report/provider/ELS/135721 ","Ofsted School Webpage")</f>
        <v>Ofsted School Webpage</v>
      </c>
      <c r="B346" s="92">
        <v>135721</v>
      </c>
      <c r="C346" s="92">
        <v>8866915</v>
      </c>
      <c r="D346" s="92" t="s">
        <v>1217</v>
      </c>
      <c r="E346" s="92" t="s">
        <v>95</v>
      </c>
      <c r="F346" s="92" t="s">
        <v>409</v>
      </c>
      <c r="G346" s="9">
        <v>40057</v>
      </c>
      <c r="H346" s="92" t="s">
        <v>299</v>
      </c>
      <c r="I346" s="92" t="s">
        <v>300</v>
      </c>
      <c r="J346" s="92" t="s">
        <v>273</v>
      </c>
      <c r="K346" s="92" t="s">
        <v>410</v>
      </c>
      <c r="L346" s="92" t="s">
        <v>274</v>
      </c>
      <c r="M346" s="92" t="s">
        <v>192</v>
      </c>
      <c r="N346" s="92" t="s">
        <v>192</v>
      </c>
      <c r="O346" s="92" t="s">
        <v>194</v>
      </c>
      <c r="P346" s="92" t="s">
        <v>1218</v>
      </c>
      <c r="Q346" s="92" t="s">
        <v>1219</v>
      </c>
      <c r="R346" s="92">
        <v>5</v>
      </c>
      <c r="S346" s="92">
        <v>1337</v>
      </c>
      <c r="T346" s="9">
        <v>44117</v>
      </c>
      <c r="U346" s="9">
        <v>44160</v>
      </c>
    </row>
    <row r="347" spans="1:21" x14ac:dyDescent="0.2">
      <c r="A347" s="10" t="str">
        <f>HYPERLINK("http://www.ofsted.gov.uk/inspection-reports/find-inspection-report/provider/ELS/135662 ","Ofsted School Webpage")</f>
        <v>Ofsted School Webpage</v>
      </c>
      <c r="B347" s="92">
        <v>135662</v>
      </c>
      <c r="C347" s="92">
        <v>8846905</v>
      </c>
      <c r="D347" s="92" t="s">
        <v>1220</v>
      </c>
      <c r="E347" s="92" t="s">
        <v>95</v>
      </c>
      <c r="F347" s="92" t="s">
        <v>409</v>
      </c>
      <c r="G347" s="9">
        <v>39692</v>
      </c>
      <c r="H347" s="92" t="s">
        <v>299</v>
      </c>
      <c r="I347" s="92" t="s">
        <v>300</v>
      </c>
      <c r="J347" s="92" t="s">
        <v>347</v>
      </c>
      <c r="K347" s="92" t="s">
        <v>410</v>
      </c>
      <c r="L347" s="92" t="s">
        <v>347</v>
      </c>
      <c r="M347" s="92" t="s">
        <v>226</v>
      </c>
      <c r="N347" s="92" t="s">
        <v>226</v>
      </c>
      <c r="O347" s="92" t="s">
        <v>227</v>
      </c>
      <c r="P347" s="92" t="s">
        <v>348</v>
      </c>
      <c r="Q347" s="92" t="s">
        <v>1221</v>
      </c>
      <c r="R347" s="92">
        <v>4</v>
      </c>
      <c r="S347" s="92">
        <v>584</v>
      </c>
      <c r="T347" s="9">
        <v>44117</v>
      </c>
      <c r="U347" s="9">
        <v>44157</v>
      </c>
    </row>
    <row r="348" spans="1:21" x14ac:dyDescent="0.2">
      <c r="A348" s="10" t="str">
        <f>HYPERLINK("http://www.ofsted.gov.uk/inspection-reports/find-inspection-report/provider/ELS/136577 ","Ofsted School Webpage")</f>
        <v>Ofsted School Webpage</v>
      </c>
      <c r="B348" s="92">
        <v>136577</v>
      </c>
      <c r="C348" s="92">
        <v>8815403</v>
      </c>
      <c r="D348" s="92" t="s">
        <v>1222</v>
      </c>
      <c r="E348" s="92" t="s">
        <v>95</v>
      </c>
      <c r="F348" s="92" t="s">
        <v>429</v>
      </c>
      <c r="G348" s="9">
        <v>40634</v>
      </c>
      <c r="H348" s="92" t="s">
        <v>299</v>
      </c>
      <c r="I348" s="92" t="s">
        <v>300</v>
      </c>
      <c r="J348" s="92" t="s">
        <v>410</v>
      </c>
      <c r="K348" s="92" t="s">
        <v>273</v>
      </c>
      <c r="L348" s="92" t="s">
        <v>274</v>
      </c>
      <c r="M348" s="92" t="s">
        <v>110</v>
      </c>
      <c r="N348" s="92" t="s">
        <v>110</v>
      </c>
      <c r="O348" s="92" t="s">
        <v>119</v>
      </c>
      <c r="P348" s="92" t="s">
        <v>1223</v>
      </c>
      <c r="Q348" s="92" t="s">
        <v>1224</v>
      </c>
      <c r="R348" s="92">
        <v>2</v>
      </c>
      <c r="S348" s="92">
        <v>2128</v>
      </c>
      <c r="T348" s="9">
        <v>44117</v>
      </c>
      <c r="U348" s="9">
        <v>44151</v>
      </c>
    </row>
    <row r="349" spans="1:21" x14ac:dyDescent="0.2">
      <c r="A349" s="10" t="str">
        <f>HYPERLINK("http://www.ofsted.gov.uk/inspection-reports/find-inspection-report/provider/ELS/139441 ","Ofsted School Webpage")</f>
        <v>Ofsted School Webpage</v>
      </c>
      <c r="B349" s="92">
        <v>139441</v>
      </c>
      <c r="C349" s="92">
        <v>8552069</v>
      </c>
      <c r="D349" s="92" t="s">
        <v>1225</v>
      </c>
      <c r="E349" s="92" t="s">
        <v>94</v>
      </c>
      <c r="F349" s="92" t="s">
        <v>429</v>
      </c>
      <c r="G349" s="9">
        <v>41365</v>
      </c>
      <c r="H349" s="92" t="s">
        <v>271</v>
      </c>
      <c r="I349" s="92" t="s">
        <v>272</v>
      </c>
      <c r="J349" s="92" t="s">
        <v>273</v>
      </c>
      <c r="K349" s="92" t="s">
        <v>273</v>
      </c>
      <c r="L349" s="92" t="s">
        <v>274</v>
      </c>
      <c r="M349" s="92" t="s">
        <v>100</v>
      </c>
      <c r="N349" s="92" t="s">
        <v>100</v>
      </c>
      <c r="O349" s="92" t="s">
        <v>108</v>
      </c>
      <c r="P349" s="92" t="s">
        <v>1226</v>
      </c>
      <c r="Q349" s="92" t="s">
        <v>1227</v>
      </c>
      <c r="R349" s="92">
        <v>1</v>
      </c>
      <c r="S349" s="92">
        <v>321</v>
      </c>
      <c r="T349" s="9">
        <v>44117</v>
      </c>
      <c r="U349" s="9">
        <v>44161</v>
      </c>
    </row>
    <row r="350" spans="1:21" x14ac:dyDescent="0.2">
      <c r="A350" s="10" t="str">
        <f>HYPERLINK("http://www.ofsted.gov.uk/inspection-reports/find-inspection-report/provider/ELS/140230 ","Ofsted School Webpage")</f>
        <v>Ofsted School Webpage</v>
      </c>
      <c r="B350" s="92">
        <v>140230</v>
      </c>
      <c r="C350" s="92">
        <v>8553008</v>
      </c>
      <c r="D350" s="92" t="s">
        <v>1228</v>
      </c>
      <c r="E350" s="92" t="s">
        <v>94</v>
      </c>
      <c r="F350" s="92" t="s">
        <v>429</v>
      </c>
      <c r="G350" s="9">
        <v>41548</v>
      </c>
      <c r="H350" s="92" t="s">
        <v>271</v>
      </c>
      <c r="I350" s="92" t="s">
        <v>272</v>
      </c>
      <c r="J350" s="92" t="s">
        <v>346</v>
      </c>
      <c r="K350" s="92" t="s">
        <v>273</v>
      </c>
      <c r="L350" s="92" t="s">
        <v>347</v>
      </c>
      <c r="M350" s="92" t="s">
        <v>100</v>
      </c>
      <c r="N350" s="92" t="s">
        <v>100</v>
      </c>
      <c r="O350" s="92" t="s">
        <v>108</v>
      </c>
      <c r="P350" s="92" t="s">
        <v>1229</v>
      </c>
      <c r="Q350" s="92" t="s">
        <v>1230</v>
      </c>
      <c r="R350" s="92">
        <v>2</v>
      </c>
      <c r="S350" s="92">
        <v>529</v>
      </c>
      <c r="T350" s="9">
        <v>44117</v>
      </c>
      <c r="U350" s="9">
        <v>44147</v>
      </c>
    </row>
    <row r="351" spans="1:21" x14ac:dyDescent="0.2">
      <c r="A351" s="10" t="str">
        <f>HYPERLINK("http://www.ofsted.gov.uk/inspection-reports/find-inspection-report/provider/ELS/141588 ","Ofsted School Webpage")</f>
        <v>Ofsted School Webpage</v>
      </c>
      <c r="B351" s="92">
        <v>141588</v>
      </c>
      <c r="C351" s="92">
        <v>3723328</v>
      </c>
      <c r="D351" s="92" t="s">
        <v>1231</v>
      </c>
      <c r="E351" s="92" t="s">
        <v>94</v>
      </c>
      <c r="F351" s="92" t="s">
        <v>429</v>
      </c>
      <c r="G351" s="9">
        <v>42036</v>
      </c>
      <c r="H351" s="92" t="s">
        <v>271</v>
      </c>
      <c r="I351" s="92" t="s">
        <v>272</v>
      </c>
      <c r="J351" s="92" t="s">
        <v>346</v>
      </c>
      <c r="K351" s="92" t="s">
        <v>273</v>
      </c>
      <c r="L351" s="92" t="s">
        <v>347</v>
      </c>
      <c r="M351" s="92" t="s">
        <v>261</v>
      </c>
      <c r="N351" s="92" t="s">
        <v>241</v>
      </c>
      <c r="O351" s="92" t="s">
        <v>242</v>
      </c>
      <c r="P351" s="92" t="s">
        <v>1040</v>
      </c>
      <c r="Q351" s="92" t="s">
        <v>1232</v>
      </c>
      <c r="R351" s="92">
        <v>5</v>
      </c>
      <c r="S351" s="92">
        <v>164</v>
      </c>
      <c r="T351" s="9">
        <v>44117</v>
      </c>
      <c r="U351" s="9">
        <v>44157</v>
      </c>
    </row>
    <row r="352" spans="1:21" x14ac:dyDescent="0.2">
      <c r="A352" s="10" t="str">
        <f>HYPERLINK("http://www.ofsted.gov.uk/inspection-reports/find-inspection-report/provider/ELS/138620 ","Ofsted School Webpage")</f>
        <v>Ofsted School Webpage</v>
      </c>
      <c r="B352" s="92">
        <v>138620</v>
      </c>
      <c r="C352" s="92">
        <v>9384044</v>
      </c>
      <c r="D352" s="92" t="s">
        <v>1233</v>
      </c>
      <c r="E352" s="92" t="s">
        <v>95</v>
      </c>
      <c r="F352" s="92" t="s">
        <v>429</v>
      </c>
      <c r="G352" s="9">
        <v>41153</v>
      </c>
      <c r="H352" s="92" t="s">
        <v>299</v>
      </c>
      <c r="I352" s="92" t="s">
        <v>300</v>
      </c>
      <c r="J352" s="92" t="s">
        <v>273</v>
      </c>
      <c r="K352" s="92" t="s">
        <v>273</v>
      </c>
      <c r="L352" s="92" t="s">
        <v>274</v>
      </c>
      <c r="M352" s="92" t="s">
        <v>192</v>
      </c>
      <c r="N352" s="92" t="s">
        <v>192</v>
      </c>
      <c r="O352" s="92" t="s">
        <v>200</v>
      </c>
      <c r="P352" s="92" t="s">
        <v>492</v>
      </c>
      <c r="Q352" s="92" t="s">
        <v>1234</v>
      </c>
      <c r="R352" s="92">
        <v>4</v>
      </c>
      <c r="S352" s="92">
        <v>1018</v>
      </c>
      <c r="T352" s="9">
        <v>44117</v>
      </c>
      <c r="U352" s="9">
        <v>44157</v>
      </c>
    </row>
    <row r="353" spans="1:21" x14ac:dyDescent="0.2">
      <c r="A353" s="10" t="str">
        <f>HYPERLINK("http://www.ofsted.gov.uk/inspection-reports/find-inspection-report/provider/ELS/141457 ","Ofsted School Webpage")</f>
        <v>Ofsted School Webpage</v>
      </c>
      <c r="B353" s="92">
        <v>141457</v>
      </c>
      <c r="C353" s="92">
        <v>8073308</v>
      </c>
      <c r="D353" s="92" t="s">
        <v>1235</v>
      </c>
      <c r="E353" s="92" t="s">
        <v>94</v>
      </c>
      <c r="F353" s="92" t="s">
        <v>429</v>
      </c>
      <c r="G353" s="9">
        <v>41913</v>
      </c>
      <c r="H353" s="92" t="s">
        <v>271</v>
      </c>
      <c r="I353" s="92" t="s">
        <v>272</v>
      </c>
      <c r="J353" s="92" t="s">
        <v>352</v>
      </c>
      <c r="K353" s="92" t="s">
        <v>273</v>
      </c>
      <c r="L353" s="92" t="s">
        <v>347</v>
      </c>
      <c r="M353" s="92" t="s">
        <v>261</v>
      </c>
      <c r="N353" s="92" t="s">
        <v>155</v>
      </c>
      <c r="O353" s="92" t="s">
        <v>161</v>
      </c>
      <c r="P353" s="92" t="s">
        <v>505</v>
      </c>
      <c r="Q353" s="92" t="s">
        <v>1236</v>
      </c>
      <c r="R353" s="92">
        <v>5</v>
      </c>
      <c r="S353" s="92">
        <v>181</v>
      </c>
      <c r="T353" s="9">
        <v>44117</v>
      </c>
      <c r="U353" s="9">
        <v>44158</v>
      </c>
    </row>
    <row r="354" spans="1:21" x14ac:dyDescent="0.2">
      <c r="A354" s="10" t="str">
        <f>HYPERLINK("http://www.ofsted.gov.uk/inspection-reports/find-inspection-report/provider/ELS/142429 ","Ofsted School Webpage")</f>
        <v>Ofsted School Webpage</v>
      </c>
      <c r="B354" s="92">
        <v>142429</v>
      </c>
      <c r="C354" s="92">
        <v>8863140</v>
      </c>
      <c r="D354" s="92" t="s">
        <v>1237</v>
      </c>
      <c r="E354" s="92" t="s">
        <v>94</v>
      </c>
      <c r="F354" s="92" t="s">
        <v>429</v>
      </c>
      <c r="G354" s="9">
        <v>42309</v>
      </c>
      <c r="H354" s="92" t="s">
        <v>271</v>
      </c>
      <c r="I354" s="92" t="s">
        <v>272</v>
      </c>
      <c r="J354" s="92" t="s">
        <v>346</v>
      </c>
      <c r="K354" s="92" t="s">
        <v>273</v>
      </c>
      <c r="L354" s="92" t="s">
        <v>347</v>
      </c>
      <c r="M354" s="92" t="s">
        <v>192</v>
      </c>
      <c r="N354" s="92" t="s">
        <v>192</v>
      </c>
      <c r="O354" s="92" t="s">
        <v>194</v>
      </c>
      <c r="P354" s="92" t="s">
        <v>732</v>
      </c>
      <c r="Q354" s="92" t="s">
        <v>1238</v>
      </c>
      <c r="R354" s="92">
        <v>2</v>
      </c>
      <c r="S354" s="92">
        <v>421</v>
      </c>
      <c r="T354" s="9">
        <v>44117</v>
      </c>
      <c r="U354" s="9">
        <v>44160</v>
      </c>
    </row>
    <row r="355" spans="1:21" x14ac:dyDescent="0.2">
      <c r="A355" s="10" t="str">
        <f>HYPERLINK("http://www.ofsted.gov.uk/inspection-reports/find-inspection-report/provider/ELS/144982 ","Ofsted School Webpage")</f>
        <v>Ofsted School Webpage</v>
      </c>
      <c r="B355" s="92">
        <v>144982</v>
      </c>
      <c r="C355" s="92">
        <v>3542010</v>
      </c>
      <c r="D355" s="92" t="s">
        <v>1239</v>
      </c>
      <c r="E355" s="92" t="s">
        <v>94</v>
      </c>
      <c r="F355" s="92" t="s">
        <v>409</v>
      </c>
      <c r="G355" s="9">
        <v>43009</v>
      </c>
      <c r="H355" s="92" t="s">
        <v>271</v>
      </c>
      <c r="I355" s="92" t="s">
        <v>271</v>
      </c>
      <c r="J355" s="92" t="s">
        <v>352</v>
      </c>
      <c r="K355" s="92" t="s">
        <v>484</v>
      </c>
      <c r="L355" s="92" t="s">
        <v>347</v>
      </c>
      <c r="M355" s="92" t="s">
        <v>168</v>
      </c>
      <c r="N355" s="92" t="s">
        <v>168</v>
      </c>
      <c r="O355" s="92" t="s">
        <v>173</v>
      </c>
      <c r="P355" s="92" t="s">
        <v>173</v>
      </c>
      <c r="Q355" s="92" t="s">
        <v>1240</v>
      </c>
      <c r="R355" s="92">
        <v>5</v>
      </c>
      <c r="S355" s="92">
        <v>151</v>
      </c>
      <c r="T355" s="9">
        <v>44117</v>
      </c>
      <c r="U355" s="9">
        <v>44154</v>
      </c>
    </row>
    <row r="356" spans="1:21" x14ac:dyDescent="0.2">
      <c r="A356" s="10" t="str">
        <f>HYPERLINK("http://www.ofsted.gov.uk/inspection-reports/find-inspection-report/provider/ELS/140799 ","Ofsted School Webpage")</f>
        <v>Ofsted School Webpage</v>
      </c>
      <c r="B356" s="92">
        <v>140799</v>
      </c>
      <c r="C356" s="92">
        <v>3722067</v>
      </c>
      <c r="D356" s="92" t="s">
        <v>1241</v>
      </c>
      <c r="E356" s="92" t="s">
        <v>94</v>
      </c>
      <c r="F356" s="92" t="s">
        <v>429</v>
      </c>
      <c r="G356" s="9">
        <v>41730</v>
      </c>
      <c r="H356" s="92" t="s">
        <v>271</v>
      </c>
      <c r="I356" s="92" t="s">
        <v>272</v>
      </c>
      <c r="J356" s="92" t="s">
        <v>273</v>
      </c>
      <c r="K356" s="92" t="s">
        <v>273</v>
      </c>
      <c r="L356" s="92" t="s">
        <v>274</v>
      </c>
      <c r="M356" s="92" t="s">
        <v>261</v>
      </c>
      <c r="N356" s="92" t="s">
        <v>241</v>
      </c>
      <c r="O356" s="92" t="s">
        <v>242</v>
      </c>
      <c r="P356" s="92" t="s">
        <v>1040</v>
      </c>
      <c r="Q356" s="92" t="s">
        <v>1242</v>
      </c>
      <c r="R356" s="92">
        <v>4</v>
      </c>
      <c r="S356" s="92">
        <v>205</v>
      </c>
      <c r="T356" s="9">
        <v>44117</v>
      </c>
      <c r="U356" s="9">
        <v>44158</v>
      </c>
    </row>
    <row r="357" spans="1:21" x14ac:dyDescent="0.2">
      <c r="A357" s="10" t="str">
        <f>HYPERLINK("http://www.ofsted.gov.uk/inspection-reports/find-inspection-report/provider/ELS/143306 ","Ofsted School Webpage")</f>
        <v>Ofsted School Webpage</v>
      </c>
      <c r="B357" s="92">
        <v>143306</v>
      </c>
      <c r="C357" s="92">
        <v>8792708</v>
      </c>
      <c r="D357" s="92" t="s">
        <v>1243</v>
      </c>
      <c r="E357" s="92" t="s">
        <v>94</v>
      </c>
      <c r="F357" s="92" t="s">
        <v>429</v>
      </c>
      <c r="G357" s="9">
        <v>42614</v>
      </c>
      <c r="H357" s="92" t="s">
        <v>271</v>
      </c>
      <c r="I357" s="92" t="s">
        <v>272</v>
      </c>
      <c r="J357" s="92" t="s">
        <v>273</v>
      </c>
      <c r="K357" s="92" t="s">
        <v>273</v>
      </c>
      <c r="L357" s="92" t="s">
        <v>274</v>
      </c>
      <c r="M357" s="92" t="s">
        <v>211</v>
      </c>
      <c r="N357" s="92" t="s">
        <v>211</v>
      </c>
      <c r="O357" s="92" t="s">
        <v>214</v>
      </c>
      <c r="P357" s="92" t="s">
        <v>607</v>
      </c>
      <c r="Q357" s="92" t="s">
        <v>1244</v>
      </c>
      <c r="R357" s="92">
        <v>4</v>
      </c>
      <c r="S357" s="92">
        <v>285</v>
      </c>
      <c r="T357" s="9">
        <v>44117</v>
      </c>
      <c r="U357" s="9">
        <v>44157</v>
      </c>
    </row>
    <row r="358" spans="1:21" x14ac:dyDescent="0.2">
      <c r="A358" s="10" t="str">
        <f>HYPERLINK("http://www.ofsted.gov.uk/inspection-reports/find-inspection-report/provider/ELS/137359 ","Ofsted School Webpage")</f>
        <v>Ofsted School Webpage</v>
      </c>
      <c r="B358" s="92">
        <v>137359</v>
      </c>
      <c r="C358" s="92">
        <v>8902222</v>
      </c>
      <c r="D358" s="92" t="s">
        <v>1245</v>
      </c>
      <c r="E358" s="92" t="s">
        <v>94</v>
      </c>
      <c r="F358" s="92" t="s">
        <v>429</v>
      </c>
      <c r="G358" s="9">
        <v>40787</v>
      </c>
      <c r="H358" s="92" t="s">
        <v>271</v>
      </c>
      <c r="I358" s="92" t="s">
        <v>271</v>
      </c>
      <c r="J358" s="92" t="s">
        <v>273</v>
      </c>
      <c r="K358" s="92" t="s">
        <v>273</v>
      </c>
      <c r="L358" s="92" t="s">
        <v>274</v>
      </c>
      <c r="M358" s="92" t="s">
        <v>168</v>
      </c>
      <c r="N358" s="92" t="s">
        <v>168</v>
      </c>
      <c r="O358" s="92" t="s">
        <v>177</v>
      </c>
      <c r="P358" s="92" t="s">
        <v>942</v>
      </c>
      <c r="Q358" s="92" t="s">
        <v>1246</v>
      </c>
      <c r="R358" s="92">
        <v>3</v>
      </c>
      <c r="S358" s="92">
        <v>228</v>
      </c>
      <c r="T358" s="9">
        <v>44117</v>
      </c>
      <c r="U358" s="9">
        <v>44152</v>
      </c>
    </row>
    <row r="359" spans="1:21" x14ac:dyDescent="0.2">
      <c r="A359" s="10" t="str">
        <f>HYPERLINK("http://www.ofsted.gov.uk/inspection-reports/find-inspection-report/provider/ELS/143209 ","Ofsted School Webpage")</f>
        <v>Ofsted School Webpage</v>
      </c>
      <c r="B359" s="92">
        <v>143209</v>
      </c>
      <c r="C359" s="92">
        <v>2032919</v>
      </c>
      <c r="D359" s="92" t="s">
        <v>1247</v>
      </c>
      <c r="E359" s="92" t="s">
        <v>94</v>
      </c>
      <c r="F359" s="92" t="s">
        <v>429</v>
      </c>
      <c r="G359" s="9">
        <v>42614</v>
      </c>
      <c r="H359" s="92" t="s">
        <v>271</v>
      </c>
      <c r="I359" s="92" t="s">
        <v>272</v>
      </c>
      <c r="J359" s="92" t="s">
        <v>273</v>
      </c>
      <c r="K359" s="92" t="s">
        <v>273</v>
      </c>
      <c r="L359" s="92" t="s">
        <v>274</v>
      </c>
      <c r="M359" s="92" t="s">
        <v>122</v>
      </c>
      <c r="N359" s="92" t="s">
        <v>122</v>
      </c>
      <c r="O359" s="92" t="s">
        <v>142</v>
      </c>
      <c r="P359" s="92" t="s">
        <v>1248</v>
      </c>
      <c r="Q359" s="92" t="s">
        <v>1249</v>
      </c>
      <c r="R359" s="92">
        <v>4</v>
      </c>
      <c r="S359" s="92">
        <v>405</v>
      </c>
      <c r="T359" s="9">
        <v>44117</v>
      </c>
      <c r="U359" s="9">
        <v>44153</v>
      </c>
    </row>
    <row r="360" spans="1:21" x14ac:dyDescent="0.2">
      <c r="A360" s="10" t="str">
        <f>HYPERLINK("http://www.ofsted.gov.uk/inspection-reports/find-inspection-report/provider/ELS/141037 ","Ofsted School Webpage")</f>
        <v>Ofsted School Webpage</v>
      </c>
      <c r="B360" s="92">
        <v>141037</v>
      </c>
      <c r="C360" s="92">
        <v>8101104</v>
      </c>
      <c r="D360" s="92" t="s">
        <v>1250</v>
      </c>
      <c r="E360" s="92" t="s">
        <v>98</v>
      </c>
      <c r="F360" s="92" t="s">
        <v>1251</v>
      </c>
      <c r="G360" s="9">
        <v>41883</v>
      </c>
      <c r="H360" s="92" t="s">
        <v>484</v>
      </c>
      <c r="I360" s="92" t="s">
        <v>272</v>
      </c>
      <c r="J360" s="92" t="s">
        <v>273</v>
      </c>
      <c r="K360" s="92" t="s">
        <v>347</v>
      </c>
      <c r="L360" s="92" t="s">
        <v>274</v>
      </c>
      <c r="M360" s="92" t="s">
        <v>261</v>
      </c>
      <c r="N360" s="92" t="s">
        <v>241</v>
      </c>
      <c r="O360" s="92" t="s">
        <v>253</v>
      </c>
      <c r="P360" s="92" t="s">
        <v>1252</v>
      </c>
      <c r="Q360" s="92" t="s">
        <v>1253</v>
      </c>
      <c r="R360" s="92">
        <v>5</v>
      </c>
      <c r="S360" s="92">
        <v>144</v>
      </c>
      <c r="T360" s="9">
        <v>44117</v>
      </c>
      <c r="U360" s="9">
        <v>44158</v>
      </c>
    </row>
    <row r="361" spans="1:21" x14ac:dyDescent="0.2">
      <c r="A361" s="10" t="str">
        <f>HYPERLINK("http://www.ofsted.gov.uk/inspection-reports/find-inspection-report/provider/ELS/145222 ","Ofsted School Webpage")</f>
        <v>Ofsted School Webpage</v>
      </c>
      <c r="B361" s="92">
        <v>145222</v>
      </c>
      <c r="C361" s="92">
        <v>8522002</v>
      </c>
      <c r="D361" s="92" t="s">
        <v>1254</v>
      </c>
      <c r="E361" s="92" t="s">
        <v>94</v>
      </c>
      <c r="F361" s="92" t="s">
        <v>429</v>
      </c>
      <c r="G361" s="9">
        <v>43040</v>
      </c>
      <c r="H361" s="92" t="s">
        <v>271</v>
      </c>
      <c r="I361" s="92" t="s">
        <v>272</v>
      </c>
      <c r="J361" s="92" t="s">
        <v>273</v>
      </c>
      <c r="K361" s="92" t="s">
        <v>273</v>
      </c>
      <c r="L361" s="92" t="s">
        <v>274</v>
      </c>
      <c r="M361" s="92" t="s">
        <v>192</v>
      </c>
      <c r="N361" s="92" t="s">
        <v>192</v>
      </c>
      <c r="O361" s="92" t="s">
        <v>202</v>
      </c>
      <c r="P361" s="92" t="s">
        <v>1255</v>
      </c>
      <c r="Q361" s="92" t="s">
        <v>1256</v>
      </c>
      <c r="R361" s="92">
        <v>5</v>
      </c>
      <c r="S361" s="92">
        <v>393</v>
      </c>
      <c r="T361" s="9">
        <v>44117</v>
      </c>
      <c r="U361" s="9">
        <v>44158</v>
      </c>
    </row>
    <row r="362" spans="1:21" x14ac:dyDescent="0.2">
      <c r="A362" s="10" t="str">
        <f>HYPERLINK("http://www.ofsted.gov.uk/inspection-reports/find-inspection-report/provider/ELS/144445 ","Ofsted School Webpage")</f>
        <v>Ofsted School Webpage</v>
      </c>
      <c r="B362" s="92">
        <v>144445</v>
      </c>
      <c r="C362" s="92">
        <v>9352088</v>
      </c>
      <c r="D362" s="92" t="s">
        <v>1257</v>
      </c>
      <c r="E362" s="92" t="s">
        <v>94</v>
      </c>
      <c r="F362" s="92" t="s">
        <v>429</v>
      </c>
      <c r="G362" s="9">
        <v>42856</v>
      </c>
      <c r="H362" s="92" t="s">
        <v>271</v>
      </c>
      <c r="I362" s="92" t="s">
        <v>272</v>
      </c>
      <c r="J362" s="92" t="s">
        <v>273</v>
      </c>
      <c r="K362" s="92" t="s">
        <v>273</v>
      </c>
      <c r="L362" s="92" t="s">
        <v>274</v>
      </c>
      <c r="M362" s="92" t="s">
        <v>110</v>
      </c>
      <c r="N362" s="92" t="s">
        <v>110</v>
      </c>
      <c r="O362" s="92" t="s">
        <v>114</v>
      </c>
      <c r="P362" s="92" t="s">
        <v>1258</v>
      </c>
      <c r="Q362" s="92" t="s">
        <v>1259</v>
      </c>
      <c r="R362" s="92">
        <v>2</v>
      </c>
      <c r="S362" s="92">
        <v>98</v>
      </c>
      <c r="T362" s="9">
        <v>44117</v>
      </c>
      <c r="U362" s="9">
        <v>44146</v>
      </c>
    </row>
    <row r="363" spans="1:21" x14ac:dyDescent="0.2">
      <c r="A363" s="10" t="str">
        <f>HYPERLINK("http://www.ofsted.gov.uk/inspection-reports/find-inspection-report/provider/ELS/142736 ","Ofsted School Webpage")</f>
        <v>Ofsted School Webpage</v>
      </c>
      <c r="B363" s="92">
        <v>142736</v>
      </c>
      <c r="C363" s="92">
        <v>8083305</v>
      </c>
      <c r="D363" s="92" t="s">
        <v>634</v>
      </c>
      <c r="E363" s="92" t="s">
        <v>94</v>
      </c>
      <c r="F363" s="92" t="s">
        <v>429</v>
      </c>
      <c r="G363" s="9">
        <v>42461</v>
      </c>
      <c r="H363" s="92" t="s">
        <v>271</v>
      </c>
      <c r="I363" s="92" t="s">
        <v>272</v>
      </c>
      <c r="J363" s="92" t="s">
        <v>352</v>
      </c>
      <c r="K363" s="92" t="s">
        <v>273</v>
      </c>
      <c r="L363" s="92" t="s">
        <v>347</v>
      </c>
      <c r="M363" s="92" t="s">
        <v>261</v>
      </c>
      <c r="N363" s="92" t="s">
        <v>155</v>
      </c>
      <c r="O363" s="92" t="s">
        <v>159</v>
      </c>
      <c r="P363" s="92" t="s">
        <v>433</v>
      </c>
      <c r="Q363" s="92" t="s">
        <v>1260</v>
      </c>
      <c r="R363" s="92">
        <v>4</v>
      </c>
      <c r="S363" s="92">
        <v>221</v>
      </c>
      <c r="T363" s="9">
        <v>44117</v>
      </c>
      <c r="U363" s="9">
        <v>44161</v>
      </c>
    </row>
    <row r="364" spans="1:21" x14ac:dyDescent="0.2">
      <c r="A364" s="10" t="str">
        <f>HYPERLINK("http://www.ofsted.gov.uk/inspection-reports/find-inspection-report/provider/ELS/138266 ","Ofsted School Webpage")</f>
        <v>Ofsted School Webpage</v>
      </c>
      <c r="B364" s="92">
        <v>138266</v>
      </c>
      <c r="C364" s="92">
        <v>3134000</v>
      </c>
      <c r="D364" s="92" t="s">
        <v>1261</v>
      </c>
      <c r="E364" s="92" t="s">
        <v>95</v>
      </c>
      <c r="F364" s="92" t="s">
        <v>491</v>
      </c>
      <c r="G364" s="9">
        <v>41153</v>
      </c>
      <c r="H364" s="92" t="s">
        <v>299</v>
      </c>
      <c r="I364" s="92" t="s">
        <v>300</v>
      </c>
      <c r="J364" s="92" t="s">
        <v>410</v>
      </c>
      <c r="K364" s="92" t="s">
        <v>410</v>
      </c>
      <c r="L364" s="92" t="s">
        <v>274</v>
      </c>
      <c r="M364" s="92" t="s">
        <v>122</v>
      </c>
      <c r="N364" s="92" t="s">
        <v>122</v>
      </c>
      <c r="O364" s="92" t="s">
        <v>129</v>
      </c>
      <c r="P364" s="92" t="s">
        <v>423</v>
      </c>
      <c r="Q364" s="92" t="s">
        <v>1262</v>
      </c>
      <c r="R364" s="92">
        <v>4</v>
      </c>
      <c r="S364" s="92">
        <v>878</v>
      </c>
      <c r="T364" s="9">
        <v>44117</v>
      </c>
      <c r="U364" s="9">
        <v>44158</v>
      </c>
    </row>
    <row r="365" spans="1:21" x14ac:dyDescent="0.2">
      <c r="A365" s="10" t="str">
        <f>HYPERLINK("http://www.ofsted.gov.uk/inspection-reports/find-inspection-report/provider/ELS/142802 ","Ofsted School Webpage")</f>
        <v>Ofsted School Webpage</v>
      </c>
      <c r="B365" s="92">
        <v>142802</v>
      </c>
      <c r="C365" s="92">
        <v>8782031</v>
      </c>
      <c r="D365" s="92" t="s">
        <v>1263</v>
      </c>
      <c r="E365" s="92" t="s">
        <v>94</v>
      </c>
      <c r="F365" s="92" t="s">
        <v>429</v>
      </c>
      <c r="G365" s="9">
        <v>42522</v>
      </c>
      <c r="H365" s="92" t="s">
        <v>484</v>
      </c>
      <c r="I365" s="92" t="s">
        <v>272</v>
      </c>
      <c r="J365" s="92" t="s">
        <v>273</v>
      </c>
      <c r="K365" s="92" t="s">
        <v>273</v>
      </c>
      <c r="L365" s="92" t="s">
        <v>274</v>
      </c>
      <c r="M365" s="92" t="s">
        <v>211</v>
      </c>
      <c r="N365" s="92" t="s">
        <v>211</v>
      </c>
      <c r="O365" s="92" t="s">
        <v>220</v>
      </c>
      <c r="P365" s="92" t="s">
        <v>513</v>
      </c>
      <c r="Q365" s="92" t="s">
        <v>1264</v>
      </c>
      <c r="R365" s="92">
        <v>4</v>
      </c>
      <c r="S365" s="92">
        <v>224</v>
      </c>
      <c r="T365" s="9">
        <v>44117</v>
      </c>
      <c r="U365" s="9">
        <v>44153</v>
      </c>
    </row>
    <row r="366" spans="1:21" x14ac:dyDescent="0.2">
      <c r="A366" s="10" t="str">
        <f>HYPERLINK("http://www.ofsted.gov.uk/inspection-reports/find-inspection-report/provider/ELS/143345 ","Ofsted School Webpage")</f>
        <v>Ofsted School Webpage</v>
      </c>
      <c r="B366" s="92">
        <v>143345</v>
      </c>
      <c r="C366" s="92">
        <v>8602358</v>
      </c>
      <c r="D366" s="92" t="s">
        <v>1265</v>
      </c>
      <c r="E366" s="92" t="s">
        <v>94</v>
      </c>
      <c r="F366" s="92" t="s">
        <v>429</v>
      </c>
      <c r="G366" s="9">
        <v>42644</v>
      </c>
      <c r="H366" s="92" t="s">
        <v>271</v>
      </c>
      <c r="I366" s="92" t="s">
        <v>272</v>
      </c>
      <c r="J366" s="92" t="s">
        <v>273</v>
      </c>
      <c r="K366" s="92" t="s">
        <v>273</v>
      </c>
      <c r="L366" s="92" t="s">
        <v>274</v>
      </c>
      <c r="M366" s="92" t="s">
        <v>226</v>
      </c>
      <c r="N366" s="92" t="s">
        <v>226</v>
      </c>
      <c r="O366" s="92" t="s">
        <v>229</v>
      </c>
      <c r="P366" s="92" t="s">
        <v>1266</v>
      </c>
      <c r="Q366" s="92" t="s">
        <v>1267</v>
      </c>
      <c r="R366" s="92">
        <v>5</v>
      </c>
      <c r="S366" s="92">
        <v>135</v>
      </c>
      <c r="T366" s="9">
        <v>44117</v>
      </c>
      <c r="U366" s="9">
        <v>44146</v>
      </c>
    </row>
    <row r="367" spans="1:21" x14ac:dyDescent="0.2">
      <c r="A367" s="10" t="str">
        <f>HYPERLINK("http://www.ofsted.gov.uk/inspection-reports/find-inspection-report/provider/ELS/146067 ","Ofsted School Webpage")</f>
        <v>Ofsted School Webpage</v>
      </c>
      <c r="B367" s="92">
        <v>146067</v>
      </c>
      <c r="C367" s="92">
        <v>8072233</v>
      </c>
      <c r="D367" s="92" t="s">
        <v>1268</v>
      </c>
      <c r="E367" s="92" t="s">
        <v>94</v>
      </c>
      <c r="F367" s="92" t="s">
        <v>429</v>
      </c>
      <c r="G367" s="9">
        <v>43313</v>
      </c>
      <c r="H367" s="92" t="s">
        <v>271</v>
      </c>
      <c r="I367" s="92" t="s">
        <v>272</v>
      </c>
      <c r="J367" s="92" t="s">
        <v>273</v>
      </c>
      <c r="K367" s="92" t="s">
        <v>273</v>
      </c>
      <c r="L367" s="92" t="s">
        <v>274</v>
      </c>
      <c r="M367" s="92" t="s">
        <v>261</v>
      </c>
      <c r="N367" s="92" t="s">
        <v>155</v>
      </c>
      <c r="O367" s="92" t="s">
        <v>161</v>
      </c>
      <c r="P367" s="92" t="s">
        <v>1269</v>
      </c>
      <c r="Q367" s="92" t="s">
        <v>1270</v>
      </c>
      <c r="R367" s="92">
        <v>5</v>
      </c>
      <c r="S367" s="92">
        <v>58</v>
      </c>
      <c r="T367" s="9">
        <v>44117</v>
      </c>
      <c r="U367" s="9">
        <v>44154</v>
      </c>
    </row>
    <row r="368" spans="1:21" x14ac:dyDescent="0.2">
      <c r="A368" s="10" t="str">
        <f>HYPERLINK("http://www.ofsted.gov.uk/inspection-reports/find-inspection-report/provider/ELS/147513 ","Ofsted School Webpage")</f>
        <v>Ofsted School Webpage</v>
      </c>
      <c r="B368" s="92">
        <v>147513</v>
      </c>
      <c r="C368" s="92">
        <v>8662024</v>
      </c>
      <c r="D368" s="92" t="s">
        <v>1271</v>
      </c>
      <c r="E368" s="92" t="s">
        <v>94</v>
      </c>
      <c r="F368" s="92" t="s">
        <v>409</v>
      </c>
      <c r="G368" s="9">
        <v>44105</v>
      </c>
      <c r="H368" s="92" t="s">
        <v>271</v>
      </c>
      <c r="I368" s="92" t="s">
        <v>272</v>
      </c>
      <c r="J368" s="92" t="s">
        <v>273</v>
      </c>
      <c r="K368" s="92" t="s">
        <v>273</v>
      </c>
      <c r="L368" s="92" t="s">
        <v>274</v>
      </c>
      <c r="M368" s="92" t="s">
        <v>211</v>
      </c>
      <c r="N368" s="92" t="s">
        <v>211</v>
      </c>
      <c r="O368" s="92" t="s">
        <v>224</v>
      </c>
      <c r="P368" s="92" t="s">
        <v>1034</v>
      </c>
      <c r="Q368" s="92" t="s">
        <v>1272</v>
      </c>
      <c r="R368" s="92" t="s">
        <v>270</v>
      </c>
      <c r="S368" s="92" t="s">
        <v>270</v>
      </c>
      <c r="T368" s="9">
        <v>44117</v>
      </c>
      <c r="U368" s="9">
        <v>44151</v>
      </c>
    </row>
    <row r="369" spans="1:21" x14ac:dyDescent="0.2">
      <c r="A369" s="10" t="str">
        <f>HYPERLINK("http://www.ofsted.gov.uk/inspection-reports/find-inspection-report/provider/ELS/147757 ","Ofsted School Webpage")</f>
        <v>Ofsted School Webpage</v>
      </c>
      <c r="B369" s="92">
        <v>147757</v>
      </c>
      <c r="C369" s="92">
        <v>3304038</v>
      </c>
      <c r="D369" s="92" t="s">
        <v>1273</v>
      </c>
      <c r="E369" s="92" t="s">
        <v>95</v>
      </c>
      <c r="F369" s="92" t="s">
        <v>409</v>
      </c>
      <c r="G369" s="9">
        <v>44105</v>
      </c>
      <c r="H369" s="92" t="s">
        <v>271</v>
      </c>
      <c r="I369" s="92" t="s">
        <v>272</v>
      </c>
      <c r="J369" s="92" t="s">
        <v>273</v>
      </c>
      <c r="K369" s="92" t="s">
        <v>273</v>
      </c>
      <c r="L369" s="92" t="s">
        <v>274</v>
      </c>
      <c r="M369" s="92" t="s">
        <v>226</v>
      </c>
      <c r="N369" s="92" t="s">
        <v>226</v>
      </c>
      <c r="O369" s="92" t="s">
        <v>232</v>
      </c>
      <c r="P369" s="92" t="s">
        <v>1047</v>
      </c>
      <c r="Q369" s="92" t="s">
        <v>1274</v>
      </c>
      <c r="R369" s="92" t="s">
        <v>270</v>
      </c>
      <c r="S369" s="92" t="s">
        <v>270</v>
      </c>
      <c r="T369" s="9">
        <v>44117</v>
      </c>
      <c r="U369" s="9">
        <v>44159</v>
      </c>
    </row>
    <row r="370" spans="1:21" x14ac:dyDescent="0.2">
      <c r="A370" s="10" t="str">
        <f>HYPERLINK("http://www.ofsted.gov.uk/inspection-reports/find-inspection-report/provider/ELS/147816 ","Ofsted School Webpage")</f>
        <v>Ofsted School Webpage</v>
      </c>
      <c r="B370" s="92">
        <v>147816</v>
      </c>
      <c r="C370" s="92">
        <v>8812134</v>
      </c>
      <c r="D370" s="92" t="s">
        <v>1275</v>
      </c>
      <c r="E370" s="92" t="s">
        <v>94</v>
      </c>
      <c r="F370" s="92" t="s">
        <v>429</v>
      </c>
      <c r="G370" s="9">
        <v>44075</v>
      </c>
      <c r="H370" s="92" t="s">
        <v>271</v>
      </c>
      <c r="I370" s="92" t="s">
        <v>272</v>
      </c>
      <c r="J370" s="92" t="s">
        <v>273</v>
      </c>
      <c r="K370" s="92" t="s">
        <v>273</v>
      </c>
      <c r="L370" s="92" t="s">
        <v>274</v>
      </c>
      <c r="M370" s="92" t="s">
        <v>110</v>
      </c>
      <c r="N370" s="92" t="s">
        <v>110</v>
      </c>
      <c r="O370" s="92" t="s">
        <v>119</v>
      </c>
      <c r="P370" s="92" t="s">
        <v>837</v>
      </c>
      <c r="Q370" s="92" t="s">
        <v>1276</v>
      </c>
      <c r="R370" s="92" t="s">
        <v>270</v>
      </c>
      <c r="S370" s="92" t="s">
        <v>270</v>
      </c>
      <c r="T370" s="9">
        <v>44117</v>
      </c>
      <c r="U370" s="9">
        <v>44147</v>
      </c>
    </row>
    <row r="371" spans="1:21" x14ac:dyDescent="0.2">
      <c r="A371" s="10" t="str">
        <f>HYPERLINK("http://www.ofsted.gov.uk/inspection-reports/find-inspection-report/provider/ELS/141856 ","Ofsted School Webpage")</f>
        <v>Ofsted School Webpage</v>
      </c>
      <c r="B371" s="92">
        <v>141856</v>
      </c>
      <c r="C371" s="92">
        <v>8603150</v>
      </c>
      <c r="D371" s="92" t="s">
        <v>1277</v>
      </c>
      <c r="E371" s="92" t="s">
        <v>94</v>
      </c>
      <c r="F371" s="92" t="s">
        <v>429</v>
      </c>
      <c r="G371" s="9">
        <v>42095</v>
      </c>
      <c r="H371" s="92" t="s">
        <v>271</v>
      </c>
      <c r="I371" s="92" t="s">
        <v>272</v>
      </c>
      <c r="J371" s="92" t="s">
        <v>346</v>
      </c>
      <c r="K371" s="92" t="s">
        <v>273</v>
      </c>
      <c r="L371" s="92" t="s">
        <v>347</v>
      </c>
      <c r="M371" s="92" t="s">
        <v>226</v>
      </c>
      <c r="N371" s="92" t="s">
        <v>226</v>
      </c>
      <c r="O371" s="92" t="s">
        <v>229</v>
      </c>
      <c r="P371" s="92" t="s">
        <v>712</v>
      </c>
      <c r="Q371" s="92" t="s">
        <v>1278</v>
      </c>
      <c r="R371" s="92">
        <v>1</v>
      </c>
      <c r="S371" s="92">
        <v>95</v>
      </c>
      <c r="T371" s="9">
        <v>44118</v>
      </c>
      <c r="U371" s="9">
        <v>44146</v>
      </c>
    </row>
    <row r="372" spans="1:21" x14ac:dyDescent="0.2">
      <c r="A372" s="10" t="str">
        <f>HYPERLINK("http://www.ofsted.gov.uk/inspection-reports/find-inspection-report/provider/ELS/143824 ","Ofsted School Webpage")</f>
        <v>Ofsted School Webpage</v>
      </c>
      <c r="B372" s="92">
        <v>143824</v>
      </c>
      <c r="C372" s="92">
        <v>9262149</v>
      </c>
      <c r="D372" s="92" t="s">
        <v>1279</v>
      </c>
      <c r="E372" s="92" t="s">
        <v>94</v>
      </c>
      <c r="F372" s="92" t="s">
        <v>409</v>
      </c>
      <c r="G372" s="9">
        <v>42795</v>
      </c>
      <c r="H372" s="92" t="s">
        <v>271</v>
      </c>
      <c r="I372" s="92" t="s">
        <v>272</v>
      </c>
      <c r="J372" s="92" t="s">
        <v>273</v>
      </c>
      <c r="K372" s="92" t="s">
        <v>484</v>
      </c>
      <c r="L372" s="92" t="s">
        <v>274</v>
      </c>
      <c r="M372" s="92" t="s">
        <v>110</v>
      </c>
      <c r="N372" s="92" t="s">
        <v>110</v>
      </c>
      <c r="O372" s="92" t="s">
        <v>118</v>
      </c>
      <c r="P372" s="92" t="s">
        <v>1280</v>
      </c>
      <c r="Q372" s="92" t="s">
        <v>1281</v>
      </c>
      <c r="R372" s="92">
        <v>5</v>
      </c>
      <c r="S372" s="92">
        <v>359</v>
      </c>
      <c r="T372" s="9">
        <v>44119</v>
      </c>
      <c r="U372" s="9">
        <v>44152</v>
      </c>
    </row>
    <row r="373" spans="1:21" x14ac:dyDescent="0.2">
      <c r="A373" s="10" t="str">
        <f>HYPERLINK("http://www.ofsted.gov.uk/inspection-reports/find-inspection-report/provider/ELS/137331 ","Ofsted School Webpage")</f>
        <v>Ofsted School Webpage</v>
      </c>
      <c r="B373" s="92">
        <v>137331</v>
      </c>
      <c r="C373" s="92">
        <v>2052000</v>
      </c>
      <c r="D373" s="92" t="s">
        <v>1282</v>
      </c>
      <c r="E373" s="92" t="s">
        <v>94</v>
      </c>
      <c r="F373" s="92" t="s">
        <v>491</v>
      </c>
      <c r="G373" s="9">
        <v>40787</v>
      </c>
      <c r="H373" s="92" t="s">
        <v>271</v>
      </c>
      <c r="I373" s="92" t="s">
        <v>272</v>
      </c>
      <c r="J373" s="92" t="s">
        <v>410</v>
      </c>
      <c r="K373" s="92" t="s">
        <v>410</v>
      </c>
      <c r="L373" s="92" t="s">
        <v>274</v>
      </c>
      <c r="M373" s="92" t="s">
        <v>122</v>
      </c>
      <c r="N373" s="92" t="s">
        <v>122</v>
      </c>
      <c r="O373" s="92" t="s">
        <v>137</v>
      </c>
      <c r="P373" s="92" t="s">
        <v>840</v>
      </c>
      <c r="Q373" s="92" t="s">
        <v>1283</v>
      </c>
      <c r="R373" s="92">
        <v>5</v>
      </c>
      <c r="S373" s="92">
        <v>207</v>
      </c>
      <c r="T373" s="9">
        <v>44119</v>
      </c>
      <c r="U373" s="9">
        <v>44159</v>
      </c>
    </row>
    <row r="374" spans="1:21" x14ac:dyDescent="0.2">
      <c r="A374" s="10" t="str">
        <f>HYPERLINK("http://www.ofsted.gov.uk/inspection-reports/find-inspection-report/provider/ELS/138527 ","Ofsted School Webpage")</f>
        <v>Ofsted School Webpage</v>
      </c>
      <c r="B374" s="92">
        <v>138527</v>
      </c>
      <c r="C374" s="92">
        <v>8554057</v>
      </c>
      <c r="D374" s="92" t="s">
        <v>1284</v>
      </c>
      <c r="E374" s="92" t="s">
        <v>95</v>
      </c>
      <c r="F374" s="92" t="s">
        <v>429</v>
      </c>
      <c r="G374" s="9">
        <v>41122</v>
      </c>
      <c r="H374" s="92" t="s">
        <v>299</v>
      </c>
      <c r="I374" s="92" t="s">
        <v>272</v>
      </c>
      <c r="J374" s="92" t="s">
        <v>273</v>
      </c>
      <c r="K374" s="92" t="s">
        <v>273</v>
      </c>
      <c r="L374" s="92" t="s">
        <v>274</v>
      </c>
      <c r="M374" s="92" t="s">
        <v>100</v>
      </c>
      <c r="N374" s="92" t="s">
        <v>100</v>
      </c>
      <c r="O374" s="92" t="s">
        <v>108</v>
      </c>
      <c r="P374" s="92" t="s">
        <v>1285</v>
      </c>
      <c r="Q374" s="92" t="s">
        <v>1286</v>
      </c>
      <c r="R374" s="92">
        <v>1</v>
      </c>
      <c r="S374" s="92">
        <v>898</v>
      </c>
      <c r="T374" s="9">
        <v>44119</v>
      </c>
      <c r="U374" s="9">
        <v>44147</v>
      </c>
    </row>
    <row r="375" spans="1:21" x14ac:dyDescent="0.2">
      <c r="A375" s="10" t="str">
        <f>HYPERLINK("http://www.ofsted.gov.uk/inspection-reports/find-inspection-report/provider/ELS/140788 ","Ofsted School Webpage")</f>
        <v>Ofsted School Webpage</v>
      </c>
      <c r="B375" s="92">
        <v>140788</v>
      </c>
      <c r="C375" s="92">
        <v>3912890</v>
      </c>
      <c r="D375" s="92" t="s">
        <v>1287</v>
      </c>
      <c r="E375" s="92" t="s">
        <v>94</v>
      </c>
      <c r="F375" s="92" t="s">
        <v>429</v>
      </c>
      <c r="G375" s="9">
        <v>41730</v>
      </c>
      <c r="H375" s="92" t="s">
        <v>271</v>
      </c>
      <c r="I375" s="92" t="s">
        <v>272</v>
      </c>
      <c r="J375" s="92" t="s">
        <v>273</v>
      </c>
      <c r="K375" s="92" t="s">
        <v>273</v>
      </c>
      <c r="L375" s="92" t="s">
        <v>274</v>
      </c>
      <c r="M375" s="92" t="s">
        <v>261</v>
      </c>
      <c r="N375" s="92" t="s">
        <v>155</v>
      </c>
      <c r="O375" s="92" t="s">
        <v>156</v>
      </c>
      <c r="P375" s="92" t="s">
        <v>632</v>
      </c>
      <c r="Q375" s="92" t="s">
        <v>1288</v>
      </c>
      <c r="R375" s="92">
        <v>5</v>
      </c>
      <c r="S375" s="92">
        <v>408</v>
      </c>
      <c r="T375" s="9">
        <v>44119</v>
      </c>
      <c r="U375" s="9">
        <v>44157</v>
      </c>
    </row>
    <row r="376" spans="1:21" x14ac:dyDescent="0.2">
      <c r="A376" s="10" t="str">
        <f>HYPERLINK("http://www.ofsted.gov.uk/inspection-reports/find-inspection-report/provider/ELS/136478 ","Ofsted School Webpage")</f>
        <v>Ofsted School Webpage</v>
      </c>
      <c r="B376" s="92">
        <v>136478</v>
      </c>
      <c r="C376" s="92">
        <v>9253027</v>
      </c>
      <c r="D376" s="92" t="s">
        <v>1289</v>
      </c>
      <c r="E376" s="92" t="s">
        <v>94</v>
      </c>
      <c r="F376" s="92" t="s">
        <v>429</v>
      </c>
      <c r="G376" s="9">
        <v>40575</v>
      </c>
      <c r="H376" s="92" t="s">
        <v>271</v>
      </c>
      <c r="I376" s="92" t="s">
        <v>271</v>
      </c>
      <c r="J376" s="92" t="s">
        <v>346</v>
      </c>
      <c r="K376" s="92" t="s">
        <v>273</v>
      </c>
      <c r="L376" s="92" t="s">
        <v>347</v>
      </c>
      <c r="M376" s="92" t="s">
        <v>100</v>
      </c>
      <c r="N376" s="92" t="s">
        <v>100</v>
      </c>
      <c r="O376" s="92" t="s">
        <v>104</v>
      </c>
      <c r="P376" s="92" t="s">
        <v>1290</v>
      </c>
      <c r="Q376" s="92" t="s">
        <v>1291</v>
      </c>
      <c r="R376" s="92">
        <v>5</v>
      </c>
      <c r="S376" s="92">
        <v>323</v>
      </c>
      <c r="T376" s="9">
        <v>44119</v>
      </c>
      <c r="U376" s="9">
        <v>44153</v>
      </c>
    </row>
    <row r="377" spans="1:21" x14ac:dyDescent="0.2">
      <c r="A377" s="10" t="str">
        <f>HYPERLINK("http://www.ofsted.gov.uk/inspection-reports/find-inspection-report/provider/ELS/141577 ","Ofsted School Webpage")</f>
        <v>Ofsted School Webpage</v>
      </c>
      <c r="B377" s="92">
        <v>141577</v>
      </c>
      <c r="C377" s="92">
        <v>3112085</v>
      </c>
      <c r="D377" s="92" t="s">
        <v>1292</v>
      </c>
      <c r="E377" s="92" t="s">
        <v>94</v>
      </c>
      <c r="F377" s="92" t="s">
        <v>429</v>
      </c>
      <c r="G377" s="9">
        <v>42036</v>
      </c>
      <c r="H377" s="92" t="s">
        <v>271</v>
      </c>
      <c r="I377" s="92" t="s">
        <v>272</v>
      </c>
      <c r="J377" s="92" t="s">
        <v>273</v>
      </c>
      <c r="K377" s="92" t="s">
        <v>273</v>
      </c>
      <c r="L377" s="92" t="s">
        <v>274</v>
      </c>
      <c r="M377" s="92" t="s">
        <v>122</v>
      </c>
      <c r="N377" s="92" t="s">
        <v>122</v>
      </c>
      <c r="O377" s="92" t="s">
        <v>124</v>
      </c>
      <c r="P377" s="92" t="s">
        <v>1204</v>
      </c>
      <c r="Q377" s="92" t="s">
        <v>1293</v>
      </c>
      <c r="R377" s="92">
        <v>4</v>
      </c>
      <c r="S377" s="92">
        <v>483</v>
      </c>
      <c r="T377" s="9">
        <v>44119</v>
      </c>
      <c r="U377" s="9">
        <v>44160</v>
      </c>
    </row>
    <row r="378" spans="1:21" x14ac:dyDescent="0.2">
      <c r="A378" s="10" t="str">
        <f>HYPERLINK("http://www.ofsted.gov.uk/inspection-reports/find-inspection-report/provider/ELS/141643 ","Ofsted School Webpage")</f>
        <v>Ofsted School Webpage</v>
      </c>
      <c r="B378" s="92">
        <v>141643</v>
      </c>
      <c r="C378" s="92">
        <v>3593366</v>
      </c>
      <c r="D378" s="92" t="s">
        <v>1294</v>
      </c>
      <c r="E378" s="92" t="s">
        <v>94</v>
      </c>
      <c r="F378" s="92" t="s">
        <v>429</v>
      </c>
      <c r="G378" s="9">
        <v>42005</v>
      </c>
      <c r="H378" s="92" t="s">
        <v>271</v>
      </c>
      <c r="I378" s="92" t="s">
        <v>272</v>
      </c>
      <c r="J378" s="92" t="s">
        <v>346</v>
      </c>
      <c r="K378" s="92" t="s">
        <v>273</v>
      </c>
      <c r="L378" s="92" t="s">
        <v>347</v>
      </c>
      <c r="M378" s="92" t="s">
        <v>168</v>
      </c>
      <c r="N378" s="92" t="s">
        <v>168</v>
      </c>
      <c r="O378" s="92" t="s">
        <v>188</v>
      </c>
      <c r="P378" s="92" t="s">
        <v>1295</v>
      </c>
      <c r="Q378" s="92" t="s">
        <v>1296</v>
      </c>
      <c r="R378" s="92">
        <v>3</v>
      </c>
      <c r="S378" s="92">
        <v>304</v>
      </c>
      <c r="T378" s="9">
        <v>44119</v>
      </c>
      <c r="U378" s="9">
        <v>44147</v>
      </c>
    </row>
    <row r="379" spans="1:21" x14ac:dyDescent="0.2">
      <c r="A379" s="10" t="str">
        <f>HYPERLINK("http://www.ofsted.gov.uk/inspection-reports/find-inspection-report/provider/ELS/137528 ","Ofsted School Webpage")</f>
        <v>Ofsted School Webpage</v>
      </c>
      <c r="B379" s="92">
        <v>137528</v>
      </c>
      <c r="C379" s="92">
        <v>8782474</v>
      </c>
      <c r="D379" s="92" t="s">
        <v>1297</v>
      </c>
      <c r="E379" s="92" t="s">
        <v>94</v>
      </c>
      <c r="F379" s="92" t="s">
        <v>429</v>
      </c>
      <c r="G379" s="9">
        <v>40817</v>
      </c>
      <c r="H379" s="92" t="s">
        <v>271</v>
      </c>
      <c r="I379" s="92" t="s">
        <v>271</v>
      </c>
      <c r="J379" s="92" t="s">
        <v>273</v>
      </c>
      <c r="K379" s="92" t="s">
        <v>273</v>
      </c>
      <c r="L379" s="92" t="s">
        <v>274</v>
      </c>
      <c r="M379" s="92" t="s">
        <v>211</v>
      </c>
      <c r="N379" s="92" t="s">
        <v>211</v>
      </c>
      <c r="O379" s="92" t="s">
        <v>220</v>
      </c>
      <c r="P379" s="92" t="s">
        <v>1011</v>
      </c>
      <c r="Q379" s="92" t="s">
        <v>1298</v>
      </c>
      <c r="R379" s="92">
        <v>2</v>
      </c>
      <c r="S379" s="92">
        <v>426</v>
      </c>
      <c r="T379" s="9">
        <v>44119</v>
      </c>
      <c r="U379" s="9">
        <v>44154</v>
      </c>
    </row>
    <row r="380" spans="1:21" x14ac:dyDescent="0.2">
      <c r="A380" s="10" t="str">
        <f>HYPERLINK("http://www.ofsted.gov.uk/inspection-reports/find-inspection-report/provider/ELS/142045 ","Ofsted School Webpage")</f>
        <v>Ofsted School Webpage</v>
      </c>
      <c r="B380" s="92">
        <v>142045</v>
      </c>
      <c r="C380" s="92">
        <v>8782057</v>
      </c>
      <c r="D380" s="92" t="s">
        <v>1299</v>
      </c>
      <c r="E380" s="92" t="s">
        <v>94</v>
      </c>
      <c r="F380" s="92" t="s">
        <v>409</v>
      </c>
      <c r="G380" s="9">
        <v>42186</v>
      </c>
      <c r="H380" s="92" t="s">
        <v>271</v>
      </c>
      <c r="I380" s="92" t="s">
        <v>272</v>
      </c>
      <c r="J380" s="92" t="s">
        <v>346</v>
      </c>
      <c r="K380" s="92" t="s">
        <v>410</v>
      </c>
      <c r="L380" s="92" t="s">
        <v>347</v>
      </c>
      <c r="M380" s="92" t="s">
        <v>211</v>
      </c>
      <c r="N380" s="92" t="s">
        <v>211</v>
      </c>
      <c r="O380" s="92" t="s">
        <v>220</v>
      </c>
      <c r="P380" s="92" t="s">
        <v>1300</v>
      </c>
      <c r="Q380" s="92" t="s">
        <v>1301</v>
      </c>
      <c r="R380" s="92">
        <v>2</v>
      </c>
      <c r="S380" s="92">
        <v>140</v>
      </c>
      <c r="T380" s="9">
        <v>44119</v>
      </c>
      <c r="U380" s="9">
        <v>44157</v>
      </c>
    </row>
    <row r="381" spans="1:21" x14ac:dyDescent="0.2">
      <c r="A381" s="10" t="str">
        <f>HYPERLINK("http://www.ofsted.gov.uk/inspection-reports/find-inspection-report/provider/ELS/137700 ","Ofsted School Webpage")</f>
        <v>Ofsted School Webpage</v>
      </c>
      <c r="B381" s="92">
        <v>137700</v>
      </c>
      <c r="C381" s="92">
        <v>8012029</v>
      </c>
      <c r="D381" s="92" t="s">
        <v>1302</v>
      </c>
      <c r="E381" s="92" t="s">
        <v>94</v>
      </c>
      <c r="F381" s="92" t="s">
        <v>409</v>
      </c>
      <c r="G381" s="9">
        <v>40909</v>
      </c>
      <c r="H381" s="92" t="s">
        <v>271</v>
      </c>
      <c r="I381" s="92" t="s">
        <v>271</v>
      </c>
      <c r="J381" s="92" t="s">
        <v>410</v>
      </c>
      <c r="K381" s="92" t="s">
        <v>410</v>
      </c>
      <c r="L381" s="92" t="s">
        <v>274</v>
      </c>
      <c r="M381" s="92" t="s">
        <v>211</v>
      </c>
      <c r="N381" s="92" t="s">
        <v>211</v>
      </c>
      <c r="O381" s="92" t="s">
        <v>212</v>
      </c>
      <c r="P381" s="92" t="s">
        <v>426</v>
      </c>
      <c r="Q381" s="92" t="s">
        <v>1303</v>
      </c>
      <c r="R381" s="92">
        <v>5</v>
      </c>
      <c r="S381" s="92">
        <v>322</v>
      </c>
      <c r="T381" s="9">
        <v>44119</v>
      </c>
      <c r="U381" s="9">
        <v>44151</v>
      </c>
    </row>
    <row r="382" spans="1:21" x14ac:dyDescent="0.2">
      <c r="A382" s="10" t="str">
        <f>HYPERLINK("http://www.ofsted.gov.uk/inspection-reports/find-inspection-report/provider/ELS/138454 ","Ofsted School Webpage")</f>
        <v>Ofsted School Webpage</v>
      </c>
      <c r="B382" s="92">
        <v>138454</v>
      </c>
      <c r="C382" s="92">
        <v>3207002</v>
      </c>
      <c r="D382" s="92" t="s">
        <v>1304</v>
      </c>
      <c r="E382" s="92" t="s">
        <v>96</v>
      </c>
      <c r="F382" s="92" t="s">
        <v>1095</v>
      </c>
      <c r="G382" s="9">
        <v>41153</v>
      </c>
      <c r="H382" s="92" t="s">
        <v>271</v>
      </c>
      <c r="I382" s="92" t="s">
        <v>300</v>
      </c>
      <c r="J382" s="92" t="s">
        <v>410</v>
      </c>
      <c r="K382" s="92" t="s">
        <v>410</v>
      </c>
      <c r="L382" s="92" t="s">
        <v>274</v>
      </c>
      <c r="M382" s="92" t="s">
        <v>122</v>
      </c>
      <c r="N382" s="92" t="s">
        <v>122</v>
      </c>
      <c r="O382" s="92" t="s">
        <v>143</v>
      </c>
      <c r="P382" s="92" t="s">
        <v>1305</v>
      </c>
      <c r="Q382" s="92" t="s">
        <v>1306</v>
      </c>
      <c r="R382" s="92">
        <v>4</v>
      </c>
      <c r="S382" s="92">
        <v>294</v>
      </c>
      <c r="T382" s="9">
        <v>44119</v>
      </c>
      <c r="U382" s="9">
        <v>44157</v>
      </c>
    </row>
    <row r="383" spans="1:21" x14ac:dyDescent="0.2">
      <c r="A383" s="10" t="str">
        <f>HYPERLINK("http://www.ofsted.gov.uk/inspection-reports/find-inspection-report/provider/ELS/139865 ","Ofsted School Webpage")</f>
        <v>Ofsted School Webpage</v>
      </c>
      <c r="B383" s="92">
        <v>139865</v>
      </c>
      <c r="C383" s="92">
        <v>8233320</v>
      </c>
      <c r="D383" s="92" t="s">
        <v>1307</v>
      </c>
      <c r="E383" s="92" t="s">
        <v>94</v>
      </c>
      <c r="F383" s="92" t="s">
        <v>429</v>
      </c>
      <c r="G383" s="9">
        <v>41456</v>
      </c>
      <c r="H383" s="92" t="s">
        <v>271</v>
      </c>
      <c r="I383" s="92" t="s">
        <v>272</v>
      </c>
      <c r="J383" s="92" t="s">
        <v>346</v>
      </c>
      <c r="K383" s="92" t="s">
        <v>273</v>
      </c>
      <c r="L383" s="92" t="s">
        <v>347</v>
      </c>
      <c r="M383" s="92" t="s">
        <v>110</v>
      </c>
      <c r="N383" s="92" t="s">
        <v>110</v>
      </c>
      <c r="O383" s="92" t="s">
        <v>120</v>
      </c>
      <c r="P383" s="92" t="s">
        <v>1150</v>
      </c>
      <c r="Q383" s="92" t="s">
        <v>1308</v>
      </c>
      <c r="R383" s="92">
        <v>1</v>
      </c>
      <c r="S383" s="92">
        <v>113</v>
      </c>
      <c r="T383" s="9">
        <v>44119</v>
      </c>
      <c r="U383" s="9">
        <v>44151</v>
      </c>
    </row>
    <row r="384" spans="1:21" x14ac:dyDescent="0.2">
      <c r="A384" s="10" t="str">
        <f>HYPERLINK("http://www.ofsted.gov.uk/inspection-reports/find-inspection-report/provider/ELS/135936 ","Ofsted School Webpage")</f>
        <v>Ofsted School Webpage</v>
      </c>
      <c r="B384" s="92">
        <v>135936</v>
      </c>
      <c r="C384" s="92">
        <v>8886906</v>
      </c>
      <c r="D384" s="92" t="s">
        <v>1309</v>
      </c>
      <c r="E384" s="92" t="s">
        <v>95</v>
      </c>
      <c r="F384" s="92" t="s">
        <v>409</v>
      </c>
      <c r="G384" s="9">
        <v>40057</v>
      </c>
      <c r="H384" s="92" t="s">
        <v>299</v>
      </c>
      <c r="I384" s="92" t="s">
        <v>272</v>
      </c>
      <c r="J384" s="92" t="s">
        <v>273</v>
      </c>
      <c r="K384" s="92" t="s">
        <v>410</v>
      </c>
      <c r="L384" s="92" t="s">
        <v>274</v>
      </c>
      <c r="M384" s="92" t="s">
        <v>168</v>
      </c>
      <c r="N384" s="92" t="s">
        <v>168</v>
      </c>
      <c r="O384" s="92" t="s">
        <v>169</v>
      </c>
      <c r="P384" s="92" t="s">
        <v>644</v>
      </c>
      <c r="Q384" s="92" t="s">
        <v>1310</v>
      </c>
      <c r="R384" s="92">
        <v>4</v>
      </c>
      <c r="S384" s="92">
        <v>751</v>
      </c>
      <c r="T384" s="9">
        <v>44119</v>
      </c>
      <c r="U384" s="9">
        <v>44161</v>
      </c>
    </row>
    <row r="385" spans="1:21" x14ac:dyDescent="0.2">
      <c r="A385" s="10" t="str">
        <f>HYPERLINK("http://www.ofsted.gov.uk/inspection-reports/find-inspection-report/provider/ELS/134223 ","Ofsted School Webpage")</f>
        <v>Ofsted School Webpage</v>
      </c>
      <c r="B385" s="92">
        <v>134223</v>
      </c>
      <c r="C385" s="92">
        <v>8066906</v>
      </c>
      <c r="D385" s="92" t="s">
        <v>1311</v>
      </c>
      <c r="E385" s="92" t="s">
        <v>95</v>
      </c>
      <c r="F385" s="92" t="s">
        <v>409</v>
      </c>
      <c r="G385" s="9">
        <v>37865</v>
      </c>
      <c r="H385" s="92" t="s">
        <v>299</v>
      </c>
      <c r="I385" s="92" t="s">
        <v>300</v>
      </c>
      <c r="J385" s="92" t="s">
        <v>347</v>
      </c>
      <c r="K385" s="92" t="s">
        <v>410</v>
      </c>
      <c r="L385" s="92" t="s">
        <v>347</v>
      </c>
      <c r="M385" s="92" t="s">
        <v>261</v>
      </c>
      <c r="N385" s="92" t="s">
        <v>155</v>
      </c>
      <c r="O385" s="92" t="s">
        <v>162</v>
      </c>
      <c r="P385" s="92" t="s">
        <v>505</v>
      </c>
      <c r="Q385" s="92" t="s">
        <v>1312</v>
      </c>
      <c r="R385" s="92">
        <v>4</v>
      </c>
      <c r="S385" s="92">
        <v>1270</v>
      </c>
      <c r="T385" s="9">
        <v>44119</v>
      </c>
      <c r="U385" s="9">
        <v>44168</v>
      </c>
    </row>
    <row r="386" spans="1:21" x14ac:dyDescent="0.2">
      <c r="A386" s="10" t="str">
        <f>HYPERLINK("http://www.ofsted.gov.uk/inspection-reports/find-inspection-report/provider/ELS/103617 ","Ofsted School Webpage")</f>
        <v>Ofsted School Webpage</v>
      </c>
      <c r="B386" s="92">
        <v>103617</v>
      </c>
      <c r="C386" s="92">
        <v>3307037</v>
      </c>
      <c r="D386" s="92" t="s">
        <v>1313</v>
      </c>
      <c r="E386" s="92" t="s">
        <v>96</v>
      </c>
      <c r="F386" s="92" t="s">
        <v>401</v>
      </c>
      <c r="G386" s="92" t="s">
        <v>270</v>
      </c>
      <c r="H386" s="92" t="s">
        <v>271</v>
      </c>
      <c r="I386" s="92" t="s">
        <v>272</v>
      </c>
      <c r="J386" s="92" t="s">
        <v>273</v>
      </c>
      <c r="K386" s="92" t="s">
        <v>273</v>
      </c>
      <c r="L386" s="92" t="s">
        <v>274</v>
      </c>
      <c r="M386" s="92" t="s">
        <v>226</v>
      </c>
      <c r="N386" s="92" t="s">
        <v>226</v>
      </c>
      <c r="O386" s="92" t="s">
        <v>232</v>
      </c>
      <c r="P386" s="92" t="s">
        <v>1314</v>
      </c>
      <c r="Q386" s="92" t="s">
        <v>1315</v>
      </c>
      <c r="R386" s="92">
        <v>5</v>
      </c>
      <c r="S386" s="92">
        <v>61</v>
      </c>
      <c r="T386" s="9">
        <v>44119</v>
      </c>
      <c r="U386" s="9">
        <v>44146</v>
      </c>
    </row>
    <row r="387" spans="1:21" x14ac:dyDescent="0.2">
      <c r="A387" s="10" t="str">
        <f>HYPERLINK("http://www.ofsted.gov.uk/inspection-reports/find-inspection-report/provider/ELS/135875 ","Ofsted School Webpage")</f>
        <v>Ofsted School Webpage</v>
      </c>
      <c r="B387" s="92">
        <v>135875</v>
      </c>
      <c r="C387" s="92">
        <v>3526909</v>
      </c>
      <c r="D387" s="92" t="s">
        <v>1316</v>
      </c>
      <c r="E387" s="92" t="s">
        <v>95</v>
      </c>
      <c r="F387" s="92" t="s">
        <v>409</v>
      </c>
      <c r="G387" s="9">
        <v>40057</v>
      </c>
      <c r="H387" s="92" t="s">
        <v>299</v>
      </c>
      <c r="I387" s="92" t="s">
        <v>272</v>
      </c>
      <c r="J387" s="92" t="s">
        <v>273</v>
      </c>
      <c r="K387" s="92" t="s">
        <v>410</v>
      </c>
      <c r="L387" s="92" t="s">
        <v>274</v>
      </c>
      <c r="M387" s="92" t="s">
        <v>168</v>
      </c>
      <c r="N387" s="92" t="s">
        <v>168</v>
      </c>
      <c r="O387" s="92" t="s">
        <v>171</v>
      </c>
      <c r="P387" s="92" t="s">
        <v>951</v>
      </c>
      <c r="Q387" s="92" t="s">
        <v>1317</v>
      </c>
      <c r="R387" s="92">
        <v>5</v>
      </c>
      <c r="S387" s="92">
        <v>913</v>
      </c>
      <c r="T387" s="9">
        <v>44119</v>
      </c>
      <c r="U387" s="9">
        <v>44159</v>
      </c>
    </row>
    <row r="388" spans="1:21" x14ac:dyDescent="0.2">
      <c r="A388" s="10" t="str">
        <f>HYPERLINK("http://www.ofsted.gov.uk/inspection-reports/find-inspection-report/provider/ELS/142084 ","Ofsted School Webpage")</f>
        <v>Ofsted School Webpage</v>
      </c>
      <c r="B388" s="92">
        <v>142084</v>
      </c>
      <c r="C388" s="92">
        <v>9362036</v>
      </c>
      <c r="D388" s="92" t="s">
        <v>1318</v>
      </c>
      <c r="E388" s="92" t="s">
        <v>94</v>
      </c>
      <c r="F388" s="92" t="s">
        <v>409</v>
      </c>
      <c r="G388" s="9">
        <v>42339</v>
      </c>
      <c r="H388" s="92" t="s">
        <v>271</v>
      </c>
      <c r="I388" s="92" t="s">
        <v>272</v>
      </c>
      <c r="J388" s="92" t="s">
        <v>273</v>
      </c>
      <c r="K388" s="92" t="s">
        <v>410</v>
      </c>
      <c r="L388" s="92" t="s">
        <v>274</v>
      </c>
      <c r="M388" s="92" t="s">
        <v>192</v>
      </c>
      <c r="N388" s="92" t="s">
        <v>192</v>
      </c>
      <c r="O388" s="92" t="s">
        <v>198</v>
      </c>
      <c r="P388" s="92" t="s">
        <v>1319</v>
      </c>
      <c r="Q388" s="92" t="s">
        <v>1320</v>
      </c>
      <c r="R388" s="92">
        <v>1</v>
      </c>
      <c r="S388" s="92">
        <v>157</v>
      </c>
      <c r="T388" s="9">
        <v>44119</v>
      </c>
      <c r="U388" s="9">
        <v>44160</v>
      </c>
    </row>
    <row r="389" spans="1:21" x14ac:dyDescent="0.2">
      <c r="A389" s="10" t="str">
        <f>HYPERLINK("http://www.ofsted.gov.uk/inspection-reports/find-inspection-report/provider/ELS/104133 ","Ofsted School Webpage")</f>
        <v>Ofsted School Webpage</v>
      </c>
      <c r="B389" s="92">
        <v>104133</v>
      </c>
      <c r="C389" s="92">
        <v>3347007</v>
      </c>
      <c r="D389" s="92" t="s">
        <v>1321</v>
      </c>
      <c r="E389" s="92" t="s">
        <v>96</v>
      </c>
      <c r="F389" s="92" t="s">
        <v>401</v>
      </c>
      <c r="G389" s="92" t="s">
        <v>270</v>
      </c>
      <c r="H389" s="92" t="s">
        <v>271</v>
      </c>
      <c r="I389" s="92" t="s">
        <v>300</v>
      </c>
      <c r="J389" s="92" t="s">
        <v>273</v>
      </c>
      <c r="K389" s="92" t="s">
        <v>273</v>
      </c>
      <c r="L389" s="92" t="s">
        <v>274</v>
      </c>
      <c r="M389" s="92" t="s">
        <v>226</v>
      </c>
      <c r="N389" s="92" t="s">
        <v>226</v>
      </c>
      <c r="O389" s="92" t="s">
        <v>236</v>
      </c>
      <c r="P389" s="92" t="s">
        <v>1322</v>
      </c>
      <c r="Q389" s="92" t="s">
        <v>1323</v>
      </c>
      <c r="R389" s="92">
        <v>5</v>
      </c>
      <c r="S389" s="92">
        <v>118</v>
      </c>
      <c r="T389" s="9">
        <v>44119</v>
      </c>
      <c r="U389" s="9">
        <v>44154</v>
      </c>
    </row>
    <row r="390" spans="1:21" x14ac:dyDescent="0.2">
      <c r="A390" s="10" t="str">
        <f>HYPERLINK("http://www.ofsted.gov.uk/inspection-reports/find-inspection-report/provider/ELS/119876 ","Ofsted School Webpage")</f>
        <v>Ofsted School Webpage</v>
      </c>
      <c r="B390" s="92">
        <v>119876</v>
      </c>
      <c r="C390" s="92">
        <v>8887034</v>
      </c>
      <c r="D390" s="92" t="s">
        <v>1324</v>
      </c>
      <c r="E390" s="92" t="s">
        <v>96</v>
      </c>
      <c r="F390" s="92" t="s">
        <v>401</v>
      </c>
      <c r="G390" s="9" t="s">
        <v>270</v>
      </c>
      <c r="H390" s="92" t="s">
        <v>271</v>
      </c>
      <c r="I390" s="92" t="s">
        <v>271</v>
      </c>
      <c r="J390" s="92" t="s">
        <v>273</v>
      </c>
      <c r="K390" s="92" t="s">
        <v>273</v>
      </c>
      <c r="L390" s="92" t="s">
        <v>274</v>
      </c>
      <c r="M390" s="92" t="s">
        <v>168</v>
      </c>
      <c r="N390" s="92" t="s">
        <v>168</v>
      </c>
      <c r="O390" s="92" t="s">
        <v>169</v>
      </c>
      <c r="P390" s="92" t="s">
        <v>985</v>
      </c>
      <c r="Q390" s="92" t="s">
        <v>1325</v>
      </c>
      <c r="R390" s="92">
        <v>4</v>
      </c>
      <c r="S390" s="92">
        <v>158</v>
      </c>
      <c r="T390" s="9">
        <v>44119</v>
      </c>
      <c r="U390" s="9">
        <v>44160</v>
      </c>
    </row>
    <row r="391" spans="1:21" x14ac:dyDescent="0.2">
      <c r="A391" s="10" t="str">
        <f>HYPERLINK("http://www.ofsted.gov.uk/inspection-reports/find-inspection-report/provider/ELS/124526 ","Ofsted School Webpage")</f>
        <v>Ofsted School Webpage</v>
      </c>
      <c r="B391" s="92">
        <v>124526</v>
      </c>
      <c r="C391" s="92">
        <v>9351100</v>
      </c>
      <c r="D391" s="92" t="s">
        <v>1326</v>
      </c>
      <c r="E391" s="92" t="s">
        <v>98</v>
      </c>
      <c r="F391" s="92" t="s">
        <v>405</v>
      </c>
      <c r="G391" s="9" t="s">
        <v>270</v>
      </c>
      <c r="H391" s="92" t="s">
        <v>271</v>
      </c>
      <c r="I391" s="92" t="s">
        <v>271</v>
      </c>
      <c r="J391" s="92" t="s">
        <v>273</v>
      </c>
      <c r="K391" s="92" t="s">
        <v>273</v>
      </c>
      <c r="L391" s="92" t="s">
        <v>274</v>
      </c>
      <c r="M391" s="92" t="s">
        <v>110</v>
      </c>
      <c r="N391" s="92" t="s">
        <v>110</v>
      </c>
      <c r="O391" s="92" t="s">
        <v>114</v>
      </c>
      <c r="P391" s="92" t="s">
        <v>1258</v>
      </c>
      <c r="Q391" s="92" t="s">
        <v>1327</v>
      </c>
      <c r="R391" s="92">
        <v>5</v>
      </c>
      <c r="S391" s="92">
        <v>5</v>
      </c>
      <c r="T391" s="9">
        <v>44119</v>
      </c>
      <c r="U391" s="9">
        <v>44151</v>
      </c>
    </row>
    <row r="392" spans="1:21" x14ac:dyDescent="0.2">
      <c r="A392" s="10" t="str">
        <f>HYPERLINK("http://www.ofsted.gov.uk/inspection-reports/find-inspection-report/provider/ELS/116654 ","Ofsted School Webpage")</f>
        <v>Ofsted School Webpage</v>
      </c>
      <c r="B392" s="92">
        <v>116654</v>
      </c>
      <c r="C392" s="92">
        <v>8842011</v>
      </c>
      <c r="D392" s="92" t="s">
        <v>1328</v>
      </c>
      <c r="E392" s="92" t="s">
        <v>94</v>
      </c>
      <c r="F392" s="92" t="s">
        <v>397</v>
      </c>
      <c r="G392" s="92" t="s">
        <v>270</v>
      </c>
      <c r="H392" s="92" t="s">
        <v>271</v>
      </c>
      <c r="I392" s="92" t="s">
        <v>272</v>
      </c>
      <c r="J392" s="92" t="s">
        <v>410</v>
      </c>
      <c r="K392" s="92" t="s">
        <v>273</v>
      </c>
      <c r="L392" s="92" t="s">
        <v>274</v>
      </c>
      <c r="M392" s="92" t="s">
        <v>226</v>
      </c>
      <c r="N392" s="92" t="s">
        <v>226</v>
      </c>
      <c r="O392" s="92" t="s">
        <v>227</v>
      </c>
      <c r="P392" s="92" t="s">
        <v>1329</v>
      </c>
      <c r="Q392" s="92" t="s">
        <v>1330</v>
      </c>
      <c r="R392" s="92">
        <v>3</v>
      </c>
      <c r="S392" s="92">
        <v>31</v>
      </c>
      <c r="T392" s="9">
        <v>44119</v>
      </c>
      <c r="U392" s="9">
        <v>44151</v>
      </c>
    </row>
    <row r="393" spans="1:21" x14ac:dyDescent="0.2">
      <c r="A393" s="10" t="str">
        <f>HYPERLINK("http://www.ofsted.gov.uk/inspection-reports/find-inspection-report/provider/ELS/140821 ","Ofsted School Webpage")</f>
        <v>Ofsted School Webpage</v>
      </c>
      <c r="B393" s="92">
        <v>140821</v>
      </c>
      <c r="C393" s="92">
        <v>3734008</v>
      </c>
      <c r="D393" s="92" t="s">
        <v>1331</v>
      </c>
      <c r="E393" s="92" t="s">
        <v>95</v>
      </c>
      <c r="F393" s="92" t="s">
        <v>409</v>
      </c>
      <c r="G393" s="9">
        <v>41760</v>
      </c>
      <c r="H393" s="92" t="s">
        <v>299</v>
      </c>
      <c r="I393" s="92" t="s">
        <v>272</v>
      </c>
      <c r="J393" s="92" t="s">
        <v>273</v>
      </c>
      <c r="K393" s="92" t="s">
        <v>410</v>
      </c>
      <c r="L393" s="92" t="s">
        <v>274</v>
      </c>
      <c r="M393" s="92" t="s">
        <v>261</v>
      </c>
      <c r="N393" s="92" t="s">
        <v>241</v>
      </c>
      <c r="O393" s="92" t="s">
        <v>249</v>
      </c>
      <c r="P393" s="92" t="s">
        <v>821</v>
      </c>
      <c r="Q393" s="92" t="s">
        <v>1332</v>
      </c>
      <c r="R393" s="92">
        <v>5</v>
      </c>
      <c r="S393" s="92">
        <v>1039</v>
      </c>
      <c r="T393" s="9">
        <v>44119</v>
      </c>
      <c r="U393" s="9">
        <v>44159</v>
      </c>
    </row>
    <row r="394" spans="1:21" x14ac:dyDescent="0.2">
      <c r="A394" s="10" t="str">
        <f>HYPERLINK("http://www.ofsted.gov.uk/inspection-reports/find-inspection-report/provider/ELS/139336 ","Ofsted School Webpage")</f>
        <v>Ofsted School Webpage</v>
      </c>
      <c r="B394" s="92">
        <v>139336</v>
      </c>
      <c r="C394" s="92">
        <v>3732013</v>
      </c>
      <c r="D394" s="92" t="s">
        <v>1333</v>
      </c>
      <c r="E394" s="92" t="s">
        <v>94</v>
      </c>
      <c r="F394" s="92" t="s">
        <v>409</v>
      </c>
      <c r="G394" s="9">
        <v>41365</v>
      </c>
      <c r="H394" s="92" t="s">
        <v>271</v>
      </c>
      <c r="I394" s="92" t="s">
        <v>272</v>
      </c>
      <c r="J394" s="92" t="s">
        <v>273</v>
      </c>
      <c r="K394" s="92" t="s">
        <v>410</v>
      </c>
      <c r="L394" s="92" t="s">
        <v>274</v>
      </c>
      <c r="M394" s="92" t="s">
        <v>261</v>
      </c>
      <c r="N394" s="92" t="s">
        <v>241</v>
      </c>
      <c r="O394" s="92" t="s">
        <v>249</v>
      </c>
      <c r="P394" s="92" t="s">
        <v>1334</v>
      </c>
      <c r="Q394" s="92" t="s">
        <v>1335</v>
      </c>
      <c r="R394" s="92">
        <v>5</v>
      </c>
      <c r="S394" s="92">
        <v>469</v>
      </c>
      <c r="T394" s="9">
        <v>44119</v>
      </c>
      <c r="U394" s="9">
        <v>44154</v>
      </c>
    </row>
    <row r="395" spans="1:21" x14ac:dyDescent="0.2">
      <c r="A395" s="10" t="str">
        <f>HYPERLINK("http://www.ofsted.gov.uk/inspection-reports/find-inspection-report/provider/ELS/126332 ","Ofsted School Webpage")</f>
        <v>Ofsted School Webpage</v>
      </c>
      <c r="B395" s="92">
        <v>126332</v>
      </c>
      <c r="C395" s="92">
        <v>8653096</v>
      </c>
      <c r="D395" s="92" t="s">
        <v>1336</v>
      </c>
      <c r="E395" s="92" t="s">
        <v>94</v>
      </c>
      <c r="F395" s="92" t="s">
        <v>345</v>
      </c>
      <c r="G395" s="9" t="s">
        <v>270</v>
      </c>
      <c r="H395" s="92" t="s">
        <v>271</v>
      </c>
      <c r="I395" s="92" t="s">
        <v>272</v>
      </c>
      <c r="J395" s="92" t="s">
        <v>346</v>
      </c>
      <c r="K395" s="92" t="s">
        <v>273</v>
      </c>
      <c r="L395" s="92" t="s">
        <v>347</v>
      </c>
      <c r="M395" s="92" t="s">
        <v>211</v>
      </c>
      <c r="N395" s="92" t="s">
        <v>211</v>
      </c>
      <c r="O395" s="92" t="s">
        <v>225</v>
      </c>
      <c r="P395" s="92" t="s">
        <v>1337</v>
      </c>
      <c r="Q395" s="92" t="s">
        <v>1338</v>
      </c>
      <c r="R395" s="92">
        <v>1</v>
      </c>
      <c r="S395" s="92">
        <v>131</v>
      </c>
      <c r="T395" s="9">
        <v>44119</v>
      </c>
      <c r="U395" s="9">
        <v>44152</v>
      </c>
    </row>
    <row r="396" spans="1:21" x14ac:dyDescent="0.2">
      <c r="A396" s="10" t="str">
        <f>HYPERLINK("http://www.ofsted.gov.uk/inspection-reports/find-inspection-report/provider/ELS/125148 ","Ofsted School Webpage")</f>
        <v>Ofsted School Webpage</v>
      </c>
      <c r="B396" s="92">
        <v>125148</v>
      </c>
      <c r="C396" s="92">
        <v>9363033</v>
      </c>
      <c r="D396" s="92" t="s">
        <v>1339</v>
      </c>
      <c r="E396" s="92" t="s">
        <v>94</v>
      </c>
      <c r="F396" s="92" t="s">
        <v>345</v>
      </c>
      <c r="G396" s="92" t="s">
        <v>270</v>
      </c>
      <c r="H396" s="92" t="s">
        <v>271</v>
      </c>
      <c r="I396" s="92" t="s">
        <v>272</v>
      </c>
      <c r="J396" s="92" t="s">
        <v>346</v>
      </c>
      <c r="K396" s="92" t="s">
        <v>273</v>
      </c>
      <c r="L396" s="92" t="s">
        <v>347</v>
      </c>
      <c r="M396" s="92" t="s">
        <v>192</v>
      </c>
      <c r="N396" s="92" t="s">
        <v>192</v>
      </c>
      <c r="O396" s="92" t="s">
        <v>198</v>
      </c>
      <c r="P396" s="92" t="s">
        <v>862</v>
      </c>
      <c r="Q396" s="92" t="s">
        <v>1340</v>
      </c>
      <c r="R396" s="92">
        <v>2</v>
      </c>
      <c r="S396" s="92">
        <v>86</v>
      </c>
      <c r="T396" s="9">
        <v>44119</v>
      </c>
      <c r="U396" s="9">
        <v>44151</v>
      </c>
    </row>
    <row r="397" spans="1:21" x14ac:dyDescent="0.2">
      <c r="A397" s="10" t="str">
        <f>HYPERLINK("http://www.ofsted.gov.uk/inspection-reports/find-inspection-report/provider/ELS/139912 ","Ofsted School Webpage")</f>
        <v>Ofsted School Webpage</v>
      </c>
      <c r="B397" s="92">
        <v>139912</v>
      </c>
      <c r="C397" s="92">
        <v>3822016</v>
      </c>
      <c r="D397" s="92" t="s">
        <v>1341</v>
      </c>
      <c r="E397" s="92" t="s">
        <v>94</v>
      </c>
      <c r="F397" s="92" t="s">
        <v>345</v>
      </c>
      <c r="G397" s="9">
        <v>41730</v>
      </c>
      <c r="H397" s="92" t="s">
        <v>484</v>
      </c>
      <c r="I397" s="92" t="s">
        <v>272</v>
      </c>
      <c r="J397" s="92" t="s">
        <v>410</v>
      </c>
      <c r="K397" s="92" t="s">
        <v>273</v>
      </c>
      <c r="L397" s="92" t="s">
        <v>274</v>
      </c>
      <c r="M397" s="92" t="s">
        <v>261</v>
      </c>
      <c r="N397" s="92" t="s">
        <v>241</v>
      </c>
      <c r="O397" s="92" t="s">
        <v>251</v>
      </c>
      <c r="P397" s="92" t="s">
        <v>1342</v>
      </c>
      <c r="Q397" s="92" t="s">
        <v>1343</v>
      </c>
      <c r="R397" s="92">
        <v>3</v>
      </c>
      <c r="S397" s="92">
        <v>422</v>
      </c>
      <c r="T397" s="9">
        <v>44119</v>
      </c>
      <c r="U397" s="9">
        <v>44153</v>
      </c>
    </row>
    <row r="398" spans="1:21" x14ac:dyDescent="0.2">
      <c r="A398" s="10" t="str">
        <f>HYPERLINK("http://www.ofsted.gov.uk/inspection-reports/find-inspection-report/provider/ELS/112865 ","Ofsted School Webpage")</f>
        <v>Ofsted School Webpage</v>
      </c>
      <c r="B398" s="92">
        <v>112865</v>
      </c>
      <c r="C398" s="92">
        <v>8303101</v>
      </c>
      <c r="D398" s="92" t="s">
        <v>1344</v>
      </c>
      <c r="E398" s="92" t="s">
        <v>94</v>
      </c>
      <c r="F398" s="92" t="s">
        <v>345</v>
      </c>
      <c r="G398" s="92" t="s">
        <v>270</v>
      </c>
      <c r="H398" s="92" t="s">
        <v>271</v>
      </c>
      <c r="I398" s="92" t="s">
        <v>272</v>
      </c>
      <c r="J398" s="92" t="s">
        <v>346</v>
      </c>
      <c r="K398" s="92" t="s">
        <v>273</v>
      </c>
      <c r="L398" s="92" t="s">
        <v>347</v>
      </c>
      <c r="M398" s="92" t="s">
        <v>100</v>
      </c>
      <c r="N398" s="92" t="s">
        <v>100</v>
      </c>
      <c r="O398" s="92" t="s">
        <v>101</v>
      </c>
      <c r="P398" s="92" t="s">
        <v>296</v>
      </c>
      <c r="Q398" s="92" t="s">
        <v>1345</v>
      </c>
      <c r="R398" s="92">
        <v>3</v>
      </c>
      <c r="S398" s="92">
        <v>317</v>
      </c>
      <c r="T398" s="9">
        <v>44119</v>
      </c>
      <c r="U398" s="9">
        <v>44152</v>
      </c>
    </row>
    <row r="399" spans="1:21" x14ac:dyDescent="0.2">
      <c r="A399" s="10" t="str">
        <f>HYPERLINK("http://www.ofsted.gov.uk/inspection-reports/find-inspection-report/provider/ELS/117974 ","Ofsted School Webpage")</f>
        <v>Ofsted School Webpage</v>
      </c>
      <c r="B399" s="92">
        <v>117974</v>
      </c>
      <c r="C399" s="92">
        <v>8113019</v>
      </c>
      <c r="D399" s="92" t="s">
        <v>1346</v>
      </c>
      <c r="E399" s="92" t="s">
        <v>94</v>
      </c>
      <c r="F399" s="92" t="s">
        <v>345</v>
      </c>
      <c r="G399" s="92" t="s">
        <v>270</v>
      </c>
      <c r="H399" s="92" t="s">
        <v>271</v>
      </c>
      <c r="I399" s="92" t="s">
        <v>272</v>
      </c>
      <c r="J399" s="92" t="s">
        <v>346</v>
      </c>
      <c r="K399" s="92" t="s">
        <v>273</v>
      </c>
      <c r="L399" s="92" t="s">
        <v>347</v>
      </c>
      <c r="M399" s="92" t="s">
        <v>261</v>
      </c>
      <c r="N399" s="92" t="s">
        <v>241</v>
      </c>
      <c r="O399" s="92" t="s">
        <v>243</v>
      </c>
      <c r="P399" s="92" t="s">
        <v>745</v>
      </c>
      <c r="Q399" s="92" t="s">
        <v>1347</v>
      </c>
      <c r="R399" s="92">
        <v>2</v>
      </c>
      <c r="S399" s="92">
        <v>179</v>
      </c>
      <c r="T399" s="9">
        <v>44119</v>
      </c>
      <c r="U399" s="9">
        <v>44161</v>
      </c>
    </row>
    <row r="400" spans="1:21" x14ac:dyDescent="0.2">
      <c r="A400" s="10" t="str">
        <f>HYPERLINK("http://www.ofsted.gov.uk/inspection-reports/find-inspection-report/provider/ELS/115659 ","Ofsted School Webpage")</f>
        <v>Ofsted School Webpage</v>
      </c>
      <c r="B400" s="92">
        <v>115659</v>
      </c>
      <c r="C400" s="92">
        <v>9163078</v>
      </c>
      <c r="D400" s="92" t="s">
        <v>1348</v>
      </c>
      <c r="E400" s="92" t="s">
        <v>94</v>
      </c>
      <c r="F400" s="92" t="s">
        <v>345</v>
      </c>
      <c r="G400" s="9">
        <v>1</v>
      </c>
      <c r="H400" s="92" t="s">
        <v>271</v>
      </c>
      <c r="I400" s="92" t="s">
        <v>272</v>
      </c>
      <c r="J400" s="92" t="s">
        <v>346</v>
      </c>
      <c r="K400" s="92" t="s">
        <v>273</v>
      </c>
      <c r="L400" s="92" t="s">
        <v>347</v>
      </c>
      <c r="M400" s="92" t="s">
        <v>211</v>
      </c>
      <c r="N400" s="92" t="s">
        <v>211</v>
      </c>
      <c r="O400" s="92" t="s">
        <v>217</v>
      </c>
      <c r="P400" s="92" t="s">
        <v>1349</v>
      </c>
      <c r="Q400" s="92" t="s">
        <v>1350</v>
      </c>
      <c r="R400" s="92">
        <v>3</v>
      </c>
      <c r="S400" s="92">
        <v>142</v>
      </c>
      <c r="T400" s="9">
        <v>44119</v>
      </c>
      <c r="U400" s="9">
        <v>44146</v>
      </c>
    </row>
    <row r="401" spans="1:21" x14ac:dyDescent="0.2">
      <c r="A401" s="10" t="str">
        <f>HYPERLINK("http://www.ofsted.gov.uk/inspection-reports/find-inspection-report/provider/ELS/110817 ","Ofsted School Webpage")</f>
        <v>Ofsted School Webpage</v>
      </c>
      <c r="B401" s="92">
        <v>110817</v>
      </c>
      <c r="C401" s="92">
        <v>8733071</v>
      </c>
      <c r="D401" s="92" t="s">
        <v>1351</v>
      </c>
      <c r="E401" s="92" t="s">
        <v>94</v>
      </c>
      <c r="F401" s="92" t="s">
        <v>345</v>
      </c>
      <c r="G401" s="92" t="s">
        <v>270</v>
      </c>
      <c r="H401" s="92" t="s">
        <v>271</v>
      </c>
      <c r="I401" s="92" t="s">
        <v>272</v>
      </c>
      <c r="J401" s="92" t="s">
        <v>346</v>
      </c>
      <c r="K401" s="92" t="s">
        <v>273</v>
      </c>
      <c r="L401" s="92" t="s">
        <v>347</v>
      </c>
      <c r="M401" s="92" t="s">
        <v>110</v>
      </c>
      <c r="N401" s="92" t="s">
        <v>110</v>
      </c>
      <c r="O401" s="92" t="s">
        <v>112</v>
      </c>
      <c r="P401" s="92" t="s">
        <v>544</v>
      </c>
      <c r="Q401" s="92" t="s">
        <v>1352</v>
      </c>
      <c r="R401" s="92">
        <v>1</v>
      </c>
      <c r="S401" s="92">
        <v>202</v>
      </c>
      <c r="T401" s="9">
        <v>44119</v>
      </c>
      <c r="U401" s="9">
        <v>44157</v>
      </c>
    </row>
    <row r="402" spans="1:21" x14ac:dyDescent="0.2">
      <c r="A402" s="10" t="str">
        <f>HYPERLINK("http://www.ofsted.gov.uk/inspection-reports/find-inspection-report/provider/ELS/103791 ","Ofsted School Webpage")</f>
        <v>Ofsted School Webpage</v>
      </c>
      <c r="B402" s="92">
        <v>103791</v>
      </c>
      <c r="C402" s="92">
        <v>3322075</v>
      </c>
      <c r="D402" s="92" t="s">
        <v>1353</v>
      </c>
      <c r="E402" s="92" t="s">
        <v>94</v>
      </c>
      <c r="F402" s="92" t="s">
        <v>269</v>
      </c>
      <c r="G402" s="92" t="s">
        <v>270</v>
      </c>
      <c r="H402" s="92" t="s">
        <v>271</v>
      </c>
      <c r="I402" s="92" t="s">
        <v>272</v>
      </c>
      <c r="J402" s="92" t="s">
        <v>273</v>
      </c>
      <c r="K402" s="92" t="s">
        <v>273</v>
      </c>
      <c r="L402" s="92" t="s">
        <v>274</v>
      </c>
      <c r="M402" s="92" t="s">
        <v>226</v>
      </c>
      <c r="N402" s="92" t="s">
        <v>226</v>
      </c>
      <c r="O402" s="92" t="s">
        <v>240</v>
      </c>
      <c r="P402" s="92" t="s">
        <v>1135</v>
      </c>
      <c r="Q402" s="92" t="s">
        <v>1354</v>
      </c>
      <c r="R402" s="92">
        <v>3</v>
      </c>
      <c r="S402" s="92">
        <v>880</v>
      </c>
      <c r="T402" s="9">
        <v>44119</v>
      </c>
      <c r="U402" s="9">
        <v>44151</v>
      </c>
    </row>
    <row r="403" spans="1:21" x14ac:dyDescent="0.2">
      <c r="A403" s="10" t="str">
        <f>HYPERLINK("http://www.ofsted.gov.uk/inspection-reports/find-inspection-report/provider/ELS/133961 ","Ofsted School Webpage")</f>
        <v>Ofsted School Webpage</v>
      </c>
      <c r="B403" s="92">
        <v>133961</v>
      </c>
      <c r="C403" s="92">
        <v>8863893</v>
      </c>
      <c r="D403" s="92" t="s">
        <v>1355</v>
      </c>
      <c r="E403" s="92" t="s">
        <v>94</v>
      </c>
      <c r="F403" s="92" t="s">
        <v>397</v>
      </c>
      <c r="G403" s="9">
        <v>37712</v>
      </c>
      <c r="H403" s="92" t="s">
        <v>271</v>
      </c>
      <c r="I403" s="92" t="s">
        <v>272</v>
      </c>
      <c r="J403" s="92" t="s">
        <v>273</v>
      </c>
      <c r="K403" s="92" t="s">
        <v>273</v>
      </c>
      <c r="L403" s="92" t="s">
        <v>274</v>
      </c>
      <c r="M403" s="92" t="s">
        <v>192</v>
      </c>
      <c r="N403" s="92" t="s">
        <v>192</v>
      </c>
      <c r="O403" s="92" t="s">
        <v>194</v>
      </c>
      <c r="P403" s="92" t="s">
        <v>732</v>
      </c>
      <c r="Q403" s="92" t="s">
        <v>1356</v>
      </c>
      <c r="R403" s="92">
        <v>4</v>
      </c>
      <c r="S403" s="92">
        <v>208</v>
      </c>
      <c r="T403" s="9">
        <v>44119</v>
      </c>
      <c r="U403" s="9">
        <v>44159</v>
      </c>
    </row>
    <row r="404" spans="1:21" x14ac:dyDescent="0.2">
      <c r="A404" s="10" t="str">
        <f>HYPERLINK("http://www.ofsted.gov.uk/inspection-reports/find-inspection-report/provider/ELS/122486 ","Ofsted School Webpage")</f>
        <v>Ofsted School Webpage</v>
      </c>
      <c r="B404" s="92">
        <v>122486</v>
      </c>
      <c r="C404" s="92">
        <v>8922163</v>
      </c>
      <c r="D404" s="92" t="s">
        <v>1357</v>
      </c>
      <c r="E404" s="92" t="s">
        <v>94</v>
      </c>
      <c r="F404" s="92" t="s">
        <v>269</v>
      </c>
      <c r="G404" s="92" t="s">
        <v>270</v>
      </c>
      <c r="H404" s="92" t="s">
        <v>271</v>
      </c>
      <c r="I404" s="92" t="s">
        <v>272</v>
      </c>
      <c r="J404" s="92" t="s">
        <v>273</v>
      </c>
      <c r="K404" s="92" t="s">
        <v>273</v>
      </c>
      <c r="L404" s="92" t="s">
        <v>274</v>
      </c>
      <c r="M404" s="92" t="s">
        <v>100</v>
      </c>
      <c r="N404" s="92" t="s">
        <v>100</v>
      </c>
      <c r="O404" s="92" t="s">
        <v>109</v>
      </c>
      <c r="P404" s="92" t="s">
        <v>1358</v>
      </c>
      <c r="Q404" s="92" t="s">
        <v>1359</v>
      </c>
      <c r="R404" s="92">
        <v>3</v>
      </c>
      <c r="S404" s="92">
        <v>475</v>
      </c>
      <c r="T404" s="9">
        <v>44119</v>
      </c>
      <c r="U404" s="9">
        <v>44152</v>
      </c>
    </row>
    <row r="405" spans="1:21" x14ac:dyDescent="0.2">
      <c r="A405" s="10" t="str">
        <f>HYPERLINK("http://www.ofsted.gov.uk/inspection-reports/find-inspection-report/provider/ELS/119961 ","Ofsted School Webpage")</f>
        <v>Ofsted School Webpage</v>
      </c>
      <c r="B405" s="92">
        <v>119961</v>
      </c>
      <c r="C405" s="92">
        <v>8552137</v>
      </c>
      <c r="D405" s="92" t="s">
        <v>1360</v>
      </c>
      <c r="E405" s="92" t="s">
        <v>94</v>
      </c>
      <c r="F405" s="92" t="s">
        <v>269</v>
      </c>
      <c r="G405" s="92" t="s">
        <v>270</v>
      </c>
      <c r="H405" s="92" t="s">
        <v>271</v>
      </c>
      <c r="I405" s="92" t="s">
        <v>272</v>
      </c>
      <c r="J405" s="92" t="s">
        <v>273</v>
      </c>
      <c r="K405" s="92" t="s">
        <v>273</v>
      </c>
      <c r="L405" s="92" t="s">
        <v>274</v>
      </c>
      <c r="M405" s="92" t="s">
        <v>100</v>
      </c>
      <c r="N405" s="92" t="s">
        <v>100</v>
      </c>
      <c r="O405" s="92" t="s">
        <v>108</v>
      </c>
      <c r="P405" s="92" t="s">
        <v>1229</v>
      </c>
      <c r="Q405" s="92" t="s">
        <v>1361</v>
      </c>
      <c r="R405" s="92">
        <v>2</v>
      </c>
      <c r="S405" s="92">
        <v>255</v>
      </c>
      <c r="T405" s="9">
        <v>44119</v>
      </c>
      <c r="U405" s="9">
        <v>44152</v>
      </c>
    </row>
    <row r="406" spans="1:21" x14ac:dyDescent="0.2">
      <c r="A406" s="10" t="str">
        <f>HYPERLINK("http://www.ofsted.gov.uk/inspection-reports/find-inspection-report/provider/ELS/104217 ","Ofsted School Webpage")</f>
        <v>Ofsted School Webpage</v>
      </c>
      <c r="B406" s="92">
        <v>104217</v>
      </c>
      <c r="C406" s="92">
        <v>3352240</v>
      </c>
      <c r="D406" s="92" t="s">
        <v>1362</v>
      </c>
      <c r="E406" s="92" t="s">
        <v>94</v>
      </c>
      <c r="F406" s="92" t="s">
        <v>269</v>
      </c>
      <c r="G406" s="92" t="s">
        <v>270</v>
      </c>
      <c r="H406" s="92" t="s">
        <v>271</v>
      </c>
      <c r="I406" s="92" t="s">
        <v>272</v>
      </c>
      <c r="J406" s="92" t="s">
        <v>273</v>
      </c>
      <c r="K406" s="92" t="s">
        <v>273</v>
      </c>
      <c r="L406" s="92" t="s">
        <v>274</v>
      </c>
      <c r="M406" s="92" t="s">
        <v>226</v>
      </c>
      <c r="N406" s="92" t="s">
        <v>226</v>
      </c>
      <c r="O406" s="92" t="s">
        <v>230</v>
      </c>
      <c r="P406" s="92" t="s">
        <v>570</v>
      </c>
      <c r="Q406" s="92" t="s">
        <v>1363</v>
      </c>
      <c r="R406" s="92">
        <v>3</v>
      </c>
      <c r="S406" s="92">
        <v>474</v>
      </c>
      <c r="T406" s="9">
        <v>44119</v>
      </c>
      <c r="U406" s="9">
        <v>44152</v>
      </c>
    </row>
    <row r="407" spans="1:21" x14ac:dyDescent="0.2">
      <c r="A407" s="10" t="str">
        <f>HYPERLINK("http://www.ofsted.gov.uk/inspection-reports/find-inspection-report/provider/ELS/113190 ","Ofsted School Webpage")</f>
        <v>Ofsted School Webpage</v>
      </c>
      <c r="B407" s="92">
        <v>113190</v>
      </c>
      <c r="C407" s="92">
        <v>8802407</v>
      </c>
      <c r="D407" s="92" t="s">
        <v>1364</v>
      </c>
      <c r="E407" s="92" t="s">
        <v>94</v>
      </c>
      <c r="F407" s="92" t="s">
        <v>269</v>
      </c>
      <c r="G407" s="92" t="s">
        <v>270</v>
      </c>
      <c r="H407" s="92" t="s">
        <v>271</v>
      </c>
      <c r="I407" s="92" t="s">
        <v>272</v>
      </c>
      <c r="J407" s="92" t="s">
        <v>273</v>
      </c>
      <c r="K407" s="92" t="s">
        <v>273</v>
      </c>
      <c r="L407" s="92" t="s">
        <v>274</v>
      </c>
      <c r="M407" s="92" t="s">
        <v>211</v>
      </c>
      <c r="N407" s="92" t="s">
        <v>211</v>
      </c>
      <c r="O407" s="92" t="s">
        <v>215</v>
      </c>
      <c r="P407" s="92" t="s">
        <v>465</v>
      </c>
      <c r="Q407" s="92" t="s">
        <v>1365</v>
      </c>
      <c r="R407" s="92">
        <v>4</v>
      </c>
      <c r="S407" s="92">
        <v>304</v>
      </c>
      <c r="T407" s="9">
        <v>44119</v>
      </c>
      <c r="U407" s="9">
        <v>44154</v>
      </c>
    </row>
    <row r="408" spans="1:21" x14ac:dyDescent="0.2">
      <c r="A408" s="10" t="str">
        <f>HYPERLINK("http://www.ofsted.gov.uk/inspection-reports/find-inspection-report/provider/ELS/116071 ","Ofsted School Webpage")</f>
        <v>Ofsted School Webpage</v>
      </c>
      <c r="B408" s="92">
        <v>116071</v>
      </c>
      <c r="C408" s="92">
        <v>8502376</v>
      </c>
      <c r="D408" s="92" t="s">
        <v>1366</v>
      </c>
      <c r="E408" s="92" t="s">
        <v>94</v>
      </c>
      <c r="F408" s="92" t="s">
        <v>269</v>
      </c>
      <c r="G408" s="92" t="s">
        <v>270</v>
      </c>
      <c r="H408" s="92" t="s">
        <v>271</v>
      </c>
      <c r="I408" s="92" t="s">
        <v>272</v>
      </c>
      <c r="J408" s="92" t="s">
        <v>273</v>
      </c>
      <c r="K408" s="92" t="s">
        <v>273</v>
      </c>
      <c r="L408" s="92" t="s">
        <v>274</v>
      </c>
      <c r="M408" s="92" t="s">
        <v>192</v>
      </c>
      <c r="N408" s="92" t="s">
        <v>192</v>
      </c>
      <c r="O408" s="92" t="s">
        <v>193</v>
      </c>
      <c r="P408" s="92" t="s">
        <v>1367</v>
      </c>
      <c r="Q408" s="92" t="s">
        <v>1368</v>
      </c>
      <c r="R408" s="92">
        <v>2</v>
      </c>
      <c r="S408" s="92">
        <v>289</v>
      </c>
      <c r="T408" s="9">
        <v>44119</v>
      </c>
      <c r="U408" s="9">
        <v>44154</v>
      </c>
    </row>
    <row r="409" spans="1:21" x14ac:dyDescent="0.2">
      <c r="A409" s="10" t="str">
        <f>HYPERLINK("http://www.ofsted.gov.uk/inspection-reports/find-inspection-report/provider/ELS/111590 ","Ofsted School Webpage")</f>
        <v>Ofsted School Webpage</v>
      </c>
      <c r="B409" s="92">
        <v>111590</v>
      </c>
      <c r="C409" s="92">
        <v>8052153</v>
      </c>
      <c r="D409" s="92" t="s">
        <v>1369</v>
      </c>
      <c r="E409" s="92" t="s">
        <v>94</v>
      </c>
      <c r="F409" s="92" t="s">
        <v>269</v>
      </c>
      <c r="G409" s="92" t="s">
        <v>270</v>
      </c>
      <c r="H409" s="92" t="s">
        <v>271</v>
      </c>
      <c r="I409" s="92" t="s">
        <v>272</v>
      </c>
      <c r="J409" s="92" t="s">
        <v>273</v>
      </c>
      <c r="K409" s="92" t="s">
        <v>273</v>
      </c>
      <c r="L409" s="92" t="s">
        <v>274</v>
      </c>
      <c r="M409" s="92" t="s">
        <v>261</v>
      </c>
      <c r="N409" s="92" t="s">
        <v>155</v>
      </c>
      <c r="O409" s="92" t="s">
        <v>167</v>
      </c>
      <c r="P409" s="92" t="s">
        <v>167</v>
      </c>
      <c r="Q409" s="92" t="s">
        <v>1370</v>
      </c>
      <c r="R409" s="92">
        <v>5</v>
      </c>
      <c r="S409" s="92">
        <v>358</v>
      </c>
      <c r="T409" s="9">
        <v>44119</v>
      </c>
      <c r="U409" s="9">
        <v>44146</v>
      </c>
    </row>
    <row r="410" spans="1:21" x14ac:dyDescent="0.2">
      <c r="A410" s="10" t="str">
        <f>HYPERLINK("http://www.ofsted.gov.uk/inspection-reports/find-inspection-report/provider/ELS/102188 ","Ofsted School Webpage")</f>
        <v>Ofsted School Webpage</v>
      </c>
      <c r="B410" s="92">
        <v>102188</v>
      </c>
      <c r="C410" s="92">
        <v>3102053</v>
      </c>
      <c r="D410" s="92" t="s">
        <v>1371</v>
      </c>
      <c r="E410" s="92" t="s">
        <v>94</v>
      </c>
      <c r="F410" s="92" t="s">
        <v>269</v>
      </c>
      <c r="G410" s="9" t="s">
        <v>270</v>
      </c>
      <c r="H410" s="92" t="s">
        <v>271</v>
      </c>
      <c r="I410" s="92" t="s">
        <v>272</v>
      </c>
      <c r="J410" s="92" t="s">
        <v>273</v>
      </c>
      <c r="K410" s="92" t="s">
        <v>273</v>
      </c>
      <c r="L410" s="92" t="s">
        <v>274</v>
      </c>
      <c r="M410" s="92" t="s">
        <v>122</v>
      </c>
      <c r="N410" s="92" t="s">
        <v>122</v>
      </c>
      <c r="O410" s="92" t="s">
        <v>145</v>
      </c>
      <c r="P410" s="92" t="s">
        <v>1372</v>
      </c>
      <c r="Q410" s="92" t="s">
        <v>1373</v>
      </c>
      <c r="R410" s="92">
        <v>3</v>
      </c>
      <c r="S410" s="92">
        <v>442</v>
      </c>
      <c r="T410" s="9">
        <v>44119</v>
      </c>
      <c r="U410" s="9">
        <v>44158</v>
      </c>
    </row>
    <row r="411" spans="1:21" x14ac:dyDescent="0.2">
      <c r="A411" s="10" t="str">
        <f>HYPERLINK("http://www.ofsted.gov.uk/inspection-reports/find-inspection-report/provider/ELS/112794 ","Ofsted School Webpage")</f>
        <v>Ofsted School Webpage</v>
      </c>
      <c r="B411" s="92">
        <v>112794</v>
      </c>
      <c r="C411" s="92">
        <v>8302631</v>
      </c>
      <c r="D411" s="92" t="s">
        <v>1374</v>
      </c>
      <c r="E411" s="92" t="s">
        <v>94</v>
      </c>
      <c r="F411" s="92" t="s">
        <v>269</v>
      </c>
      <c r="G411" s="92" t="s">
        <v>270</v>
      </c>
      <c r="H411" s="92" t="s">
        <v>271</v>
      </c>
      <c r="I411" s="92" t="s">
        <v>272</v>
      </c>
      <c r="J411" s="92" t="s">
        <v>273</v>
      </c>
      <c r="K411" s="92" t="s">
        <v>273</v>
      </c>
      <c r="L411" s="92" t="s">
        <v>274</v>
      </c>
      <c r="M411" s="92" t="s">
        <v>100</v>
      </c>
      <c r="N411" s="92" t="s">
        <v>100</v>
      </c>
      <c r="O411" s="92" t="s">
        <v>101</v>
      </c>
      <c r="P411" s="92" t="s">
        <v>293</v>
      </c>
      <c r="Q411" s="92" t="s">
        <v>1375</v>
      </c>
      <c r="R411" s="92">
        <v>4</v>
      </c>
      <c r="S411" s="92">
        <v>361</v>
      </c>
      <c r="T411" s="9">
        <v>44119</v>
      </c>
      <c r="U411" s="9">
        <v>44153</v>
      </c>
    </row>
    <row r="412" spans="1:21" x14ac:dyDescent="0.2">
      <c r="A412" s="10" t="str">
        <f>HYPERLINK("http://www.ofsted.gov.uk/inspection-reports/find-inspection-report/provider/ELS/102784 ","Ofsted School Webpage")</f>
        <v>Ofsted School Webpage</v>
      </c>
      <c r="B412" s="92">
        <v>102784</v>
      </c>
      <c r="C412" s="92">
        <v>3164034</v>
      </c>
      <c r="D412" s="92" t="s">
        <v>1376</v>
      </c>
      <c r="E412" s="92" t="s">
        <v>95</v>
      </c>
      <c r="F412" s="92" t="s">
        <v>269</v>
      </c>
      <c r="G412" s="9" t="s">
        <v>270</v>
      </c>
      <c r="H412" s="92" t="s">
        <v>299</v>
      </c>
      <c r="I412" s="92" t="s">
        <v>272</v>
      </c>
      <c r="J412" s="92" t="s">
        <v>273</v>
      </c>
      <c r="K412" s="92" t="s">
        <v>273</v>
      </c>
      <c r="L412" s="92" t="s">
        <v>274</v>
      </c>
      <c r="M412" s="92" t="s">
        <v>122</v>
      </c>
      <c r="N412" s="92" t="s">
        <v>122</v>
      </c>
      <c r="O412" s="92" t="s">
        <v>138</v>
      </c>
      <c r="P412" s="92" t="s">
        <v>1377</v>
      </c>
      <c r="Q412" s="92" t="s">
        <v>1378</v>
      </c>
      <c r="R412" s="92">
        <v>4</v>
      </c>
      <c r="S412" s="92">
        <v>1102</v>
      </c>
      <c r="T412" s="9">
        <v>44119</v>
      </c>
      <c r="U412" s="9">
        <v>44150</v>
      </c>
    </row>
    <row r="413" spans="1:21" x14ac:dyDescent="0.2">
      <c r="A413" s="10" t="str">
        <f>HYPERLINK("http://www.ofsted.gov.uk/inspection-reports/find-inspection-report/provider/ELS/109446 ","Ofsted School Webpage")</f>
        <v>Ofsted School Webpage</v>
      </c>
      <c r="B413" s="92">
        <v>109446</v>
      </c>
      <c r="C413" s="92">
        <v>8222041</v>
      </c>
      <c r="D413" s="92" t="s">
        <v>1379</v>
      </c>
      <c r="E413" s="92" t="s">
        <v>94</v>
      </c>
      <c r="F413" s="92" t="s">
        <v>269</v>
      </c>
      <c r="G413" s="92" t="s">
        <v>270</v>
      </c>
      <c r="H413" s="92" t="s">
        <v>271</v>
      </c>
      <c r="I413" s="92" t="s">
        <v>272</v>
      </c>
      <c r="J413" s="92" t="s">
        <v>273</v>
      </c>
      <c r="K413" s="92" t="s">
        <v>273</v>
      </c>
      <c r="L413" s="92" t="s">
        <v>274</v>
      </c>
      <c r="M413" s="92" t="s">
        <v>110</v>
      </c>
      <c r="N413" s="92" t="s">
        <v>110</v>
      </c>
      <c r="O413" s="92" t="s">
        <v>111</v>
      </c>
      <c r="P413" s="92" t="s">
        <v>473</v>
      </c>
      <c r="Q413" s="92" t="s">
        <v>1380</v>
      </c>
      <c r="R413" s="92">
        <v>3</v>
      </c>
      <c r="S413" s="92">
        <v>252</v>
      </c>
      <c r="T413" s="9">
        <v>44119</v>
      </c>
      <c r="U413" s="9">
        <v>44152</v>
      </c>
    </row>
    <row r="414" spans="1:21" x14ac:dyDescent="0.2">
      <c r="A414" s="10" t="str">
        <f>HYPERLINK("http://www.ofsted.gov.uk/inspection-reports/find-inspection-report/provider/ELS/131178 ","Ofsted School Webpage")</f>
        <v>Ofsted School Webpage</v>
      </c>
      <c r="B414" s="92">
        <v>131178</v>
      </c>
      <c r="C414" s="92">
        <v>3332181</v>
      </c>
      <c r="D414" s="92" t="s">
        <v>1381</v>
      </c>
      <c r="E414" s="92" t="s">
        <v>94</v>
      </c>
      <c r="F414" s="92" t="s">
        <v>269</v>
      </c>
      <c r="G414" s="9">
        <v>35674</v>
      </c>
      <c r="H414" s="92" t="s">
        <v>271</v>
      </c>
      <c r="I414" s="92" t="s">
        <v>272</v>
      </c>
      <c r="J414" s="92" t="s">
        <v>273</v>
      </c>
      <c r="K414" s="92" t="s">
        <v>273</v>
      </c>
      <c r="L414" s="92" t="s">
        <v>274</v>
      </c>
      <c r="M414" s="92" t="s">
        <v>226</v>
      </c>
      <c r="N414" s="92" t="s">
        <v>226</v>
      </c>
      <c r="O414" s="92" t="s">
        <v>228</v>
      </c>
      <c r="P414" s="92" t="s">
        <v>970</v>
      </c>
      <c r="Q414" s="92" t="s">
        <v>1382</v>
      </c>
      <c r="R414" s="92">
        <v>5</v>
      </c>
      <c r="S414" s="92">
        <v>480</v>
      </c>
      <c r="T414" s="9">
        <v>44119</v>
      </c>
      <c r="U414" s="9">
        <v>44151</v>
      </c>
    </row>
    <row r="415" spans="1:21" x14ac:dyDescent="0.2">
      <c r="A415" s="10" t="str">
        <f>HYPERLINK("http://www.ofsted.gov.uk/inspection-reports/find-inspection-report/provider/ELS/115962 ","Ofsted School Webpage")</f>
        <v>Ofsted School Webpage</v>
      </c>
      <c r="B415" s="92">
        <v>115962</v>
      </c>
      <c r="C415" s="92">
        <v>8502206</v>
      </c>
      <c r="D415" s="92" t="s">
        <v>1383</v>
      </c>
      <c r="E415" s="92" t="s">
        <v>94</v>
      </c>
      <c r="F415" s="92" t="s">
        <v>269</v>
      </c>
      <c r="G415" s="92" t="s">
        <v>270</v>
      </c>
      <c r="H415" s="92" t="s">
        <v>271</v>
      </c>
      <c r="I415" s="92" t="s">
        <v>272</v>
      </c>
      <c r="J415" s="92" t="s">
        <v>273</v>
      </c>
      <c r="K415" s="92" t="s">
        <v>273</v>
      </c>
      <c r="L415" s="92" t="s">
        <v>274</v>
      </c>
      <c r="M415" s="92" t="s">
        <v>192</v>
      </c>
      <c r="N415" s="92" t="s">
        <v>192</v>
      </c>
      <c r="O415" s="92" t="s">
        <v>193</v>
      </c>
      <c r="P415" s="92" t="s">
        <v>1384</v>
      </c>
      <c r="Q415" s="92" t="s">
        <v>1385</v>
      </c>
      <c r="R415" s="92">
        <v>4</v>
      </c>
      <c r="S415" s="92">
        <v>263</v>
      </c>
      <c r="T415" s="9">
        <v>44119</v>
      </c>
      <c r="U415" s="9">
        <v>44146</v>
      </c>
    </row>
    <row r="416" spans="1:21" x14ac:dyDescent="0.2">
      <c r="A416" s="10" t="str">
        <f>HYPERLINK("http://www.ofsted.gov.uk/inspection-reports/find-inspection-report/provider/ELS/118653 ","Ofsted School Webpage")</f>
        <v>Ofsted School Webpage</v>
      </c>
      <c r="B416" s="92">
        <v>118653</v>
      </c>
      <c r="C416" s="92">
        <v>8863120</v>
      </c>
      <c r="D416" s="92" t="s">
        <v>1386</v>
      </c>
      <c r="E416" s="92" t="s">
        <v>94</v>
      </c>
      <c r="F416" s="92" t="s">
        <v>345</v>
      </c>
      <c r="G416" s="92" t="s">
        <v>270</v>
      </c>
      <c r="H416" s="92" t="s">
        <v>271</v>
      </c>
      <c r="I416" s="92" t="s">
        <v>272</v>
      </c>
      <c r="J416" s="92" t="s">
        <v>346</v>
      </c>
      <c r="K416" s="92" t="s">
        <v>273</v>
      </c>
      <c r="L416" s="92" t="s">
        <v>347</v>
      </c>
      <c r="M416" s="92" t="s">
        <v>192</v>
      </c>
      <c r="N416" s="92" t="s">
        <v>192</v>
      </c>
      <c r="O416" s="92" t="s">
        <v>194</v>
      </c>
      <c r="P416" s="92" t="s">
        <v>385</v>
      </c>
      <c r="Q416" s="92" t="s">
        <v>1387</v>
      </c>
      <c r="R416" s="92">
        <v>2</v>
      </c>
      <c r="S416" s="92">
        <v>207</v>
      </c>
      <c r="T416" s="9">
        <v>44119</v>
      </c>
      <c r="U416" s="9">
        <v>44157</v>
      </c>
    </row>
    <row r="417" spans="1:21" x14ac:dyDescent="0.2">
      <c r="A417" s="10" t="str">
        <f>HYPERLINK("http://www.ofsted.gov.uk/inspection-reports/find-inspection-report/provider/ELS/135525 ","Ofsted School Webpage")</f>
        <v>Ofsted School Webpage</v>
      </c>
      <c r="B417" s="92">
        <v>135525</v>
      </c>
      <c r="C417" s="92">
        <v>3063418</v>
      </c>
      <c r="D417" s="92" t="s">
        <v>1388</v>
      </c>
      <c r="E417" s="92" t="s">
        <v>94</v>
      </c>
      <c r="F417" s="92" t="s">
        <v>269</v>
      </c>
      <c r="G417" s="9">
        <v>39692</v>
      </c>
      <c r="H417" s="92" t="s">
        <v>271</v>
      </c>
      <c r="I417" s="92" t="s">
        <v>272</v>
      </c>
      <c r="J417" s="92" t="s">
        <v>273</v>
      </c>
      <c r="K417" s="92" t="s">
        <v>273</v>
      </c>
      <c r="L417" s="92" t="s">
        <v>274</v>
      </c>
      <c r="M417" s="92" t="s">
        <v>122</v>
      </c>
      <c r="N417" s="92" t="s">
        <v>122</v>
      </c>
      <c r="O417" s="92" t="s">
        <v>144</v>
      </c>
      <c r="P417" s="92" t="s">
        <v>1389</v>
      </c>
      <c r="Q417" s="92" t="s">
        <v>1390</v>
      </c>
      <c r="R417" s="92">
        <v>2</v>
      </c>
      <c r="S417" s="92">
        <v>777</v>
      </c>
      <c r="T417" s="9">
        <v>44119</v>
      </c>
      <c r="U417" s="9">
        <v>44158</v>
      </c>
    </row>
    <row r="418" spans="1:21" x14ac:dyDescent="0.2">
      <c r="A418" s="10" t="str">
        <f>HYPERLINK("http://www.ofsted.gov.uk/inspection-reports/find-inspection-report/provider/ELS/111106 ","Ofsted School Webpage")</f>
        <v>Ofsted School Webpage</v>
      </c>
      <c r="B418" s="92">
        <v>111106</v>
      </c>
      <c r="C418" s="92">
        <v>8962272</v>
      </c>
      <c r="D418" s="92" t="s">
        <v>1391</v>
      </c>
      <c r="E418" s="92" t="s">
        <v>94</v>
      </c>
      <c r="F418" s="92" t="s">
        <v>269</v>
      </c>
      <c r="G418" s="92" t="s">
        <v>270</v>
      </c>
      <c r="H418" s="92" t="s">
        <v>271</v>
      </c>
      <c r="I418" s="92" t="s">
        <v>272</v>
      </c>
      <c r="J418" s="92" t="s">
        <v>273</v>
      </c>
      <c r="K418" s="92" t="s">
        <v>273</v>
      </c>
      <c r="L418" s="92" t="s">
        <v>274</v>
      </c>
      <c r="M418" s="92" t="s">
        <v>168</v>
      </c>
      <c r="N418" s="92" t="s">
        <v>168</v>
      </c>
      <c r="O418" s="92" t="s">
        <v>175</v>
      </c>
      <c r="P418" s="92" t="s">
        <v>1138</v>
      </c>
      <c r="Q418" s="92" t="s">
        <v>1392</v>
      </c>
      <c r="R418" s="92">
        <v>1</v>
      </c>
      <c r="S418" s="92">
        <v>195</v>
      </c>
      <c r="T418" s="9">
        <v>44119</v>
      </c>
      <c r="U418" s="9">
        <v>44158</v>
      </c>
    </row>
    <row r="419" spans="1:21" x14ac:dyDescent="0.2">
      <c r="A419" s="10" t="str">
        <f>HYPERLINK("http://www.ofsted.gov.uk/inspection-reports/find-inspection-report/provider/ELS/109571 ","Ofsted School Webpage")</f>
        <v>Ofsted School Webpage</v>
      </c>
      <c r="B419" s="92">
        <v>109571</v>
      </c>
      <c r="C419" s="92">
        <v>8212263</v>
      </c>
      <c r="D419" s="92" t="s">
        <v>1393</v>
      </c>
      <c r="E419" s="92" t="s">
        <v>94</v>
      </c>
      <c r="F419" s="92" t="s">
        <v>269</v>
      </c>
      <c r="G419" s="92" t="s">
        <v>270</v>
      </c>
      <c r="H419" s="92" t="s">
        <v>271</v>
      </c>
      <c r="I419" s="92" t="s">
        <v>272</v>
      </c>
      <c r="J419" s="92" t="s">
        <v>273</v>
      </c>
      <c r="K419" s="92" t="s">
        <v>273</v>
      </c>
      <c r="L419" s="92" t="s">
        <v>274</v>
      </c>
      <c r="M419" s="92" t="s">
        <v>110</v>
      </c>
      <c r="N419" s="92" t="s">
        <v>110</v>
      </c>
      <c r="O419" s="92" t="s">
        <v>116</v>
      </c>
      <c r="P419" s="92" t="s">
        <v>402</v>
      </c>
      <c r="Q419" s="92" t="s">
        <v>1394</v>
      </c>
      <c r="R419" s="92">
        <v>5</v>
      </c>
      <c r="S419" s="92">
        <v>419</v>
      </c>
      <c r="T419" s="9">
        <v>44119</v>
      </c>
      <c r="U419" s="9">
        <v>44157</v>
      </c>
    </row>
    <row r="420" spans="1:21" x14ac:dyDescent="0.2">
      <c r="A420" s="10" t="str">
        <f>HYPERLINK("http://www.ofsted.gov.uk/inspection-reports/find-inspection-report/provider/ELS/100190 ","Ofsted School Webpage")</f>
        <v>Ofsted School Webpage</v>
      </c>
      <c r="B420" s="92">
        <v>100190</v>
      </c>
      <c r="C420" s="92">
        <v>2034294</v>
      </c>
      <c r="D420" s="92" t="s">
        <v>1395</v>
      </c>
      <c r="E420" s="92" t="s">
        <v>95</v>
      </c>
      <c r="F420" s="92" t="s">
        <v>269</v>
      </c>
      <c r="G420" s="92" t="s">
        <v>270</v>
      </c>
      <c r="H420" s="92" t="s">
        <v>299</v>
      </c>
      <c r="I420" s="92" t="s">
        <v>300</v>
      </c>
      <c r="J420" s="92" t="s">
        <v>273</v>
      </c>
      <c r="K420" s="92" t="s">
        <v>273</v>
      </c>
      <c r="L420" s="92" t="s">
        <v>274</v>
      </c>
      <c r="M420" s="92" t="s">
        <v>122</v>
      </c>
      <c r="N420" s="92" t="s">
        <v>122</v>
      </c>
      <c r="O420" s="92" t="s">
        <v>142</v>
      </c>
      <c r="P420" s="92" t="s">
        <v>1248</v>
      </c>
      <c r="Q420" s="92" t="s">
        <v>1396</v>
      </c>
      <c r="R420" s="92">
        <v>4</v>
      </c>
      <c r="S420" s="92">
        <v>1972</v>
      </c>
      <c r="T420" s="9">
        <v>44119</v>
      </c>
      <c r="U420" s="9">
        <v>44153</v>
      </c>
    </row>
    <row r="421" spans="1:21" x14ac:dyDescent="0.2">
      <c r="A421" s="10" t="str">
        <f>HYPERLINK("http://www.ofsted.gov.uk/inspection-reports/find-inspection-report/provider/ELS/118416 ","Ofsted School Webpage")</f>
        <v>Ofsted School Webpage</v>
      </c>
      <c r="B421" s="92">
        <v>118416</v>
      </c>
      <c r="C421" s="92">
        <v>8862345</v>
      </c>
      <c r="D421" s="92" t="s">
        <v>1397</v>
      </c>
      <c r="E421" s="92" t="s">
        <v>94</v>
      </c>
      <c r="F421" s="92" t="s">
        <v>269</v>
      </c>
      <c r="G421" s="92" t="s">
        <v>270</v>
      </c>
      <c r="H421" s="92" t="s">
        <v>271</v>
      </c>
      <c r="I421" s="92" t="s">
        <v>272</v>
      </c>
      <c r="J421" s="92" t="s">
        <v>273</v>
      </c>
      <c r="K421" s="92" t="s">
        <v>273</v>
      </c>
      <c r="L421" s="92" t="s">
        <v>274</v>
      </c>
      <c r="M421" s="92" t="s">
        <v>192</v>
      </c>
      <c r="N421" s="92" t="s">
        <v>192</v>
      </c>
      <c r="O421" s="92" t="s">
        <v>194</v>
      </c>
      <c r="P421" s="92" t="s">
        <v>748</v>
      </c>
      <c r="Q421" s="92" t="s">
        <v>1398</v>
      </c>
      <c r="R421" s="92">
        <v>5</v>
      </c>
      <c r="S421" s="92">
        <v>175</v>
      </c>
      <c r="T421" s="9">
        <v>44119</v>
      </c>
      <c r="U421" s="9">
        <v>44153</v>
      </c>
    </row>
    <row r="422" spans="1:21" x14ac:dyDescent="0.2">
      <c r="A422" s="10" t="str">
        <f>HYPERLINK("http://www.ofsted.gov.uk/inspection-reports/find-inspection-report/provider/ELS/117756 ","Ofsted School Webpage")</f>
        <v>Ofsted School Webpage</v>
      </c>
      <c r="B422" s="92">
        <v>117756</v>
      </c>
      <c r="C422" s="92">
        <v>8132143</v>
      </c>
      <c r="D422" s="92" t="s">
        <v>1399</v>
      </c>
      <c r="E422" s="92" t="s">
        <v>94</v>
      </c>
      <c r="F422" s="92" t="s">
        <v>269</v>
      </c>
      <c r="G422" s="92" t="s">
        <v>270</v>
      </c>
      <c r="H422" s="92" t="s">
        <v>271</v>
      </c>
      <c r="I422" s="92" t="s">
        <v>272</v>
      </c>
      <c r="J422" s="92" t="s">
        <v>273</v>
      </c>
      <c r="K422" s="92" t="s">
        <v>273</v>
      </c>
      <c r="L422" s="92" t="s">
        <v>274</v>
      </c>
      <c r="M422" s="92" t="s">
        <v>261</v>
      </c>
      <c r="N422" s="92" t="s">
        <v>241</v>
      </c>
      <c r="O422" s="92" t="s">
        <v>252</v>
      </c>
      <c r="P422" s="92" t="s">
        <v>910</v>
      </c>
      <c r="Q422" s="92" t="s">
        <v>1400</v>
      </c>
      <c r="R422" s="92">
        <v>4</v>
      </c>
      <c r="S422" s="92">
        <v>387</v>
      </c>
      <c r="T422" s="9">
        <v>44119</v>
      </c>
      <c r="U422" s="9">
        <v>44153</v>
      </c>
    </row>
    <row r="423" spans="1:21" x14ac:dyDescent="0.2">
      <c r="A423" s="10" t="str">
        <f>HYPERLINK("http://www.ofsted.gov.uk/inspection-reports/find-inspection-report/provider/ELS/112211 ","Ofsted School Webpage")</f>
        <v>Ofsted School Webpage</v>
      </c>
      <c r="B423" s="92">
        <v>112211</v>
      </c>
      <c r="C423" s="92">
        <v>9092515</v>
      </c>
      <c r="D423" s="92" t="s">
        <v>1401</v>
      </c>
      <c r="E423" s="92" t="s">
        <v>94</v>
      </c>
      <c r="F423" s="92" t="s">
        <v>269</v>
      </c>
      <c r="G423" s="9" t="s">
        <v>270</v>
      </c>
      <c r="H423" s="92" t="s">
        <v>271</v>
      </c>
      <c r="I423" s="92" t="s">
        <v>272</v>
      </c>
      <c r="J423" s="92" t="s">
        <v>273</v>
      </c>
      <c r="K423" s="92" t="s">
        <v>273</v>
      </c>
      <c r="L423" s="92" t="s">
        <v>274</v>
      </c>
      <c r="M423" s="92" t="s">
        <v>168</v>
      </c>
      <c r="N423" s="92" t="s">
        <v>168</v>
      </c>
      <c r="O423" s="92" t="s">
        <v>176</v>
      </c>
      <c r="P423" s="92" t="s">
        <v>368</v>
      </c>
      <c r="Q423" s="92" t="s">
        <v>1402</v>
      </c>
      <c r="R423" s="92">
        <v>3</v>
      </c>
      <c r="S423" s="92">
        <v>191</v>
      </c>
      <c r="T423" s="9">
        <v>44119</v>
      </c>
      <c r="U423" s="9">
        <v>44153</v>
      </c>
    </row>
    <row r="424" spans="1:21" x14ac:dyDescent="0.2">
      <c r="A424" s="10" t="str">
        <f>HYPERLINK("http://www.ofsted.gov.uk/inspection-reports/find-inspection-report/provider/ELS/116263 ","Ofsted School Webpage")</f>
        <v>Ofsted School Webpage</v>
      </c>
      <c r="B424" s="92">
        <v>116263</v>
      </c>
      <c r="C424" s="92">
        <v>8522771</v>
      </c>
      <c r="D424" s="92" t="s">
        <v>1403</v>
      </c>
      <c r="E424" s="92" t="s">
        <v>94</v>
      </c>
      <c r="F424" s="92" t="s">
        <v>269</v>
      </c>
      <c r="G424" s="92" t="s">
        <v>270</v>
      </c>
      <c r="H424" s="92" t="s">
        <v>271</v>
      </c>
      <c r="I424" s="92" t="s">
        <v>272</v>
      </c>
      <c r="J424" s="92" t="s">
        <v>273</v>
      </c>
      <c r="K424" s="92" t="s">
        <v>273</v>
      </c>
      <c r="L424" s="92" t="s">
        <v>274</v>
      </c>
      <c r="M424" s="92" t="s">
        <v>192</v>
      </c>
      <c r="N424" s="92" t="s">
        <v>192</v>
      </c>
      <c r="O424" s="92" t="s">
        <v>202</v>
      </c>
      <c r="P424" s="92" t="s">
        <v>595</v>
      </c>
      <c r="Q424" s="92" t="s">
        <v>1404</v>
      </c>
      <c r="R424" s="92">
        <v>5</v>
      </c>
      <c r="S424" s="92">
        <v>225</v>
      </c>
      <c r="T424" s="9">
        <v>44119</v>
      </c>
      <c r="U424" s="9">
        <v>44157</v>
      </c>
    </row>
    <row r="425" spans="1:21" x14ac:dyDescent="0.2">
      <c r="A425" s="10" t="str">
        <f>HYPERLINK("http://www.ofsted.gov.uk/inspection-reports/find-inspection-report/provider/ELS/115237 ","Ofsted School Webpage")</f>
        <v>Ofsted School Webpage</v>
      </c>
      <c r="B425" s="92">
        <v>115237</v>
      </c>
      <c r="C425" s="92">
        <v>8814680</v>
      </c>
      <c r="D425" s="92" t="s">
        <v>1405</v>
      </c>
      <c r="E425" s="92" t="s">
        <v>95</v>
      </c>
      <c r="F425" s="92" t="s">
        <v>351</v>
      </c>
      <c r="G425" s="9" t="s">
        <v>270</v>
      </c>
      <c r="H425" s="92" t="s">
        <v>299</v>
      </c>
      <c r="I425" s="92" t="s">
        <v>272</v>
      </c>
      <c r="J425" s="92" t="s">
        <v>352</v>
      </c>
      <c r="K425" s="92" t="s">
        <v>273</v>
      </c>
      <c r="L425" s="92" t="s">
        <v>347</v>
      </c>
      <c r="M425" s="92" t="s">
        <v>110</v>
      </c>
      <c r="N425" s="92" t="s">
        <v>110</v>
      </c>
      <c r="O425" s="92" t="s">
        <v>119</v>
      </c>
      <c r="P425" s="92" t="s">
        <v>1406</v>
      </c>
      <c r="Q425" s="92" t="s">
        <v>1407</v>
      </c>
      <c r="R425" s="92">
        <v>5</v>
      </c>
      <c r="S425" s="92">
        <v>751</v>
      </c>
      <c r="T425" s="9">
        <v>44119</v>
      </c>
      <c r="U425" s="9">
        <v>44151</v>
      </c>
    </row>
    <row r="426" spans="1:21" x14ac:dyDescent="0.2">
      <c r="A426" s="10" t="str">
        <f>HYPERLINK("http://www.ofsted.gov.uk/inspection-reports/find-inspection-report/provider/ELS/119614 ","Ofsted School Webpage")</f>
        <v>Ofsted School Webpage</v>
      </c>
      <c r="B426" s="92">
        <v>119614</v>
      </c>
      <c r="C426" s="92">
        <v>8883670</v>
      </c>
      <c r="D426" s="92" t="s">
        <v>1408</v>
      </c>
      <c r="E426" s="92" t="s">
        <v>94</v>
      </c>
      <c r="F426" s="92" t="s">
        <v>351</v>
      </c>
      <c r="G426" s="9" t="s">
        <v>270</v>
      </c>
      <c r="H426" s="92" t="s">
        <v>271</v>
      </c>
      <c r="I426" s="92" t="s">
        <v>272</v>
      </c>
      <c r="J426" s="92" t="s">
        <v>346</v>
      </c>
      <c r="K426" s="92" t="s">
        <v>273</v>
      </c>
      <c r="L426" s="92" t="s">
        <v>347</v>
      </c>
      <c r="M426" s="92" t="s">
        <v>168</v>
      </c>
      <c r="N426" s="92" t="s">
        <v>168</v>
      </c>
      <c r="O426" s="92" t="s">
        <v>169</v>
      </c>
      <c r="P426" s="92" t="s">
        <v>985</v>
      </c>
      <c r="Q426" s="92" t="s">
        <v>1409</v>
      </c>
      <c r="R426" s="92">
        <v>2</v>
      </c>
      <c r="S426" s="92">
        <v>131</v>
      </c>
      <c r="T426" s="9">
        <v>44119</v>
      </c>
      <c r="U426" s="9">
        <v>44160</v>
      </c>
    </row>
    <row r="427" spans="1:21" x14ac:dyDescent="0.2">
      <c r="A427" s="10" t="str">
        <f>HYPERLINK("http://www.ofsted.gov.uk/inspection-reports/find-inspection-report/provider/ELS/100044 ","Ofsted School Webpage")</f>
        <v>Ofsted School Webpage</v>
      </c>
      <c r="B427" s="92">
        <v>100044</v>
      </c>
      <c r="C427" s="92">
        <v>2023546</v>
      </c>
      <c r="D427" s="92" t="s">
        <v>1410</v>
      </c>
      <c r="E427" s="92" t="s">
        <v>94</v>
      </c>
      <c r="F427" s="92" t="s">
        <v>351</v>
      </c>
      <c r="G427" s="9" t="s">
        <v>270</v>
      </c>
      <c r="H427" s="92" t="s">
        <v>271</v>
      </c>
      <c r="I427" s="92" t="s">
        <v>272</v>
      </c>
      <c r="J427" s="92" t="s">
        <v>346</v>
      </c>
      <c r="K427" s="92" t="s">
        <v>273</v>
      </c>
      <c r="L427" s="92" t="s">
        <v>347</v>
      </c>
      <c r="M427" s="92" t="s">
        <v>122</v>
      </c>
      <c r="N427" s="92" t="s">
        <v>122</v>
      </c>
      <c r="O427" s="92" t="s">
        <v>127</v>
      </c>
      <c r="P427" s="92" t="s">
        <v>1411</v>
      </c>
      <c r="Q427" s="92" t="s">
        <v>1412</v>
      </c>
      <c r="R427" s="92">
        <v>5</v>
      </c>
      <c r="S427" s="92">
        <v>167</v>
      </c>
      <c r="T427" s="9">
        <v>44119</v>
      </c>
      <c r="U427" s="9">
        <v>44159</v>
      </c>
    </row>
    <row r="428" spans="1:21" x14ac:dyDescent="0.2">
      <c r="A428" s="10" t="str">
        <f>HYPERLINK("http://www.ofsted.gov.uk/inspection-reports/find-inspection-report/provider/ELS/141955 ","Ofsted School Webpage")</f>
        <v>Ofsted School Webpage</v>
      </c>
      <c r="B428" s="92">
        <v>141955</v>
      </c>
      <c r="C428" s="92">
        <v>8782046</v>
      </c>
      <c r="D428" s="92" t="s">
        <v>1413</v>
      </c>
      <c r="E428" s="92" t="s">
        <v>94</v>
      </c>
      <c r="F428" s="92" t="s">
        <v>351</v>
      </c>
      <c r="G428" s="9">
        <v>42979</v>
      </c>
      <c r="H428" s="92" t="s">
        <v>271</v>
      </c>
      <c r="I428" s="92" t="s">
        <v>272</v>
      </c>
      <c r="J428" s="92" t="s">
        <v>346</v>
      </c>
      <c r="K428" s="92" t="s">
        <v>273</v>
      </c>
      <c r="L428" s="92" t="s">
        <v>347</v>
      </c>
      <c r="M428" s="92" t="s">
        <v>211</v>
      </c>
      <c r="N428" s="92" t="s">
        <v>211</v>
      </c>
      <c r="O428" s="92" t="s">
        <v>220</v>
      </c>
      <c r="P428" s="92" t="s">
        <v>1414</v>
      </c>
      <c r="Q428" s="92" t="s">
        <v>1415</v>
      </c>
      <c r="R428" s="92">
        <v>3</v>
      </c>
      <c r="S428" s="92">
        <v>185</v>
      </c>
      <c r="T428" s="9">
        <v>44119</v>
      </c>
      <c r="U428" s="9">
        <v>44151</v>
      </c>
    </row>
    <row r="429" spans="1:21" x14ac:dyDescent="0.2">
      <c r="A429" s="10" t="str">
        <f>HYPERLINK("http://www.ofsted.gov.uk/inspection-reports/find-inspection-report/provider/ELS/135566 ","Ofsted School Webpage")</f>
        <v>Ofsted School Webpage</v>
      </c>
      <c r="B429" s="92">
        <v>135566</v>
      </c>
      <c r="C429" s="92">
        <v>9363944</v>
      </c>
      <c r="D429" s="92" t="s">
        <v>1416</v>
      </c>
      <c r="E429" s="92" t="s">
        <v>94</v>
      </c>
      <c r="F429" s="92" t="s">
        <v>345</v>
      </c>
      <c r="G429" s="9">
        <v>39692</v>
      </c>
      <c r="H429" s="92" t="s">
        <v>271</v>
      </c>
      <c r="I429" s="92" t="s">
        <v>272</v>
      </c>
      <c r="J429" s="92" t="s">
        <v>346</v>
      </c>
      <c r="K429" s="92" t="s">
        <v>273</v>
      </c>
      <c r="L429" s="92" t="s">
        <v>347</v>
      </c>
      <c r="M429" s="92" t="s">
        <v>192</v>
      </c>
      <c r="N429" s="92" t="s">
        <v>192</v>
      </c>
      <c r="O429" s="92" t="s">
        <v>198</v>
      </c>
      <c r="P429" s="92" t="s">
        <v>1019</v>
      </c>
      <c r="Q429" s="92" t="s">
        <v>1417</v>
      </c>
      <c r="R429" s="92">
        <v>1</v>
      </c>
      <c r="S429" s="92">
        <v>275</v>
      </c>
      <c r="T429" s="9">
        <v>44119</v>
      </c>
      <c r="U429" s="9">
        <v>44150</v>
      </c>
    </row>
    <row r="430" spans="1:21" x14ac:dyDescent="0.2">
      <c r="A430" s="10" t="str">
        <f>HYPERLINK("http://www.ofsted.gov.uk/inspection-reports/find-inspection-report/provider/ELS/122049 ","Ofsted School Webpage")</f>
        <v>Ofsted School Webpage</v>
      </c>
      <c r="B430" s="92">
        <v>122049</v>
      </c>
      <c r="C430" s="92">
        <v>9283501</v>
      </c>
      <c r="D430" s="92" t="s">
        <v>1418</v>
      </c>
      <c r="E430" s="92" t="s">
        <v>94</v>
      </c>
      <c r="F430" s="92" t="s">
        <v>351</v>
      </c>
      <c r="G430" s="9">
        <v>1</v>
      </c>
      <c r="H430" s="92" t="s">
        <v>271</v>
      </c>
      <c r="I430" s="92" t="s">
        <v>272</v>
      </c>
      <c r="J430" s="92" t="s">
        <v>352</v>
      </c>
      <c r="K430" s="92" t="s">
        <v>273</v>
      </c>
      <c r="L430" s="92" t="s">
        <v>347</v>
      </c>
      <c r="M430" s="92" t="s">
        <v>100</v>
      </c>
      <c r="N430" s="92" t="s">
        <v>100</v>
      </c>
      <c r="O430" s="92" t="s">
        <v>107</v>
      </c>
      <c r="P430" s="92" t="s">
        <v>1419</v>
      </c>
      <c r="Q430" s="92" t="s">
        <v>1420</v>
      </c>
      <c r="R430" s="92">
        <v>4</v>
      </c>
      <c r="S430" s="92">
        <v>409</v>
      </c>
      <c r="T430" s="9">
        <v>44119</v>
      </c>
      <c r="U430" s="9">
        <v>44153</v>
      </c>
    </row>
    <row r="431" spans="1:21" x14ac:dyDescent="0.2">
      <c r="A431" s="10" t="str">
        <f>HYPERLINK("http://www.ofsted.gov.uk/inspection-reports/find-inspection-report/provider/ELS/141448 ","Ofsted School Webpage")</f>
        <v>Ofsted School Webpage</v>
      </c>
      <c r="B431" s="92">
        <v>141448</v>
      </c>
      <c r="C431" s="92">
        <v>8607026</v>
      </c>
      <c r="D431" s="92" t="s">
        <v>1421</v>
      </c>
      <c r="E431" s="92" t="s">
        <v>96</v>
      </c>
      <c r="F431" s="92" t="s">
        <v>1095</v>
      </c>
      <c r="G431" s="9">
        <v>41913</v>
      </c>
      <c r="H431" s="92" t="s">
        <v>271</v>
      </c>
      <c r="I431" s="92" t="s">
        <v>300</v>
      </c>
      <c r="J431" s="92" t="s">
        <v>273</v>
      </c>
      <c r="K431" s="92" t="s">
        <v>410</v>
      </c>
      <c r="L431" s="92" t="s">
        <v>274</v>
      </c>
      <c r="M431" s="92" t="s">
        <v>226</v>
      </c>
      <c r="N431" s="92" t="s">
        <v>226</v>
      </c>
      <c r="O431" s="92" t="s">
        <v>229</v>
      </c>
      <c r="P431" s="92" t="s">
        <v>1266</v>
      </c>
      <c r="Q431" s="92" t="s">
        <v>1422</v>
      </c>
      <c r="R431" s="92">
        <v>4</v>
      </c>
      <c r="S431" s="92">
        <v>107</v>
      </c>
      <c r="T431" s="9">
        <v>44119</v>
      </c>
      <c r="U431" s="9">
        <v>44157</v>
      </c>
    </row>
    <row r="432" spans="1:21" x14ac:dyDescent="0.2">
      <c r="A432" s="10" t="str">
        <f>HYPERLINK("http://www.ofsted.gov.uk/inspection-reports/find-inspection-report/provider/ELS/145560 ","Ofsted School Webpage")</f>
        <v>Ofsted School Webpage</v>
      </c>
      <c r="B432" s="92">
        <v>145560</v>
      </c>
      <c r="C432" s="92">
        <v>3512008</v>
      </c>
      <c r="D432" s="92" t="s">
        <v>1423</v>
      </c>
      <c r="E432" s="92" t="s">
        <v>94</v>
      </c>
      <c r="F432" s="92" t="s">
        <v>409</v>
      </c>
      <c r="G432" s="9">
        <v>43160</v>
      </c>
      <c r="H432" s="92" t="s">
        <v>271</v>
      </c>
      <c r="I432" s="92" t="s">
        <v>272</v>
      </c>
      <c r="J432" s="92" t="s">
        <v>346</v>
      </c>
      <c r="K432" s="92" t="s">
        <v>346</v>
      </c>
      <c r="L432" s="92" t="s">
        <v>347</v>
      </c>
      <c r="M432" s="92" t="s">
        <v>168</v>
      </c>
      <c r="N432" s="92" t="s">
        <v>168</v>
      </c>
      <c r="O432" s="92" t="s">
        <v>184</v>
      </c>
      <c r="P432" s="92" t="s">
        <v>1102</v>
      </c>
      <c r="Q432" s="92" t="s">
        <v>1424</v>
      </c>
      <c r="R432" s="92">
        <v>5</v>
      </c>
      <c r="S432" s="92">
        <v>212</v>
      </c>
      <c r="T432" s="9">
        <v>44119</v>
      </c>
      <c r="U432" s="9">
        <v>44168</v>
      </c>
    </row>
    <row r="433" spans="1:21" x14ac:dyDescent="0.2">
      <c r="A433" s="10" t="str">
        <f>HYPERLINK("http://www.ofsted.gov.uk/inspection-reports/find-inspection-report/provider/ELS/145575 ","Ofsted School Webpage")</f>
        <v>Ofsted School Webpage</v>
      </c>
      <c r="B433" s="92">
        <v>145575</v>
      </c>
      <c r="C433" s="92">
        <v>9374014</v>
      </c>
      <c r="D433" s="92" t="s">
        <v>1425</v>
      </c>
      <c r="E433" s="92" t="s">
        <v>95</v>
      </c>
      <c r="F433" s="92" t="s">
        <v>409</v>
      </c>
      <c r="G433" s="9">
        <v>42826</v>
      </c>
      <c r="H433" s="92" t="s">
        <v>484</v>
      </c>
      <c r="I433" s="92" t="s">
        <v>300</v>
      </c>
      <c r="J433" s="92" t="s">
        <v>410</v>
      </c>
      <c r="K433" s="92" t="s">
        <v>410</v>
      </c>
      <c r="L433" s="92" t="s">
        <v>274</v>
      </c>
      <c r="M433" s="92" t="s">
        <v>226</v>
      </c>
      <c r="N433" s="92" t="s">
        <v>226</v>
      </c>
      <c r="O433" s="92" t="s">
        <v>235</v>
      </c>
      <c r="P433" s="92" t="s">
        <v>1426</v>
      </c>
      <c r="Q433" s="92" t="s">
        <v>1427</v>
      </c>
      <c r="R433" s="92">
        <v>2</v>
      </c>
      <c r="S433" s="92">
        <v>951</v>
      </c>
      <c r="T433" s="9">
        <v>44119</v>
      </c>
      <c r="U433" s="9">
        <v>44158</v>
      </c>
    </row>
    <row r="434" spans="1:21" x14ac:dyDescent="0.2">
      <c r="A434" s="10" t="str">
        <f>HYPERLINK("http://www.ofsted.gov.uk/inspection-reports/find-inspection-report/provider/ELS/145483 ","Ofsted School Webpage")</f>
        <v>Ofsted School Webpage</v>
      </c>
      <c r="B434" s="92">
        <v>145483</v>
      </c>
      <c r="C434" s="92">
        <v>8852908</v>
      </c>
      <c r="D434" s="92" t="s">
        <v>1428</v>
      </c>
      <c r="E434" s="92" t="s">
        <v>94</v>
      </c>
      <c r="F434" s="92" t="s">
        <v>429</v>
      </c>
      <c r="G434" s="9">
        <v>43132</v>
      </c>
      <c r="H434" s="92" t="s">
        <v>271</v>
      </c>
      <c r="I434" s="92" t="s">
        <v>272</v>
      </c>
      <c r="J434" s="92" t="s">
        <v>273</v>
      </c>
      <c r="K434" s="92" t="s">
        <v>273</v>
      </c>
      <c r="L434" s="92" t="s">
        <v>274</v>
      </c>
      <c r="M434" s="92" t="s">
        <v>226</v>
      </c>
      <c r="N434" s="92" t="s">
        <v>226</v>
      </c>
      <c r="O434" s="92" t="s">
        <v>238</v>
      </c>
      <c r="P434" s="92" t="s">
        <v>1429</v>
      </c>
      <c r="Q434" s="92" t="s">
        <v>1430</v>
      </c>
      <c r="R434" s="92">
        <v>5</v>
      </c>
      <c r="S434" s="92">
        <v>235</v>
      </c>
      <c r="T434" s="9">
        <v>44119</v>
      </c>
      <c r="U434" s="9">
        <v>44158</v>
      </c>
    </row>
    <row r="435" spans="1:21" x14ac:dyDescent="0.2">
      <c r="A435" s="10" t="str">
        <f>HYPERLINK("http://www.ofsted.gov.uk/inspection-reports/find-inspection-report/provider/ELS/144481 ","Ofsted School Webpage")</f>
        <v>Ofsted School Webpage</v>
      </c>
      <c r="B435" s="92">
        <v>144481</v>
      </c>
      <c r="C435" s="92">
        <v>3732049</v>
      </c>
      <c r="D435" s="92" t="s">
        <v>1431</v>
      </c>
      <c r="E435" s="92" t="s">
        <v>94</v>
      </c>
      <c r="F435" s="92" t="s">
        <v>429</v>
      </c>
      <c r="G435" s="9">
        <v>42491</v>
      </c>
      <c r="H435" s="92" t="s">
        <v>484</v>
      </c>
      <c r="I435" s="92" t="s">
        <v>271</v>
      </c>
      <c r="J435" s="92" t="s">
        <v>410</v>
      </c>
      <c r="K435" s="92" t="s">
        <v>273</v>
      </c>
      <c r="L435" s="92" t="s">
        <v>274</v>
      </c>
      <c r="M435" s="92" t="s">
        <v>261</v>
      </c>
      <c r="N435" s="92" t="s">
        <v>241</v>
      </c>
      <c r="O435" s="92" t="s">
        <v>249</v>
      </c>
      <c r="P435" s="92" t="s">
        <v>1334</v>
      </c>
      <c r="Q435" s="92" t="s">
        <v>1432</v>
      </c>
      <c r="R435" s="92">
        <v>5</v>
      </c>
      <c r="S435" s="92">
        <v>396</v>
      </c>
      <c r="T435" s="9">
        <v>44119</v>
      </c>
      <c r="U435" s="9">
        <v>44161</v>
      </c>
    </row>
    <row r="436" spans="1:21" x14ac:dyDescent="0.2">
      <c r="A436" s="10" t="str">
        <f>HYPERLINK("http://www.ofsted.gov.uk/inspection-reports/find-inspection-report/provider/ELS/144690 ","Ofsted School Webpage")</f>
        <v>Ofsted School Webpage</v>
      </c>
      <c r="B436" s="92">
        <v>144690</v>
      </c>
      <c r="C436" s="92">
        <v>3543009</v>
      </c>
      <c r="D436" s="92" t="s">
        <v>1433</v>
      </c>
      <c r="E436" s="92" t="s">
        <v>94</v>
      </c>
      <c r="F436" s="92" t="s">
        <v>429</v>
      </c>
      <c r="G436" s="9">
        <v>42979</v>
      </c>
      <c r="H436" s="92" t="s">
        <v>271</v>
      </c>
      <c r="I436" s="92" t="s">
        <v>272</v>
      </c>
      <c r="J436" s="92" t="s">
        <v>346</v>
      </c>
      <c r="K436" s="92" t="s">
        <v>273</v>
      </c>
      <c r="L436" s="92" t="s">
        <v>347</v>
      </c>
      <c r="M436" s="92" t="s">
        <v>168</v>
      </c>
      <c r="N436" s="92" t="s">
        <v>168</v>
      </c>
      <c r="O436" s="92" t="s">
        <v>173</v>
      </c>
      <c r="P436" s="92" t="s">
        <v>173</v>
      </c>
      <c r="Q436" s="92" t="s">
        <v>1434</v>
      </c>
      <c r="R436" s="92">
        <v>4</v>
      </c>
      <c r="S436" s="92">
        <v>428</v>
      </c>
      <c r="T436" s="9">
        <v>44119</v>
      </c>
      <c r="U436" s="9">
        <v>44165</v>
      </c>
    </row>
    <row r="437" spans="1:21" x14ac:dyDescent="0.2">
      <c r="A437" s="10" t="str">
        <f>HYPERLINK("http://www.ofsted.gov.uk/inspection-reports/find-inspection-report/provider/ELS/145260 ","Ofsted School Webpage")</f>
        <v>Ofsted School Webpage</v>
      </c>
      <c r="B437" s="92">
        <v>145260</v>
      </c>
      <c r="C437" s="92">
        <v>8022261</v>
      </c>
      <c r="D437" s="92" t="s">
        <v>1435</v>
      </c>
      <c r="E437" s="92" t="s">
        <v>94</v>
      </c>
      <c r="F437" s="92" t="s">
        <v>429</v>
      </c>
      <c r="G437" s="9">
        <v>43191</v>
      </c>
      <c r="H437" s="92" t="s">
        <v>271</v>
      </c>
      <c r="I437" s="92" t="s">
        <v>272</v>
      </c>
      <c r="J437" s="92" t="s">
        <v>273</v>
      </c>
      <c r="K437" s="92" t="s">
        <v>273</v>
      </c>
      <c r="L437" s="92" t="s">
        <v>274</v>
      </c>
      <c r="M437" s="92" t="s">
        <v>211</v>
      </c>
      <c r="N437" s="92" t="s">
        <v>211</v>
      </c>
      <c r="O437" s="92" t="s">
        <v>222</v>
      </c>
      <c r="P437" s="92" t="s">
        <v>222</v>
      </c>
      <c r="Q437" s="92" t="s">
        <v>1436</v>
      </c>
      <c r="R437" s="92">
        <v>1</v>
      </c>
      <c r="S437" s="92">
        <v>218</v>
      </c>
      <c r="T437" s="9">
        <v>44119</v>
      </c>
      <c r="U437" s="9">
        <v>44154</v>
      </c>
    </row>
    <row r="438" spans="1:21" x14ac:dyDescent="0.2">
      <c r="A438" s="10" t="str">
        <f>HYPERLINK("http://www.ofsted.gov.uk/inspection-reports/find-inspection-report/provider/ELS/145370 ","Ofsted School Webpage")</f>
        <v>Ofsted School Webpage</v>
      </c>
      <c r="B438" s="92">
        <v>145370</v>
      </c>
      <c r="C438" s="92">
        <v>8152252</v>
      </c>
      <c r="D438" s="92" t="s">
        <v>1437</v>
      </c>
      <c r="E438" s="92" t="s">
        <v>94</v>
      </c>
      <c r="F438" s="92" t="s">
        <v>429</v>
      </c>
      <c r="G438" s="9">
        <v>43132</v>
      </c>
      <c r="H438" s="92" t="s">
        <v>271</v>
      </c>
      <c r="I438" s="92" t="s">
        <v>272</v>
      </c>
      <c r="J438" s="92" t="s">
        <v>273</v>
      </c>
      <c r="K438" s="92" t="s">
        <v>273</v>
      </c>
      <c r="L438" s="92" t="s">
        <v>274</v>
      </c>
      <c r="M438" s="92" t="s">
        <v>261</v>
      </c>
      <c r="N438" s="92" t="s">
        <v>241</v>
      </c>
      <c r="O438" s="92" t="s">
        <v>247</v>
      </c>
      <c r="P438" s="92" t="s">
        <v>751</v>
      </c>
      <c r="Q438" s="92" t="s">
        <v>1438</v>
      </c>
      <c r="R438" s="92">
        <v>1</v>
      </c>
      <c r="S438" s="92">
        <v>209</v>
      </c>
      <c r="T438" s="9">
        <v>44124</v>
      </c>
      <c r="U438" s="9">
        <v>44152</v>
      </c>
    </row>
    <row r="439" spans="1:21" x14ac:dyDescent="0.2">
      <c r="A439" s="10" t="str">
        <f>HYPERLINK("http://www.ofsted.gov.uk/inspection-reports/find-inspection-report/provider/ELS/142950 ","Ofsted School Webpage")</f>
        <v>Ofsted School Webpage</v>
      </c>
      <c r="B439" s="92">
        <v>142950</v>
      </c>
      <c r="C439" s="92">
        <v>3802127</v>
      </c>
      <c r="D439" s="92" t="s">
        <v>1439</v>
      </c>
      <c r="E439" s="92" t="s">
        <v>94</v>
      </c>
      <c r="F439" s="92" t="s">
        <v>429</v>
      </c>
      <c r="G439" s="9">
        <v>42552</v>
      </c>
      <c r="H439" s="92" t="s">
        <v>271</v>
      </c>
      <c r="I439" s="92" t="s">
        <v>272</v>
      </c>
      <c r="J439" s="92" t="s">
        <v>273</v>
      </c>
      <c r="K439" s="92" t="s">
        <v>273</v>
      </c>
      <c r="L439" s="92" t="s">
        <v>274</v>
      </c>
      <c r="M439" s="92" t="s">
        <v>261</v>
      </c>
      <c r="N439" s="92" t="s">
        <v>241</v>
      </c>
      <c r="O439" s="92" t="s">
        <v>250</v>
      </c>
      <c r="P439" s="92" t="s">
        <v>1440</v>
      </c>
      <c r="Q439" s="92" t="s">
        <v>1441</v>
      </c>
      <c r="R439" s="92">
        <v>2</v>
      </c>
      <c r="S439" s="92">
        <v>208</v>
      </c>
      <c r="T439" s="9">
        <v>44124</v>
      </c>
      <c r="U439" s="9">
        <v>44158</v>
      </c>
    </row>
    <row r="440" spans="1:21" x14ac:dyDescent="0.2">
      <c r="A440" s="10" t="str">
        <f>HYPERLINK("http://www.ofsted.gov.uk/inspection-reports/find-inspection-report/provider/ELS/138202 ","Ofsted School Webpage")</f>
        <v>Ofsted School Webpage</v>
      </c>
      <c r="B440" s="92">
        <v>138202</v>
      </c>
      <c r="C440" s="92">
        <v>2114000</v>
      </c>
      <c r="D440" s="92" t="s">
        <v>1442</v>
      </c>
      <c r="E440" s="92" t="s">
        <v>95</v>
      </c>
      <c r="F440" s="92" t="s">
        <v>491</v>
      </c>
      <c r="G440" s="9">
        <v>41153</v>
      </c>
      <c r="H440" s="92" t="s">
        <v>299</v>
      </c>
      <c r="I440" s="92" t="s">
        <v>272</v>
      </c>
      <c r="J440" s="92" t="s">
        <v>410</v>
      </c>
      <c r="K440" s="92" t="s">
        <v>410</v>
      </c>
      <c r="L440" s="92" t="s">
        <v>274</v>
      </c>
      <c r="M440" s="92" t="s">
        <v>122</v>
      </c>
      <c r="N440" s="92" t="s">
        <v>122</v>
      </c>
      <c r="O440" s="92" t="s">
        <v>141</v>
      </c>
      <c r="P440" s="92" t="s">
        <v>1184</v>
      </c>
      <c r="Q440" s="92" t="s">
        <v>1443</v>
      </c>
      <c r="R440" s="92">
        <v>5</v>
      </c>
      <c r="S440" s="92">
        <v>302</v>
      </c>
      <c r="T440" s="9">
        <v>44124</v>
      </c>
      <c r="U440" s="9">
        <v>44161</v>
      </c>
    </row>
    <row r="441" spans="1:21" x14ac:dyDescent="0.2">
      <c r="A441" s="10" t="str">
        <f>HYPERLINK("http://www.ofsted.gov.uk/inspection-reports/find-inspection-report/provider/ELS/145658 ","Ofsted School Webpage")</f>
        <v>Ofsted School Webpage</v>
      </c>
      <c r="B441" s="92">
        <v>145658</v>
      </c>
      <c r="C441" s="92">
        <v>8793775</v>
      </c>
      <c r="D441" s="92" t="s">
        <v>1444</v>
      </c>
      <c r="E441" s="92" t="s">
        <v>94</v>
      </c>
      <c r="F441" s="92" t="s">
        <v>429</v>
      </c>
      <c r="G441" s="9">
        <v>43191</v>
      </c>
      <c r="H441" s="92" t="s">
        <v>271</v>
      </c>
      <c r="I441" s="92" t="s">
        <v>272</v>
      </c>
      <c r="J441" s="92" t="s">
        <v>273</v>
      </c>
      <c r="K441" s="92" t="s">
        <v>273</v>
      </c>
      <c r="L441" s="92" t="s">
        <v>274</v>
      </c>
      <c r="M441" s="92" t="s">
        <v>211</v>
      </c>
      <c r="N441" s="92" t="s">
        <v>211</v>
      </c>
      <c r="O441" s="92" t="s">
        <v>214</v>
      </c>
      <c r="P441" s="92" t="s">
        <v>607</v>
      </c>
      <c r="Q441" s="92" t="s">
        <v>1445</v>
      </c>
      <c r="R441" s="92">
        <v>5</v>
      </c>
      <c r="S441" s="92">
        <v>440</v>
      </c>
      <c r="T441" s="9">
        <v>44124</v>
      </c>
      <c r="U441" s="9">
        <v>44154</v>
      </c>
    </row>
    <row r="442" spans="1:21" x14ac:dyDescent="0.2">
      <c r="A442" s="10" t="str">
        <f>HYPERLINK("http://www.ofsted.gov.uk/inspection-reports/find-inspection-report/provider/ELS/148019 ","Ofsted School Webpage")</f>
        <v>Ofsted School Webpage</v>
      </c>
      <c r="B442" s="92">
        <v>148019</v>
      </c>
      <c r="C442" s="92">
        <v>8782226</v>
      </c>
      <c r="D442" s="92" t="s">
        <v>1446</v>
      </c>
      <c r="E442" s="92" t="s">
        <v>94</v>
      </c>
      <c r="F442" s="92" t="s">
        <v>429</v>
      </c>
      <c r="G442" s="9">
        <v>44013</v>
      </c>
      <c r="H442" s="92" t="s">
        <v>271</v>
      </c>
      <c r="I442" s="92" t="s">
        <v>272</v>
      </c>
      <c r="J442" s="92" t="s">
        <v>273</v>
      </c>
      <c r="K442" s="92" t="s">
        <v>273</v>
      </c>
      <c r="L442" s="92" t="s">
        <v>274</v>
      </c>
      <c r="M442" s="92" t="s">
        <v>211</v>
      </c>
      <c r="N442" s="92" t="s">
        <v>211</v>
      </c>
      <c r="O442" s="92" t="s">
        <v>220</v>
      </c>
      <c r="P442" s="92" t="s">
        <v>1447</v>
      </c>
      <c r="Q442" s="92" t="s">
        <v>1448</v>
      </c>
      <c r="R442" s="92">
        <v>2</v>
      </c>
      <c r="S442" s="92" t="s">
        <v>270</v>
      </c>
      <c r="T442" s="9">
        <v>44124</v>
      </c>
      <c r="U442" s="9">
        <v>44157</v>
      </c>
    </row>
    <row r="443" spans="1:21" x14ac:dyDescent="0.2">
      <c r="A443" s="10" t="str">
        <f>HYPERLINK("http://www.ofsted.gov.uk/inspection-reports/find-inspection-report/provider/ELS/143592 ","Ofsted School Webpage")</f>
        <v>Ofsted School Webpage</v>
      </c>
      <c r="B443" s="92">
        <v>143592</v>
      </c>
      <c r="C443" s="92">
        <v>2032885</v>
      </c>
      <c r="D443" s="92" t="s">
        <v>1449</v>
      </c>
      <c r="E443" s="92" t="s">
        <v>94</v>
      </c>
      <c r="F443" s="92" t="s">
        <v>429</v>
      </c>
      <c r="G443" s="9">
        <v>42887</v>
      </c>
      <c r="H443" s="92" t="s">
        <v>271</v>
      </c>
      <c r="I443" s="92" t="s">
        <v>272</v>
      </c>
      <c r="J443" s="92" t="s">
        <v>273</v>
      </c>
      <c r="K443" s="92" t="s">
        <v>273</v>
      </c>
      <c r="L443" s="92" t="s">
        <v>274</v>
      </c>
      <c r="M443" s="92" t="s">
        <v>122</v>
      </c>
      <c r="N443" s="92" t="s">
        <v>122</v>
      </c>
      <c r="O443" s="92" t="s">
        <v>142</v>
      </c>
      <c r="P443" s="92" t="s">
        <v>1450</v>
      </c>
      <c r="Q443" s="92" t="s">
        <v>1451</v>
      </c>
      <c r="R443" s="92">
        <v>5</v>
      </c>
      <c r="S443" s="92">
        <v>715</v>
      </c>
      <c r="T443" s="9">
        <v>44124</v>
      </c>
      <c r="U443" s="9">
        <v>44153</v>
      </c>
    </row>
    <row r="444" spans="1:21" x14ac:dyDescent="0.2">
      <c r="A444" s="10" t="str">
        <f>HYPERLINK("http://www.ofsted.gov.uk/inspection-reports/find-inspection-report/provider/ELS/113822 ","Ofsted School Webpage")</f>
        <v>Ofsted School Webpage</v>
      </c>
      <c r="B444" s="92">
        <v>113822</v>
      </c>
      <c r="C444" s="92">
        <v>8383381</v>
      </c>
      <c r="D444" s="92" t="s">
        <v>1452</v>
      </c>
      <c r="E444" s="92" t="s">
        <v>94</v>
      </c>
      <c r="F444" s="92" t="s">
        <v>351</v>
      </c>
      <c r="G444" s="9">
        <v>1</v>
      </c>
      <c r="H444" s="92" t="s">
        <v>271</v>
      </c>
      <c r="I444" s="92" t="s">
        <v>272</v>
      </c>
      <c r="J444" s="92" t="s">
        <v>346</v>
      </c>
      <c r="K444" s="92" t="s">
        <v>273</v>
      </c>
      <c r="L444" s="92" t="s">
        <v>347</v>
      </c>
      <c r="M444" s="92" t="s">
        <v>211</v>
      </c>
      <c r="N444" s="92" t="s">
        <v>211</v>
      </c>
      <c r="O444" s="92" t="s">
        <v>213</v>
      </c>
      <c r="P444" s="92" t="s">
        <v>1453</v>
      </c>
      <c r="Q444" s="92" t="s">
        <v>1454</v>
      </c>
      <c r="R444" s="92">
        <v>2</v>
      </c>
      <c r="S444" s="92">
        <v>113</v>
      </c>
      <c r="T444" s="9">
        <v>44124</v>
      </c>
      <c r="U444" s="9">
        <v>44154</v>
      </c>
    </row>
    <row r="445" spans="1:21" x14ac:dyDescent="0.2">
      <c r="A445" s="10" t="str">
        <f>HYPERLINK("http://www.ofsted.gov.uk/inspection-reports/find-inspection-report/provider/ELS/101316 ","Ofsted School Webpage")</f>
        <v>Ofsted School Webpage</v>
      </c>
      <c r="B445" s="92">
        <v>101316</v>
      </c>
      <c r="C445" s="92">
        <v>3023302</v>
      </c>
      <c r="D445" s="92" t="s">
        <v>1455</v>
      </c>
      <c r="E445" s="92" t="s">
        <v>94</v>
      </c>
      <c r="F445" s="92" t="s">
        <v>351</v>
      </c>
      <c r="G445" s="9" t="s">
        <v>270</v>
      </c>
      <c r="H445" s="92" t="s">
        <v>271</v>
      </c>
      <c r="I445" s="92" t="s">
        <v>272</v>
      </c>
      <c r="J445" s="92" t="s">
        <v>346</v>
      </c>
      <c r="K445" s="92" t="s">
        <v>273</v>
      </c>
      <c r="L445" s="92" t="s">
        <v>347</v>
      </c>
      <c r="M445" s="92" t="s">
        <v>122</v>
      </c>
      <c r="N445" s="92" t="s">
        <v>122</v>
      </c>
      <c r="O445" s="92" t="s">
        <v>136</v>
      </c>
      <c r="P445" s="92" t="s">
        <v>1022</v>
      </c>
      <c r="Q445" s="92" t="s">
        <v>1456</v>
      </c>
      <c r="R445" s="92">
        <v>2</v>
      </c>
      <c r="S445" s="92">
        <v>234</v>
      </c>
      <c r="T445" s="9">
        <v>44124</v>
      </c>
      <c r="U445" s="9">
        <v>44159</v>
      </c>
    </row>
    <row r="446" spans="1:21" x14ac:dyDescent="0.2">
      <c r="A446" s="10" t="str">
        <f>HYPERLINK("http://www.ofsted.gov.uk/inspection-reports/find-inspection-report/provider/ELS/112704 ","Ofsted School Webpage")</f>
        <v>Ofsted School Webpage</v>
      </c>
      <c r="B446" s="92">
        <v>112704</v>
      </c>
      <c r="C446" s="92">
        <v>8302371</v>
      </c>
      <c r="D446" s="92" t="s">
        <v>1457</v>
      </c>
      <c r="E446" s="92" t="s">
        <v>94</v>
      </c>
      <c r="F446" s="92" t="s">
        <v>269</v>
      </c>
      <c r="G446" s="9" t="s">
        <v>270</v>
      </c>
      <c r="H446" s="92" t="s">
        <v>271</v>
      </c>
      <c r="I446" s="92" t="s">
        <v>272</v>
      </c>
      <c r="J446" s="92" t="s">
        <v>273</v>
      </c>
      <c r="K446" s="92" t="s">
        <v>273</v>
      </c>
      <c r="L446" s="92" t="s">
        <v>274</v>
      </c>
      <c r="M446" s="92" t="s">
        <v>100</v>
      </c>
      <c r="N446" s="92" t="s">
        <v>100</v>
      </c>
      <c r="O446" s="92" t="s">
        <v>101</v>
      </c>
      <c r="P446" s="92" t="s">
        <v>1458</v>
      </c>
      <c r="Q446" s="92" t="s">
        <v>1459</v>
      </c>
      <c r="R446" s="92">
        <v>3</v>
      </c>
      <c r="S446" s="92">
        <v>209</v>
      </c>
      <c r="T446" s="9">
        <v>44124</v>
      </c>
      <c r="U446" s="9">
        <v>44160</v>
      </c>
    </row>
    <row r="447" spans="1:21" x14ac:dyDescent="0.2">
      <c r="A447" s="10" t="str">
        <f>HYPERLINK("http://www.ofsted.gov.uk/inspection-reports/find-inspection-report/provider/ELS/116466 ","Ofsted School Webpage")</f>
        <v>Ofsted School Webpage</v>
      </c>
      <c r="B447" s="92">
        <v>116466</v>
      </c>
      <c r="C447" s="92">
        <v>8504307</v>
      </c>
      <c r="D447" s="92" t="s">
        <v>1460</v>
      </c>
      <c r="E447" s="92" t="s">
        <v>95</v>
      </c>
      <c r="F447" s="92" t="s">
        <v>269</v>
      </c>
      <c r="G447" s="92" t="s">
        <v>270</v>
      </c>
      <c r="H447" s="92" t="s">
        <v>299</v>
      </c>
      <c r="I447" s="92" t="s">
        <v>272</v>
      </c>
      <c r="J447" s="92" t="s">
        <v>273</v>
      </c>
      <c r="K447" s="92" t="s">
        <v>273</v>
      </c>
      <c r="L447" s="92" t="s">
        <v>274</v>
      </c>
      <c r="M447" s="92" t="s">
        <v>192</v>
      </c>
      <c r="N447" s="92" t="s">
        <v>192</v>
      </c>
      <c r="O447" s="92" t="s">
        <v>193</v>
      </c>
      <c r="P447" s="92" t="s">
        <v>1461</v>
      </c>
      <c r="Q447" s="92" t="s">
        <v>1462</v>
      </c>
      <c r="R447" s="92">
        <v>1</v>
      </c>
      <c r="S447" s="92">
        <v>812</v>
      </c>
      <c r="T447" s="9">
        <v>44124</v>
      </c>
      <c r="U447" s="9">
        <v>44157</v>
      </c>
    </row>
    <row r="448" spans="1:21" x14ac:dyDescent="0.2">
      <c r="A448" s="10" t="str">
        <f>HYPERLINK("http://www.ofsted.gov.uk/inspection-reports/find-inspection-report/provider/ELS/111086 ","Ofsted School Webpage")</f>
        <v>Ofsted School Webpage</v>
      </c>
      <c r="B448" s="92">
        <v>111086</v>
      </c>
      <c r="C448" s="92">
        <v>8962239</v>
      </c>
      <c r="D448" s="92" t="s">
        <v>1463</v>
      </c>
      <c r="E448" s="92" t="s">
        <v>94</v>
      </c>
      <c r="F448" s="92" t="s">
        <v>269</v>
      </c>
      <c r="G448" s="92" t="s">
        <v>270</v>
      </c>
      <c r="H448" s="92" t="s">
        <v>271</v>
      </c>
      <c r="I448" s="92" t="s">
        <v>272</v>
      </c>
      <c r="J448" s="92" t="s">
        <v>273</v>
      </c>
      <c r="K448" s="92" t="s">
        <v>273</v>
      </c>
      <c r="L448" s="92" t="s">
        <v>274</v>
      </c>
      <c r="M448" s="92" t="s">
        <v>168</v>
      </c>
      <c r="N448" s="92" t="s">
        <v>168</v>
      </c>
      <c r="O448" s="92" t="s">
        <v>175</v>
      </c>
      <c r="P448" s="92" t="s">
        <v>353</v>
      </c>
      <c r="Q448" s="92" t="s">
        <v>1464</v>
      </c>
      <c r="R448" s="92">
        <v>5</v>
      </c>
      <c r="S448" s="92">
        <v>119</v>
      </c>
      <c r="T448" s="9">
        <v>44124</v>
      </c>
      <c r="U448" s="9">
        <v>44154</v>
      </c>
    </row>
    <row r="449" spans="1:21" x14ac:dyDescent="0.2">
      <c r="A449" s="10" t="str">
        <f>HYPERLINK("http://www.ofsted.gov.uk/inspection-reports/find-inspection-report/provider/ELS/114255 ","Ofsted School Webpage")</f>
        <v>Ofsted School Webpage</v>
      </c>
      <c r="B449" s="92">
        <v>114255</v>
      </c>
      <c r="C449" s="92">
        <v>8403413</v>
      </c>
      <c r="D449" s="92" t="s">
        <v>1465</v>
      </c>
      <c r="E449" s="92" t="s">
        <v>94</v>
      </c>
      <c r="F449" s="92" t="s">
        <v>351</v>
      </c>
      <c r="G449" s="92" t="s">
        <v>270</v>
      </c>
      <c r="H449" s="92" t="s">
        <v>271</v>
      </c>
      <c r="I449" s="92" t="s">
        <v>272</v>
      </c>
      <c r="J449" s="92" t="s">
        <v>352</v>
      </c>
      <c r="K449" s="92" t="s">
        <v>273</v>
      </c>
      <c r="L449" s="92" t="s">
        <v>347</v>
      </c>
      <c r="M449" s="92" t="s">
        <v>261</v>
      </c>
      <c r="N449" s="92" t="s">
        <v>155</v>
      </c>
      <c r="O449" s="92" t="s">
        <v>163</v>
      </c>
      <c r="P449" s="92" t="s">
        <v>1466</v>
      </c>
      <c r="Q449" s="92" t="s">
        <v>1467</v>
      </c>
      <c r="R449" s="92">
        <v>3</v>
      </c>
      <c r="S449" s="92">
        <v>179</v>
      </c>
      <c r="T449" s="9">
        <v>44124</v>
      </c>
      <c r="U449" s="9">
        <v>44164</v>
      </c>
    </row>
    <row r="450" spans="1:21" x14ac:dyDescent="0.2">
      <c r="A450" s="10" t="str">
        <f>HYPERLINK("http://www.ofsted.gov.uk/inspection-reports/find-inspection-report/provider/ELS/126006 ","Ofsted School Webpage")</f>
        <v>Ofsted School Webpage</v>
      </c>
      <c r="B450" s="92">
        <v>126006</v>
      </c>
      <c r="C450" s="92">
        <v>9383051</v>
      </c>
      <c r="D450" s="92" t="s">
        <v>1468</v>
      </c>
      <c r="E450" s="92" t="s">
        <v>94</v>
      </c>
      <c r="F450" s="92" t="s">
        <v>345</v>
      </c>
      <c r="G450" s="9" t="s">
        <v>270</v>
      </c>
      <c r="H450" s="92" t="s">
        <v>271</v>
      </c>
      <c r="I450" s="92" t="s">
        <v>272</v>
      </c>
      <c r="J450" s="92" t="s">
        <v>346</v>
      </c>
      <c r="K450" s="92" t="s">
        <v>273</v>
      </c>
      <c r="L450" s="92" t="s">
        <v>347</v>
      </c>
      <c r="M450" s="92" t="s">
        <v>192</v>
      </c>
      <c r="N450" s="92" t="s">
        <v>192</v>
      </c>
      <c r="O450" s="92" t="s">
        <v>200</v>
      </c>
      <c r="P450" s="92" t="s">
        <v>1469</v>
      </c>
      <c r="Q450" s="92" t="s">
        <v>1470</v>
      </c>
      <c r="R450" s="92">
        <v>1</v>
      </c>
      <c r="S450" s="92">
        <v>133</v>
      </c>
      <c r="T450" s="9">
        <v>44124</v>
      </c>
      <c r="U450" s="9">
        <v>44158</v>
      </c>
    </row>
    <row r="451" spans="1:21" x14ac:dyDescent="0.2">
      <c r="A451" s="10" t="str">
        <f>HYPERLINK("http://www.ofsted.gov.uk/inspection-reports/find-inspection-report/provider/ELS/131209 ","Ofsted School Webpage")</f>
        <v>Ofsted School Webpage</v>
      </c>
      <c r="B451" s="92">
        <v>131209</v>
      </c>
      <c r="C451" s="92">
        <v>8812082</v>
      </c>
      <c r="D451" s="92" t="s">
        <v>1471</v>
      </c>
      <c r="E451" s="92" t="s">
        <v>94</v>
      </c>
      <c r="F451" s="92" t="s">
        <v>269</v>
      </c>
      <c r="G451" s="9">
        <v>35674</v>
      </c>
      <c r="H451" s="92" t="s">
        <v>271</v>
      </c>
      <c r="I451" s="92" t="s">
        <v>272</v>
      </c>
      <c r="J451" s="92" t="s">
        <v>273</v>
      </c>
      <c r="K451" s="92" t="s">
        <v>273</v>
      </c>
      <c r="L451" s="92" t="s">
        <v>274</v>
      </c>
      <c r="M451" s="92" t="s">
        <v>110</v>
      </c>
      <c r="N451" s="92" t="s">
        <v>110</v>
      </c>
      <c r="O451" s="92" t="s">
        <v>119</v>
      </c>
      <c r="P451" s="92" t="s">
        <v>851</v>
      </c>
      <c r="Q451" s="92" t="s">
        <v>1472</v>
      </c>
      <c r="R451" s="92">
        <v>2</v>
      </c>
      <c r="S451" s="92">
        <v>496</v>
      </c>
      <c r="T451" s="9">
        <v>44124</v>
      </c>
      <c r="U451" s="9">
        <v>44152</v>
      </c>
    </row>
    <row r="452" spans="1:21" x14ac:dyDescent="0.2">
      <c r="A452" s="10" t="str">
        <f>HYPERLINK("http://www.ofsted.gov.uk/inspection-reports/find-inspection-report/provider/ELS/104070 ","Ofsted School Webpage")</f>
        <v>Ofsted School Webpage</v>
      </c>
      <c r="B452" s="92">
        <v>104070</v>
      </c>
      <c r="C452" s="92">
        <v>3342065</v>
      </c>
      <c r="D452" s="92" t="s">
        <v>1473</v>
      </c>
      <c r="E452" s="92" t="s">
        <v>94</v>
      </c>
      <c r="F452" s="92" t="s">
        <v>269</v>
      </c>
      <c r="G452" s="9" t="s">
        <v>270</v>
      </c>
      <c r="H452" s="92" t="s">
        <v>271</v>
      </c>
      <c r="I452" s="92" t="s">
        <v>272</v>
      </c>
      <c r="J452" s="92" t="s">
        <v>273</v>
      </c>
      <c r="K452" s="92" t="s">
        <v>273</v>
      </c>
      <c r="L452" s="92" t="s">
        <v>274</v>
      </c>
      <c r="M452" s="92" t="s">
        <v>226</v>
      </c>
      <c r="N452" s="92" t="s">
        <v>226</v>
      </c>
      <c r="O452" s="92" t="s">
        <v>236</v>
      </c>
      <c r="P452" s="92" t="s">
        <v>1322</v>
      </c>
      <c r="Q452" s="92" t="s">
        <v>1474</v>
      </c>
      <c r="R452" s="92">
        <v>5</v>
      </c>
      <c r="S452" s="92">
        <v>523</v>
      </c>
      <c r="T452" s="9">
        <v>44124</v>
      </c>
      <c r="U452" s="9">
        <v>44161</v>
      </c>
    </row>
    <row r="453" spans="1:21" x14ac:dyDescent="0.2">
      <c r="A453" s="10" t="str">
        <f>HYPERLINK("http://www.ofsted.gov.uk/inspection-reports/find-inspection-report/provider/ELS/117160 ","Ofsted School Webpage")</f>
        <v>Ofsted School Webpage</v>
      </c>
      <c r="B453" s="92">
        <v>117160</v>
      </c>
      <c r="C453" s="92">
        <v>9192123</v>
      </c>
      <c r="D453" s="92" t="s">
        <v>1475</v>
      </c>
      <c r="E453" s="92" t="s">
        <v>94</v>
      </c>
      <c r="F453" s="92" t="s">
        <v>269</v>
      </c>
      <c r="G453" s="92" t="s">
        <v>270</v>
      </c>
      <c r="H453" s="92" t="s">
        <v>271</v>
      </c>
      <c r="I453" s="92" t="s">
        <v>272</v>
      </c>
      <c r="J453" s="92" t="s">
        <v>273</v>
      </c>
      <c r="K453" s="92" t="s">
        <v>273</v>
      </c>
      <c r="L453" s="92" t="s">
        <v>274</v>
      </c>
      <c r="M453" s="92" t="s">
        <v>110</v>
      </c>
      <c r="N453" s="92" t="s">
        <v>110</v>
      </c>
      <c r="O453" s="92" t="s">
        <v>117</v>
      </c>
      <c r="P453" s="92" t="s">
        <v>496</v>
      </c>
      <c r="Q453" s="92" t="s">
        <v>1476</v>
      </c>
      <c r="R453" s="92">
        <v>2</v>
      </c>
      <c r="S453" s="92">
        <v>260</v>
      </c>
      <c r="T453" s="9">
        <v>44124</v>
      </c>
      <c r="U453" s="9">
        <v>44157</v>
      </c>
    </row>
    <row r="454" spans="1:21" x14ac:dyDescent="0.2">
      <c r="A454" s="10" t="str">
        <f>HYPERLINK("http://www.ofsted.gov.uk/inspection-reports/find-inspection-report/provider/ELS/132264 ","Ofsted School Webpage")</f>
        <v>Ofsted School Webpage</v>
      </c>
      <c r="B454" s="92">
        <v>132264</v>
      </c>
      <c r="C454" s="92">
        <v>3132079</v>
      </c>
      <c r="D454" s="92" t="s">
        <v>1477</v>
      </c>
      <c r="E454" s="92" t="s">
        <v>94</v>
      </c>
      <c r="F454" s="92" t="s">
        <v>269</v>
      </c>
      <c r="G454" s="9">
        <v>37135</v>
      </c>
      <c r="H454" s="92" t="s">
        <v>271</v>
      </c>
      <c r="I454" s="92" t="s">
        <v>272</v>
      </c>
      <c r="J454" s="92" t="s">
        <v>273</v>
      </c>
      <c r="K454" s="92" t="s">
        <v>273</v>
      </c>
      <c r="L454" s="92" t="s">
        <v>274</v>
      </c>
      <c r="M454" s="92" t="s">
        <v>122</v>
      </c>
      <c r="N454" s="92" t="s">
        <v>122</v>
      </c>
      <c r="O454" s="92" t="s">
        <v>129</v>
      </c>
      <c r="P454" s="92" t="s">
        <v>423</v>
      </c>
      <c r="Q454" s="92" t="s">
        <v>1478</v>
      </c>
      <c r="R454" s="92">
        <v>4</v>
      </c>
      <c r="S454" s="92">
        <v>534</v>
      </c>
      <c r="T454" s="9">
        <v>44124</v>
      </c>
      <c r="U454" s="9">
        <v>44157</v>
      </c>
    </row>
    <row r="455" spans="1:21" x14ac:dyDescent="0.2">
      <c r="A455" s="10" t="str">
        <f>HYPERLINK("http://www.ofsted.gov.uk/inspection-reports/find-inspection-report/provider/ELS/116447 ","Ofsted School Webpage")</f>
        <v>Ofsted School Webpage</v>
      </c>
      <c r="B455" s="92">
        <v>116447</v>
      </c>
      <c r="C455" s="92">
        <v>8504204</v>
      </c>
      <c r="D455" s="92" t="s">
        <v>1479</v>
      </c>
      <c r="E455" s="92" t="s">
        <v>95</v>
      </c>
      <c r="F455" s="92" t="s">
        <v>269</v>
      </c>
      <c r="G455" s="92" t="s">
        <v>270</v>
      </c>
      <c r="H455" s="92" t="s">
        <v>299</v>
      </c>
      <c r="I455" s="92" t="s">
        <v>272</v>
      </c>
      <c r="J455" s="92" t="s">
        <v>273</v>
      </c>
      <c r="K455" s="92" t="s">
        <v>273</v>
      </c>
      <c r="L455" s="92" t="s">
        <v>274</v>
      </c>
      <c r="M455" s="92" t="s">
        <v>192</v>
      </c>
      <c r="N455" s="92" t="s">
        <v>192</v>
      </c>
      <c r="O455" s="92" t="s">
        <v>193</v>
      </c>
      <c r="P455" s="92" t="s">
        <v>1480</v>
      </c>
      <c r="Q455" s="92" t="s">
        <v>1481</v>
      </c>
      <c r="R455" s="92">
        <v>3</v>
      </c>
      <c r="S455" s="92">
        <v>590</v>
      </c>
      <c r="T455" s="9">
        <v>44124</v>
      </c>
      <c r="U455" s="9">
        <v>44158</v>
      </c>
    </row>
    <row r="456" spans="1:21" x14ac:dyDescent="0.2">
      <c r="A456" s="10" t="str">
        <f>HYPERLINK("http://www.ofsted.gov.uk/inspection-reports/find-inspection-report/provider/ELS/103313 ","Ofsted School Webpage")</f>
        <v>Ofsted School Webpage</v>
      </c>
      <c r="B456" s="92">
        <v>103313</v>
      </c>
      <c r="C456" s="92">
        <v>3302284</v>
      </c>
      <c r="D456" s="92" t="s">
        <v>1482</v>
      </c>
      <c r="E456" s="92" t="s">
        <v>94</v>
      </c>
      <c r="F456" s="92" t="s">
        <v>269</v>
      </c>
      <c r="G456" s="9" t="s">
        <v>270</v>
      </c>
      <c r="H456" s="92" t="s">
        <v>271</v>
      </c>
      <c r="I456" s="92" t="s">
        <v>271</v>
      </c>
      <c r="J456" s="92" t="s">
        <v>273</v>
      </c>
      <c r="K456" s="92" t="s">
        <v>273</v>
      </c>
      <c r="L456" s="92" t="s">
        <v>274</v>
      </c>
      <c r="M456" s="92" t="s">
        <v>226</v>
      </c>
      <c r="N456" s="92" t="s">
        <v>226</v>
      </c>
      <c r="O456" s="92" t="s">
        <v>232</v>
      </c>
      <c r="P456" s="92" t="s">
        <v>1483</v>
      </c>
      <c r="Q456" s="92" t="s">
        <v>1484</v>
      </c>
      <c r="R456" s="92">
        <v>5</v>
      </c>
      <c r="S456" s="92">
        <v>211</v>
      </c>
      <c r="T456" s="9">
        <v>44124</v>
      </c>
      <c r="U456" s="9">
        <v>44151</v>
      </c>
    </row>
    <row r="457" spans="1:21" x14ac:dyDescent="0.2">
      <c r="A457" s="10" t="str">
        <f>HYPERLINK("http://www.ofsted.gov.uk/inspection-reports/find-inspection-report/provider/ELS/125819 ","Ofsted School Webpage")</f>
        <v>Ofsted School Webpage</v>
      </c>
      <c r="B457" s="92">
        <v>125819</v>
      </c>
      <c r="C457" s="92">
        <v>9382009</v>
      </c>
      <c r="D457" s="92" t="s">
        <v>1485</v>
      </c>
      <c r="E457" s="92" t="s">
        <v>94</v>
      </c>
      <c r="F457" s="92" t="s">
        <v>269</v>
      </c>
      <c r="G457" s="92" t="s">
        <v>270</v>
      </c>
      <c r="H457" s="92" t="s">
        <v>271</v>
      </c>
      <c r="I457" s="92" t="s">
        <v>272</v>
      </c>
      <c r="J457" s="92" t="s">
        <v>273</v>
      </c>
      <c r="K457" s="92" t="s">
        <v>273</v>
      </c>
      <c r="L457" s="92" t="s">
        <v>274</v>
      </c>
      <c r="M457" s="92" t="s">
        <v>192</v>
      </c>
      <c r="N457" s="92" t="s">
        <v>192</v>
      </c>
      <c r="O457" s="92" t="s">
        <v>200</v>
      </c>
      <c r="P457" s="92" t="s">
        <v>1486</v>
      </c>
      <c r="Q457" s="92" t="s">
        <v>1487</v>
      </c>
      <c r="R457" s="92">
        <v>1</v>
      </c>
      <c r="S457" s="92">
        <v>207</v>
      </c>
      <c r="T457" s="9">
        <v>44124</v>
      </c>
      <c r="U457" s="9">
        <v>44157</v>
      </c>
    </row>
    <row r="458" spans="1:21" x14ac:dyDescent="0.2">
      <c r="A458" s="10" t="str">
        <f>HYPERLINK("http://www.ofsted.gov.uk/inspection-reports/find-inspection-report/provider/ELS/135162 ","Ofsted School Webpage")</f>
        <v>Ofsted School Webpage</v>
      </c>
      <c r="B458" s="92">
        <v>135162</v>
      </c>
      <c r="C458" s="92">
        <v>3833930</v>
      </c>
      <c r="D458" s="92" t="s">
        <v>1488</v>
      </c>
      <c r="E458" s="92" t="s">
        <v>94</v>
      </c>
      <c r="F458" s="92" t="s">
        <v>269</v>
      </c>
      <c r="G458" s="9">
        <v>39326</v>
      </c>
      <c r="H458" s="92" t="s">
        <v>271</v>
      </c>
      <c r="I458" s="92" t="s">
        <v>272</v>
      </c>
      <c r="J458" s="92" t="s">
        <v>273</v>
      </c>
      <c r="K458" s="92" t="s">
        <v>273</v>
      </c>
      <c r="L458" s="92" t="s">
        <v>274</v>
      </c>
      <c r="M458" s="92" t="s">
        <v>261</v>
      </c>
      <c r="N458" s="92" t="s">
        <v>241</v>
      </c>
      <c r="O458" s="92" t="s">
        <v>244</v>
      </c>
      <c r="P458" s="92" t="s">
        <v>1489</v>
      </c>
      <c r="Q458" s="92" t="s">
        <v>1490</v>
      </c>
      <c r="R458" s="92">
        <v>5</v>
      </c>
      <c r="S458" s="92">
        <v>376</v>
      </c>
      <c r="T458" s="9">
        <v>44124</v>
      </c>
      <c r="U458" s="9">
        <v>44165</v>
      </c>
    </row>
    <row r="459" spans="1:21" x14ac:dyDescent="0.2">
      <c r="A459" s="10" t="str">
        <f>HYPERLINK("http://www.ofsted.gov.uk/inspection-reports/find-inspection-report/provider/ELS/122258 ","Ofsted School Webpage")</f>
        <v>Ofsted School Webpage</v>
      </c>
      <c r="B459" s="92">
        <v>122258</v>
      </c>
      <c r="C459" s="92">
        <v>9292407</v>
      </c>
      <c r="D459" s="92" t="s">
        <v>1491</v>
      </c>
      <c r="E459" s="92" t="s">
        <v>94</v>
      </c>
      <c r="F459" s="92" t="s">
        <v>269</v>
      </c>
      <c r="G459" s="9" t="s">
        <v>270</v>
      </c>
      <c r="H459" s="92" t="s">
        <v>271</v>
      </c>
      <c r="I459" s="92" t="s">
        <v>272</v>
      </c>
      <c r="J459" s="92" t="s">
        <v>273</v>
      </c>
      <c r="K459" s="92" t="s">
        <v>273</v>
      </c>
      <c r="L459" s="92" t="s">
        <v>274</v>
      </c>
      <c r="M459" s="92" t="s">
        <v>261</v>
      </c>
      <c r="N459" s="92" t="s">
        <v>155</v>
      </c>
      <c r="O459" s="92" t="s">
        <v>158</v>
      </c>
      <c r="P459" s="92" t="s">
        <v>1492</v>
      </c>
      <c r="Q459" s="92" t="s">
        <v>1493</v>
      </c>
      <c r="R459" s="92">
        <v>5</v>
      </c>
      <c r="S459" s="92">
        <v>247</v>
      </c>
      <c r="T459" s="9">
        <v>44124</v>
      </c>
      <c r="U459" s="9">
        <v>44161</v>
      </c>
    </row>
    <row r="460" spans="1:21" x14ac:dyDescent="0.2">
      <c r="A460" s="10" t="str">
        <f>HYPERLINK("http://www.ofsted.gov.uk/inspection-reports/find-inspection-report/provider/ELS/135215 ","Ofsted School Webpage")</f>
        <v>Ofsted School Webpage</v>
      </c>
      <c r="B460" s="92">
        <v>135215</v>
      </c>
      <c r="C460" s="92">
        <v>3333408</v>
      </c>
      <c r="D460" s="92" t="s">
        <v>1494</v>
      </c>
      <c r="E460" s="92" t="s">
        <v>94</v>
      </c>
      <c r="F460" s="92" t="s">
        <v>269</v>
      </c>
      <c r="G460" s="9">
        <v>39326</v>
      </c>
      <c r="H460" s="92" t="s">
        <v>271</v>
      </c>
      <c r="I460" s="92" t="s">
        <v>272</v>
      </c>
      <c r="J460" s="92" t="s">
        <v>273</v>
      </c>
      <c r="K460" s="92" t="s">
        <v>273</v>
      </c>
      <c r="L460" s="92" t="s">
        <v>274</v>
      </c>
      <c r="M460" s="92" t="s">
        <v>226</v>
      </c>
      <c r="N460" s="92" t="s">
        <v>226</v>
      </c>
      <c r="O460" s="92" t="s">
        <v>228</v>
      </c>
      <c r="P460" s="92" t="s">
        <v>970</v>
      </c>
      <c r="Q460" s="92" t="s">
        <v>1495</v>
      </c>
      <c r="R460" s="92">
        <v>5</v>
      </c>
      <c r="S460" s="92">
        <v>682</v>
      </c>
      <c r="T460" s="9">
        <v>44124</v>
      </c>
      <c r="U460" s="9">
        <v>44158</v>
      </c>
    </row>
    <row r="461" spans="1:21" x14ac:dyDescent="0.2">
      <c r="A461" s="10" t="str">
        <f>HYPERLINK("http://www.ofsted.gov.uk/inspection-reports/find-inspection-report/provider/ELS/111237 ","Ofsted School Webpage")</f>
        <v>Ofsted School Webpage</v>
      </c>
      <c r="B461" s="92">
        <v>111237</v>
      </c>
      <c r="C461" s="92">
        <v>8952720</v>
      </c>
      <c r="D461" s="92" t="s">
        <v>1496</v>
      </c>
      <c r="E461" s="92" t="s">
        <v>94</v>
      </c>
      <c r="F461" s="92" t="s">
        <v>269</v>
      </c>
      <c r="G461" s="92" t="s">
        <v>270</v>
      </c>
      <c r="H461" s="92" t="s">
        <v>271</v>
      </c>
      <c r="I461" s="92" t="s">
        <v>272</v>
      </c>
      <c r="J461" s="92" t="s">
        <v>273</v>
      </c>
      <c r="K461" s="92" t="s">
        <v>273</v>
      </c>
      <c r="L461" s="92" t="s">
        <v>274</v>
      </c>
      <c r="M461" s="92" t="s">
        <v>168</v>
      </c>
      <c r="N461" s="92" t="s">
        <v>168</v>
      </c>
      <c r="O461" s="92" t="s">
        <v>180</v>
      </c>
      <c r="P461" s="92" t="s">
        <v>1497</v>
      </c>
      <c r="Q461" s="92" t="s">
        <v>1498</v>
      </c>
      <c r="R461" s="92">
        <v>3</v>
      </c>
      <c r="S461" s="92">
        <v>255</v>
      </c>
      <c r="T461" s="9">
        <v>44124</v>
      </c>
      <c r="U461" s="9">
        <v>44158</v>
      </c>
    </row>
    <row r="462" spans="1:21" x14ac:dyDescent="0.2">
      <c r="A462" s="10" t="str">
        <f>HYPERLINK("http://www.ofsted.gov.uk/inspection-reports/find-inspection-report/provider/ELS/118377 ","Ofsted School Webpage")</f>
        <v>Ofsted School Webpage</v>
      </c>
      <c r="B462" s="92">
        <v>118377</v>
      </c>
      <c r="C462" s="92">
        <v>8862285</v>
      </c>
      <c r="D462" s="92" t="s">
        <v>1499</v>
      </c>
      <c r="E462" s="92" t="s">
        <v>94</v>
      </c>
      <c r="F462" s="92" t="s">
        <v>397</v>
      </c>
      <c r="G462" s="92" t="s">
        <v>270</v>
      </c>
      <c r="H462" s="92" t="s">
        <v>271</v>
      </c>
      <c r="I462" s="92" t="s">
        <v>272</v>
      </c>
      <c r="J462" s="92" t="s">
        <v>273</v>
      </c>
      <c r="K462" s="92" t="s">
        <v>273</v>
      </c>
      <c r="L462" s="92" t="s">
        <v>274</v>
      </c>
      <c r="M462" s="92" t="s">
        <v>192</v>
      </c>
      <c r="N462" s="92" t="s">
        <v>192</v>
      </c>
      <c r="O462" s="92" t="s">
        <v>194</v>
      </c>
      <c r="P462" s="92" t="s">
        <v>732</v>
      </c>
      <c r="Q462" s="92" t="s">
        <v>1500</v>
      </c>
      <c r="R462" s="92">
        <v>2</v>
      </c>
      <c r="S462" s="92">
        <v>194</v>
      </c>
      <c r="T462" s="9">
        <v>44124</v>
      </c>
      <c r="U462" s="9">
        <v>44157</v>
      </c>
    </row>
    <row r="463" spans="1:21" x14ac:dyDescent="0.2">
      <c r="A463" s="10" t="str">
        <f>HYPERLINK("http://www.ofsted.gov.uk/inspection-reports/find-inspection-report/provider/ELS/132028 ","Ofsted School Webpage")</f>
        <v>Ofsted School Webpage</v>
      </c>
      <c r="B463" s="92">
        <v>132028</v>
      </c>
      <c r="C463" s="92">
        <v>8462002</v>
      </c>
      <c r="D463" s="92" t="s">
        <v>1501</v>
      </c>
      <c r="E463" s="92" t="s">
        <v>94</v>
      </c>
      <c r="F463" s="92" t="s">
        <v>269</v>
      </c>
      <c r="G463" s="9">
        <v>36556</v>
      </c>
      <c r="H463" s="92" t="s">
        <v>271</v>
      </c>
      <c r="I463" s="92" t="s">
        <v>272</v>
      </c>
      <c r="J463" s="92" t="s">
        <v>273</v>
      </c>
      <c r="K463" s="92" t="s">
        <v>273</v>
      </c>
      <c r="L463" s="92" t="s">
        <v>274</v>
      </c>
      <c r="M463" s="92" t="s">
        <v>192</v>
      </c>
      <c r="N463" s="92" t="s">
        <v>192</v>
      </c>
      <c r="O463" s="92" t="s">
        <v>204</v>
      </c>
      <c r="P463" s="92" t="s">
        <v>1502</v>
      </c>
      <c r="Q463" s="92" t="s">
        <v>1503</v>
      </c>
      <c r="R463" s="92">
        <v>5</v>
      </c>
      <c r="S463" s="92">
        <v>226</v>
      </c>
      <c r="T463" s="9">
        <v>44124</v>
      </c>
      <c r="U463" s="9">
        <v>44158</v>
      </c>
    </row>
    <row r="464" spans="1:21" x14ac:dyDescent="0.2">
      <c r="A464" s="10" t="str">
        <f>HYPERLINK("http://www.ofsted.gov.uk/inspection-reports/find-inspection-report/provider/ELS/135052 ","Ofsted School Webpage")</f>
        <v>Ofsted School Webpage</v>
      </c>
      <c r="B464" s="92">
        <v>135052</v>
      </c>
      <c r="C464" s="92">
        <v>8852911</v>
      </c>
      <c r="D464" s="92" t="s">
        <v>1504</v>
      </c>
      <c r="E464" s="92" t="s">
        <v>94</v>
      </c>
      <c r="F464" s="92" t="s">
        <v>269</v>
      </c>
      <c r="G464" s="9">
        <v>39326</v>
      </c>
      <c r="H464" s="92" t="s">
        <v>271</v>
      </c>
      <c r="I464" s="92" t="s">
        <v>272</v>
      </c>
      <c r="J464" s="92" t="s">
        <v>273</v>
      </c>
      <c r="K464" s="92" t="s">
        <v>273</v>
      </c>
      <c r="L464" s="92" t="s">
        <v>274</v>
      </c>
      <c r="M464" s="92" t="s">
        <v>226</v>
      </c>
      <c r="N464" s="92" t="s">
        <v>226</v>
      </c>
      <c r="O464" s="92" t="s">
        <v>238</v>
      </c>
      <c r="P464" s="92" t="s">
        <v>1429</v>
      </c>
      <c r="Q464" s="92" t="s">
        <v>1505</v>
      </c>
      <c r="R464" s="92">
        <v>3</v>
      </c>
      <c r="S464" s="92">
        <v>326</v>
      </c>
      <c r="T464" s="9">
        <v>44124</v>
      </c>
      <c r="U464" s="9">
        <v>44150</v>
      </c>
    </row>
    <row r="465" spans="1:21" x14ac:dyDescent="0.2">
      <c r="A465" s="10" t="str">
        <f>HYPERLINK("http://www.ofsted.gov.uk/inspection-reports/find-inspection-report/provider/ELS/109949 ","Ofsted School Webpage")</f>
        <v>Ofsted School Webpage</v>
      </c>
      <c r="B465" s="92">
        <v>109949</v>
      </c>
      <c r="C465" s="92">
        <v>8693006</v>
      </c>
      <c r="D465" s="92" t="s">
        <v>1506</v>
      </c>
      <c r="E465" s="92" t="s">
        <v>94</v>
      </c>
      <c r="F465" s="92" t="s">
        <v>345</v>
      </c>
      <c r="G465" s="9" t="s">
        <v>270</v>
      </c>
      <c r="H465" s="92" t="s">
        <v>271</v>
      </c>
      <c r="I465" s="92" t="s">
        <v>272</v>
      </c>
      <c r="J465" s="92" t="s">
        <v>346</v>
      </c>
      <c r="K465" s="92" t="s">
        <v>273</v>
      </c>
      <c r="L465" s="92" t="s">
        <v>347</v>
      </c>
      <c r="M465" s="92" t="s">
        <v>192</v>
      </c>
      <c r="N465" s="92" t="s">
        <v>192</v>
      </c>
      <c r="O465" s="92" t="s">
        <v>199</v>
      </c>
      <c r="P465" s="92" t="s">
        <v>391</v>
      </c>
      <c r="Q465" s="92" t="s">
        <v>1507</v>
      </c>
      <c r="R465" s="92">
        <v>1</v>
      </c>
      <c r="S465" s="92">
        <v>147</v>
      </c>
      <c r="T465" s="9">
        <v>44124</v>
      </c>
      <c r="U465" s="9">
        <v>44151</v>
      </c>
    </row>
    <row r="466" spans="1:21" x14ac:dyDescent="0.2">
      <c r="A466" s="10" t="str">
        <f>HYPERLINK("http://www.ofsted.gov.uk/inspection-reports/find-inspection-report/provider/ELS/111253 ","Ofsted School Webpage")</f>
        <v>Ofsted School Webpage</v>
      </c>
      <c r="B466" s="92">
        <v>111253</v>
      </c>
      <c r="C466" s="92">
        <v>8953114</v>
      </c>
      <c r="D466" s="92" t="s">
        <v>1508</v>
      </c>
      <c r="E466" s="92" t="s">
        <v>94</v>
      </c>
      <c r="F466" s="92" t="s">
        <v>345</v>
      </c>
      <c r="G466" s="9" t="s">
        <v>270</v>
      </c>
      <c r="H466" s="92" t="s">
        <v>271</v>
      </c>
      <c r="I466" s="92" t="s">
        <v>272</v>
      </c>
      <c r="J466" s="92" t="s">
        <v>346</v>
      </c>
      <c r="K466" s="92" t="s">
        <v>273</v>
      </c>
      <c r="L466" s="92" t="s">
        <v>347</v>
      </c>
      <c r="M466" s="92" t="s">
        <v>168</v>
      </c>
      <c r="N466" s="92" t="s">
        <v>168</v>
      </c>
      <c r="O466" s="92" t="s">
        <v>180</v>
      </c>
      <c r="P466" s="92" t="s">
        <v>1509</v>
      </c>
      <c r="Q466" s="92" t="s">
        <v>1510</v>
      </c>
      <c r="R466" s="92">
        <v>1</v>
      </c>
      <c r="S466" s="92">
        <v>34</v>
      </c>
      <c r="T466" s="9">
        <v>44124</v>
      </c>
      <c r="U466" s="9">
        <v>44161</v>
      </c>
    </row>
    <row r="467" spans="1:21" x14ac:dyDescent="0.2">
      <c r="A467" s="10" t="str">
        <f>HYPERLINK("http://www.ofsted.gov.uk/inspection-reports/find-inspection-report/provider/ELS/109324 ","Ofsted School Webpage")</f>
        <v>Ofsted School Webpage</v>
      </c>
      <c r="B467" s="92">
        <v>109324</v>
      </c>
      <c r="C467" s="92">
        <v>8034502</v>
      </c>
      <c r="D467" s="92" t="s">
        <v>1511</v>
      </c>
      <c r="E467" s="92" t="s">
        <v>95</v>
      </c>
      <c r="F467" s="92" t="s">
        <v>397</v>
      </c>
      <c r="G467" s="92" t="s">
        <v>270</v>
      </c>
      <c r="H467" s="92" t="s">
        <v>299</v>
      </c>
      <c r="I467" s="92" t="s">
        <v>300</v>
      </c>
      <c r="J467" s="92" t="s">
        <v>410</v>
      </c>
      <c r="K467" s="92" t="s">
        <v>273</v>
      </c>
      <c r="L467" s="92" t="s">
        <v>274</v>
      </c>
      <c r="M467" s="92" t="s">
        <v>211</v>
      </c>
      <c r="N467" s="92" t="s">
        <v>211</v>
      </c>
      <c r="O467" s="92" t="s">
        <v>216</v>
      </c>
      <c r="P467" s="92" t="s">
        <v>1512</v>
      </c>
      <c r="Q467" s="92" t="s">
        <v>1513</v>
      </c>
      <c r="R467" s="92">
        <v>1</v>
      </c>
      <c r="S467" s="92">
        <v>734</v>
      </c>
      <c r="T467" s="9">
        <v>44124</v>
      </c>
      <c r="U467" s="9">
        <v>44152</v>
      </c>
    </row>
    <row r="468" spans="1:21" x14ac:dyDescent="0.2">
      <c r="A468" s="10" t="str">
        <f>HYPERLINK("http://www.ofsted.gov.uk/inspection-reports/find-inspection-report/provider/ELS/135531 ","Ofsted School Webpage")</f>
        <v>Ofsted School Webpage</v>
      </c>
      <c r="B468" s="92">
        <v>135531</v>
      </c>
      <c r="C468" s="92">
        <v>2076905</v>
      </c>
      <c r="D468" s="92" t="s">
        <v>1514</v>
      </c>
      <c r="E468" s="92" t="s">
        <v>95</v>
      </c>
      <c r="F468" s="92" t="s">
        <v>409</v>
      </c>
      <c r="G468" s="9">
        <v>40057</v>
      </c>
      <c r="H468" s="92" t="s">
        <v>299</v>
      </c>
      <c r="I468" s="92" t="s">
        <v>300</v>
      </c>
      <c r="J468" s="92" t="s">
        <v>346</v>
      </c>
      <c r="K468" s="92" t="s">
        <v>410</v>
      </c>
      <c r="L468" s="92" t="s">
        <v>347</v>
      </c>
      <c r="M468" s="92" t="s">
        <v>122</v>
      </c>
      <c r="N468" s="92" t="s">
        <v>122</v>
      </c>
      <c r="O468" s="92" t="s">
        <v>125</v>
      </c>
      <c r="P468" s="92" t="s">
        <v>854</v>
      </c>
      <c r="Q468" s="92" t="s">
        <v>1515</v>
      </c>
      <c r="R468" s="92">
        <v>4</v>
      </c>
      <c r="S468" s="92">
        <v>1137</v>
      </c>
      <c r="T468" s="9">
        <v>44124</v>
      </c>
      <c r="U468" s="9">
        <v>44160</v>
      </c>
    </row>
    <row r="469" spans="1:21" x14ac:dyDescent="0.2">
      <c r="A469" s="10" t="str">
        <f>HYPERLINK("http://www.ofsted.gov.uk/inspection-reports/find-inspection-report/provider/ELS/122382 ","Ofsted School Webpage")</f>
        <v>Ofsted School Webpage</v>
      </c>
      <c r="B469" s="92">
        <v>122382</v>
      </c>
      <c r="C469" s="92">
        <v>9297003</v>
      </c>
      <c r="D469" s="92" t="s">
        <v>1516</v>
      </c>
      <c r="E469" s="92" t="s">
        <v>96</v>
      </c>
      <c r="F469" s="92" t="s">
        <v>401</v>
      </c>
      <c r="G469" s="92" t="s">
        <v>270</v>
      </c>
      <c r="H469" s="92" t="s">
        <v>271</v>
      </c>
      <c r="I469" s="92" t="s">
        <v>300</v>
      </c>
      <c r="J469" s="92" t="s">
        <v>273</v>
      </c>
      <c r="K469" s="92" t="s">
        <v>273</v>
      </c>
      <c r="L469" s="92" t="s">
        <v>274</v>
      </c>
      <c r="M469" s="92" t="s">
        <v>261</v>
      </c>
      <c r="N469" s="92" t="s">
        <v>155</v>
      </c>
      <c r="O469" s="92" t="s">
        <v>158</v>
      </c>
      <c r="P469" s="92" t="s">
        <v>1517</v>
      </c>
      <c r="Q469" s="92" t="s">
        <v>1518</v>
      </c>
      <c r="R469" s="92">
        <v>4</v>
      </c>
      <c r="S469" s="92">
        <v>187</v>
      </c>
      <c r="T469" s="9">
        <v>44124</v>
      </c>
      <c r="U469" s="9">
        <v>44157</v>
      </c>
    </row>
    <row r="470" spans="1:21" x14ac:dyDescent="0.2">
      <c r="A470" s="10" t="str">
        <f>HYPERLINK("http://www.ofsted.gov.uk/inspection-reports/find-inspection-report/provider/ELS/113656 ","Ofsted School Webpage")</f>
        <v>Ofsted School Webpage</v>
      </c>
      <c r="B470" s="92">
        <v>113656</v>
      </c>
      <c r="C470" s="92">
        <v>8787087</v>
      </c>
      <c r="D470" s="92" t="s">
        <v>1519</v>
      </c>
      <c r="E470" s="92" t="s">
        <v>96</v>
      </c>
      <c r="F470" s="92" t="s">
        <v>610</v>
      </c>
      <c r="G470" s="9">
        <v>1</v>
      </c>
      <c r="H470" s="92" t="s">
        <v>271</v>
      </c>
      <c r="I470" s="92" t="s">
        <v>300</v>
      </c>
      <c r="J470" s="92" t="s">
        <v>273</v>
      </c>
      <c r="K470" s="92" t="s">
        <v>273</v>
      </c>
      <c r="L470" s="92" t="s">
        <v>274</v>
      </c>
      <c r="M470" s="92" t="s">
        <v>211</v>
      </c>
      <c r="N470" s="92" t="s">
        <v>211</v>
      </c>
      <c r="O470" s="92" t="s">
        <v>220</v>
      </c>
      <c r="P470" s="92" t="s">
        <v>1011</v>
      </c>
      <c r="Q470" s="92" t="s">
        <v>1520</v>
      </c>
      <c r="R470" s="92">
        <v>3</v>
      </c>
      <c r="S470" s="92">
        <v>178</v>
      </c>
      <c r="T470" s="9">
        <v>44124</v>
      </c>
      <c r="U470" s="9">
        <v>44157</v>
      </c>
    </row>
    <row r="471" spans="1:21" x14ac:dyDescent="0.2">
      <c r="A471" s="10" t="str">
        <f>HYPERLINK("http://www.ofsted.gov.uk/inspection-reports/find-inspection-report/provider/ELS/130908 ","Ofsted School Webpage")</f>
        <v>Ofsted School Webpage</v>
      </c>
      <c r="B471" s="92">
        <v>130908</v>
      </c>
      <c r="C471" s="92">
        <v>8066907</v>
      </c>
      <c r="D471" s="92" t="s">
        <v>1521</v>
      </c>
      <c r="E471" s="92" t="s">
        <v>95</v>
      </c>
      <c r="F471" s="92" t="s">
        <v>409</v>
      </c>
      <c r="G471" s="9">
        <v>38596</v>
      </c>
      <c r="H471" s="92" t="s">
        <v>299</v>
      </c>
      <c r="I471" s="92" t="s">
        <v>300</v>
      </c>
      <c r="J471" s="92" t="s">
        <v>273</v>
      </c>
      <c r="K471" s="92" t="s">
        <v>410</v>
      </c>
      <c r="L471" s="92" t="s">
        <v>274</v>
      </c>
      <c r="M471" s="92" t="s">
        <v>261</v>
      </c>
      <c r="N471" s="92" t="s">
        <v>155</v>
      </c>
      <c r="O471" s="92" t="s">
        <v>162</v>
      </c>
      <c r="P471" s="92" t="s">
        <v>162</v>
      </c>
      <c r="Q471" s="92" t="s">
        <v>1522</v>
      </c>
      <c r="R471" s="92">
        <v>5</v>
      </c>
      <c r="S471" s="92">
        <v>1554</v>
      </c>
      <c r="T471" s="9">
        <v>44124</v>
      </c>
      <c r="U471" s="9">
        <v>44182</v>
      </c>
    </row>
    <row r="472" spans="1:21" x14ac:dyDescent="0.2">
      <c r="A472" s="10" t="str">
        <f>HYPERLINK("http://www.ofsted.gov.uk/inspection-reports/find-inspection-report/provider/ELS/138034 ","Ofsted School Webpage")</f>
        <v>Ofsted School Webpage</v>
      </c>
      <c r="B472" s="92">
        <v>138034</v>
      </c>
      <c r="C472" s="92">
        <v>8862232</v>
      </c>
      <c r="D472" s="92" t="s">
        <v>1523</v>
      </c>
      <c r="E472" s="92" t="s">
        <v>94</v>
      </c>
      <c r="F472" s="92" t="s">
        <v>429</v>
      </c>
      <c r="G472" s="9">
        <v>41000</v>
      </c>
      <c r="H472" s="92" t="s">
        <v>271</v>
      </c>
      <c r="I472" s="92" t="s">
        <v>272</v>
      </c>
      <c r="J472" s="92" t="s">
        <v>273</v>
      </c>
      <c r="K472" s="92" t="s">
        <v>273</v>
      </c>
      <c r="L472" s="92" t="s">
        <v>274</v>
      </c>
      <c r="M472" s="92" t="s">
        <v>192</v>
      </c>
      <c r="N472" s="92" t="s">
        <v>192</v>
      </c>
      <c r="O472" s="92" t="s">
        <v>194</v>
      </c>
      <c r="P472" s="92" t="s">
        <v>1218</v>
      </c>
      <c r="Q472" s="92" t="s">
        <v>1524</v>
      </c>
      <c r="R472" s="92">
        <v>3</v>
      </c>
      <c r="S472" s="92">
        <v>188</v>
      </c>
      <c r="T472" s="9">
        <v>44124</v>
      </c>
      <c r="U472" s="9">
        <v>44159</v>
      </c>
    </row>
    <row r="473" spans="1:21" x14ac:dyDescent="0.2">
      <c r="A473" s="10" t="str">
        <f>HYPERLINK("http://www.ofsted.gov.uk/inspection-reports/find-inspection-report/provider/ELS/137680 ","Ofsted School Webpage")</f>
        <v>Ofsted School Webpage</v>
      </c>
      <c r="B473" s="92">
        <v>137680</v>
      </c>
      <c r="C473" s="92">
        <v>9255205</v>
      </c>
      <c r="D473" s="92" t="s">
        <v>1525</v>
      </c>
      <c r="E473" s="92" t="s">
        <v>94</v>
      </c>
      <c r="F473" s="92" t="s">
        <v>429</v>
      </c>
      <c r="G473" s="9">
        <v>40878</v>
      </c>
      <c r="H473" s="92" t="s">
        <v>299</v>
      </c>
      <c r="I473" s="92" t="s">
        <v>271</v>
      </c>
      <c r="J473" s="92" t="s">
        <v>410</v>
      </c>
      <c r="K473" s="92" t="s">
        <v>273</v>
      </c>
      <c r="L473" s="92" t="s">
        <v>274</v>
      </c>
      <c r="M473" s="92" t="s">
        <v>100</v>
      </c>
      <c r="N473" s="92" t="s">
        <v>100</v>
      </c>
      <c r="O473" s="92" t="s">
        <v>104</v>
      </c>
      <c r="P473" s="92" t="s">
        <v>1290</v>
      </c>
      <c r="Q473" s="92" t="s">
        <v>1526</v>
      </c>
      <c r="R473" s="92">
        <v>1</v>
      </c>
      <c r="S473" s="92">
        <v>651</v>
      </c>
      <c r="T473" s="9">
        <v>44124</v>
      </c>
      <c r="U473" s="9">
        <v>44151</v>
      </c>
    </row>
    <row r="474" spans="1:21" x14ac:dyDescent="0.2">
      <c r="A474" s="10" t="str">
        <f>HYPERLINK("http://www.ofsted.gov.uk/inspection-reports/find-inspection-report/provider/ELS/138844 ","Ofsted School Webpage")</f>
        <v>Ofsted School Webpage</v>
      </c>
      <c r="B474" s="92">
        <v>138844</v>
      </c>
      <c r="C474" s="92">
        <v>8235408</v>
      </c>
      <c r="D474" s="92" t="s">
        <v>1527</v>
      </c>
      <c r="E474" s="92" t="s">
        <v>95</v>
      </c>
      <c r="F474" s="92" t="s">
        <v>429</v>
      </c>
      <c r="G474" s="9">
        <v>41183</v>
      </c>
      <c r="H474" s="92" t="s">
        <v>271</v>
      </c>
      <c r="I474" s="92" t="s">
        <v>272</v>
      </c>
      <c r="J474" s="92" t="s">
        <v>346</v>
      </c>
      <c r="K474" s="92" t="s">
        <v>273</v>
      </c>
      <c r="L474" s="92" t="s">
        <v>347</v>
      </c>
      <c r="M474" s="92" t="s">
        <v>110</v>
      </c>
      <c r="N474" s="92" t="s">
        <v>110</v>
      </c>
      <c r="O474" s="92" t="s">
        <v>120</v>
      </c>
      <c r="P474" s="92" t="s">
        <v>1150</v>
      </c>
      <c r="Q474" s="92" t="s">
        <v>1528</v>
      </c>
      <c r="R474" s="92">
        <v>1</v>
      </c>
      <c r="S474" s="92">
        <v>684</v>
      </c>
      <c r="T474" s="9">
        <v>44124</v>
      </c>
      <c r="U474" s="9">
        <v>44152</v>
      </c>
    </row>
    <row r="475" spans="1:21" x14ac:dyDescent="0.2">
      <c r="A475" s="10" t="str">
        <f>HYPERLINK("http://www.ofsted.gov.uk/inspection-reports/find-inspection-report/provider/ELS/135886 ","Ofsted School Webpage")</f>
        <v>Ofsted School Webpage</v>
      </c>
      <c r="B475" s="92">
        <v>135886</v>
      </c>
      <c r="C475" s="92">
        <v>9296906</v>
      </c>
      <c r="D475" s="92" t="s">
        <v>1529</v>
      </c>
      <c r="E475" s="92" t="s">
        <v>95</v>
      </c>
      <c r="F475" s="92" t="s">
        <v>409</v>
      </c>
      <c r="G475" s="9">
        <v>40057</v>
      </c>
      <c r="H475" s="92" t="s">
        <v>299</v>
      </c>
      <c r="I475" s="92" t="s">
        <v>300</v>
      </c>
      <c r="J475" s="92" t="s">
        <v>346</v>
      </c>
      <c r="K475" s="92" t="s">
        <v>410</v>
      </c>
      <c r="L475" s="92" t="s">
        <v>347</v>
      </c>
      <c r="M475" s="92" t="s">
        <v>261</v>
      </c>
      <c r="N475" s="92" t="s">
        <v>155</v>
      </c>
      <c r="O475" s="92" t="s">
        <v>158</v>
      </c>
      <c r="P475" s="92" t="s">
        <v>1517</v>
      </c>
      <c r="Q475" s="92" t="s">
        <v>1530</v>
      </c>
      <c r="R475" s="92">
        <v>5</v>
      </c>
      <c r="S475" s="92">
        <v>949</v>
      </c>
      <c r="T475" s="9">
        <v>44124</v>
      </c>
      <c r="U475" s="9">
        <v>44160</v>
      </c>
    </row>
    <row r="476" spans="1:21" x14ac:dyDescent="0.2">
      <c r="A476" s="10" t="str">
        <f>HYPERLINK("http://www.ofsted.gov.uk/inspection-reports/find-inspection-report/provider/ELS/141353 ","Ofsted School Webpage")</f>
        <v>Ofsted School Webpage</v>
      </c>
      <c r="B476" s="92">
        <v>141353</v>
      </c>
      <c r="C476" s="92">
        <v>8782044</v>
      </c>
      <c r="D476" s="92" t="s">
        <v>1531</v>
      </c>
      <c r="E476" s="92" t="s">
        <v>94</v>
      </c>
      <c r="F476" s="92" t="s">
        <v>409</v>
      </c>
      <c r="G476" s="9">
        <v>41974</v>
      </c>
      <c r="H476" s="92" t="s">
        <v>271</v>
      </c>
      <c r="I476" s="92" t="s">
        <v>272</v>
      </c>
      <c r="J476" s="92" t="s">
        <v>273</v>
      </c>
      <c r="K476" s="92" t="s">
        <v>410</v>
      </c>
      <c r="L476" s="92" t="s">
        <v>274</v>
      </c>
      <c r="M476" s="92" t="s">
        <v>211</v>
      </c>
      <c r="N476" s="92" t="s">
        <v>211</v>
      </c>
      <c r="O476" s="92" t="s">
        <v>220</v>
      </c>
      <c r="P476" s="92" t="s">
        <v>1011</v>
      </c>
      <c r="Q476" s="92" t="s">
        <v>1532</v>
      </c>
      <c r="R476" s="92">
        <v>2</v>
      </c>
      <c r="S476" s="92">
        <v>317</v>
      </c>
      <c r="T476" s="9">
        <v>44124</v>
      </c>
      <c r="U476" s="9">
        <v>44152</v>
      </c>
    </row>
    <row r="477" spans="1:21" x14ac:dyDescent="0.2">
      <c r="A477" s="10" t="str">
        <f>HYPERLINK("http://www.ofsted.gov.uk/inspection-reports/find-inspection-report/provider/ELS/137852 ","Ofsted School Webpage")</f>
        <v>Ofsted School Webpage</v>
      </c>
      <c r="B477" s="92">
        <v>137852</v>
      </c>
      <c r="C477" s="92">
        <v>3904605</v>
      </c>
      <c r="D477" s="92" t="s">
        <v>1533</v>
      </c>
      <c r="E477" s="92" t="s">
        <v>95</v>
      </c>
      <c r="F477" s="92" t="s">
        <v>429</v>
      </c>
      <c r="G477" s="9">
        <v>40940</v>
      </c>
      <c r="H477" s="92" t="s">
        <v>299</v>
      </c>
      <c r="I477" s="92" t="s">
        <v>300</v>
      </c>
      <c r="J477" s="92" t="s">
        <v>352</v>
      </c>
      <c r="K477" s="92" t="s">
        <v>273</v>
      </c>
      <c r="L477" s="92" t="s">
        <v>347</v>
      </c>
      <c r="M477" s="92" t="s">
        <v>261</v>
      </c>
      <c r="N477" s="92" t="s">
        <v>155</v>
      </c>
      <c r="O477" s="92" t="s">
        <v>166</v>
      </c>
      <c r="P477" s="92" t="s">
        <v>166</v>
      </c>
      <c r="Q477" s="92" t="s">
        <v>1534</v>
      </c>
      <c r="R477" s="92">
        <v>4</v>
      </c>
      <c r="S477" s="92">
        <v>1494</v>
      </c>
      <c r="T477" s="9">
        <v>44124</v>
      </c>
      <c r="U477" s="9">
        <v>44165</v>
      </c>
    </row>
    <row r="478" spans="1:21" x14ac:dyDescent="0.2">
      <c r="A478" s="10" t="str">
        <f>HYPERLINK("http://www.ofsted.gov.uk/inspection-reports/find-inspection-report/provider/ELS/138793 ","Ofsted School Webpage")</f>
        <v>Ofsted School Webpage</v>
      </c>
      <c r="B478" s="92">
        <v>138793</v>
      </c>
      <c r="C478" s="92">
        <v>9262027</v>
      </c>
      <c r="D478" s="92" t="s">
        <v>1535</v>
      </c>
      <c r="E478" s="92" t="s">
        <v>94</v>
      </c>
      <c r="F478" s="92" t="s">
        <v>409</v>
      </c>
      <c r="G478" s="9">
        <v>41153</v>
      </c>
      <c r="H478" s="92" t="s">
        <v>271</v>
      </c>
      <c r="I478" s="92" t="s">
        <v>271</v>
      </c>
      <c r="J478" s="92" t="s">
        <v>273</v>
      </c>
      <c r="K478" s="92" t="s">
        <v>410</v>
      </c>
      <c r="L478" s="92" t="s">
        <v>274</v>
      </c>
      <c r="M478" s="92" t="s">
        <v>110</v>
      </c>
      <c r="N478" s="92" t="s">
        <v>110</v>
      </c>
      <c r="O478" s="92" t="s">
        <v>118</v>
      </c>
      <c r="P478" s="92" t="s">
        <v>1280</v>
      </c>
      <c r="Q478" s="92" t="s">
        <v>1536</v>
      </c>
      <c r="R478" s="92">
        <v>5</v>
      </c>
      <c r="S478" s="92">
        <v>400</v>
      </c>
      <c r="T478" s="9">
        <v>44124</v>
      </c>
      <c r="U478" s="9">
        <v>44158</v>
      </c>
    </row>
    <row r="479" spans="1:21" x14ac:dyDescent="0.2">
      <c r="A479" s="10" t="str">
        <f>HYPERLINK("http://www.ofsted.gov.uk/inspection-reports/find-inspection-report/provider/ELS/139803 ","Ofsted School Webpage")</f>
        <v>Ofsted School Webpage</v>
      </c>
      <c r="B479" s="92">
        <v>139803</v>
      </c>
      <c r="C479" s="92">
        <v>9352001</v>
      </c>
      <c r="D479" s="92" t="s">
        <v>1537</v>
      </c>
      <c r="E479" s="92" t="s">
        <v>94</v>
      </c>
      <c r="F479" s="92" t="s">
        <v>409</v>
      </c>
      <c r="G479" s="9">
        <v>41487</v>
      </c>
      <c r="H479" s="92" t="s">
        <v>271</v>
      </c>
      <c r="I479" s="92" t="s">
        <v>272</v>
      </c>
      <c r="J479" s="92" t="s">
        <v>273</v>
      </c>
      <c r="K479" s="92" t="s">
        <v>410</v>
      </c>
      <c r="L479" s="92" t="s">
        <v>274</v>
      </c>
      <c r="M479" s="92" t="s">
        <v>110</v>
      </c>
      <c r="N479" s="92" t="s">
        <v>110</v>
      </c>
      <c r="O479" s="92" t="s">
        <v>114</v>
      </c>
      <c r="P479" s="92" t="s">
        <v>328</v>
      </c>
      <c r="Q479" s="92" t="s">
        <v>1538</v>
      </c>
      <c r="R479" s="92">
        <v>4</v>
      </c>
      <c r="S479" s="92">
        <v>608</v>
      </c>
      <c r="T479" s="9">
        <v>44124</v>
      </c>
      <c r="U479" s="9">
        <v>44159</v>
      </c>
    </row>
    <row r="480" spans="1:21" x14ac:dyDescent="0.2">
      <c r="A480" s="10" t="str">
        <f>HYPERLINK("http://www.ofsted.gov.uk/inspection-reports/find-inspection-report/provider/ELS/136571 ","Ofsted School Webpage")</f>
        <v>Ofsted School Webpage</v>
      </c>
      <c r="B480" s="92">
        <v>136571</v>
      </c>
      <c r="C480" s="92">
        <v>8864172</v>
      </c>
      <c r="D480" s="92" t="s">
        <v>1539</v>
      </c>
      <c r="E480" s="92" t="s">
        <v>95</v>
      </c>
      <c r="F480" s="92" t="s">
        <v>429</v>
      </c>
      <c r="G480" s="9">
        <v>40634</v>
      </c>
      <c r="H480" s="92" t="s">
        <v>299</v>
      </c>
      <c r="I480" s="92" t="s">
        <v>300</v>
      </c>
      <c r="J480" s="92" t="s">
        <v>273</v>
      </c>
      <c r="K480" s="92" t="s">
        <v>273</v>
      </c>
      <c r="L480" s="92" t="s">
        <v>274</v>
      </c>
      <c r="M480" s="92" t="s">
        <v>192</v>
      </c>
      <c r="N480" s="92" t="s">
        <v>192</v>
      </c>
      <c r="O480" s="92" t="s">
        <v>194</v>
      </c>
      <c r="P480" s="92" t="s">
        <v>1141</v>
      </c>
      <c r="Q480" s="92" t="s">
        <v>1540</v>
      </c>
      <c r="R480" s="92">
        <v>5</v>
      </c>
      <c r="S480" s="92">
        <v>658</v>
      </c>
      <c r="T480" s="9">
        <v>44124</v>
      </c>
      <c r="U480" s="9">
        <v>44152</v>
      </c>
    </row>
    <row r="481" spans="1:21" x14ac:dyDescent="0.2">
      <c r="A481" s="10" t="str">
        <f>HYPERLINK("http://www.ofsted.gov.uk/inspection-reports/find-inspection-report/provider/ELS/139030 ","Ofsted School Webpage")</f>
        <v>Ofsted School Webpage</v>
      </c>
      <c r="B481" s="92">
        <v>139030</v>
      </c>
      <c r="C481" s="92">
        <v>9282150</v>
      </c>
      <c r="D481" s="92" t="s">
        <v>1541</v>
      </c>
      <c r="E481" s="92" t="s">
        <v>94</v>
      </c>
      <c r="F481" s="92" t="s">
        <v>429</v>
      </c>
      <c r="G481" s="9">
        <v>41244</v>
      </c>
      <c r="H481" s="92" t="s">
        <v>271</v>
      </c>
      <c r="I481" s="92" t="s">
        <v>272</v>
      </c>
      <c r="J481" s="92" t="s">
        <v>273</v>
      </c>
      <c r="K481" s="92" t="s">
        <v>273</v>
      </c>
      <c r="L481" s="92" t="s">
        <v>274</v>
      </c>
      <c r="M481" s="92" t="s">
        <v>100</v>
      </c>
      <c r="N481" s="92" t="s">
        <v>100</v>
      </c>
      <c r="O481" s="92" t="s">
        <v>107</v>
      </c>
      <c r="P481" s="92" t="s">
        <v>1542</v>
      </c>
      <c r="Q481" s="92" t="s">
        <v>1543</v>
      </c>
      <c r="R481" s="92">
        <v>1</v>
      </c>
      <c r="S481" s="92">
        <v>168</v>
      </c>
      <c r="T481" s="9">
        <v>44124</v>
      </c>
      <c r="U481" s="9">
        <v>44159</v>
      </c>
    </row>
    <row r="482" spans="1:21" x14ac:dyDescent="0.2">
      <c r="A482" s="10" t="str">
        <f>HYPERLINK("http://www.ofsted.gov.uk/inspection-reports/find-inspection-report/provider/ELS/139006 ","Ofsted School Webpage")</f>
        <v>Ofsted School Webpage</v>
      </c>
      <c r="B482" s="92">
        <v>139006</v>
      </c>
      <c r="C482" s="92">
        <v>3702016</v>
      </c>
      <c r="D482" s="92" t="s">
        <v>1544</v>
      </c>
      <c r="E482" s="92" t="s">
        <v>94</v>
      </c>
      <c r="F482" s="92" t="s">
        <v>409</v>
      </c>
      <c r="G482" s="9">
        <v>41244</v>
      </c>
      <c r="H482" s="92" t="s">
        <v>271</v>
      </c>
      <c r="I482" s="92" t="s">
        <v>272</v>
      </c>
      <c r="J482" s="92" t="s">
        <v>273</v>
      </c>
      <c r="K482" s="92" t="s">
        <v>410</v>
      </c>
      <c r="L482" s="92" t="s">
        <v>274</v>
      </c>
      <c r="M482" s="92" t="s">
        <v>261</v>
      </c>
      <c r="N482" s="92" t="s">
        <v>241</v>
      </c>
      <c r="O482" s="92" t="s">
        <v>255</v>
      </c>
      <c r="P482" s="92" t="s">
        <v>1545</v>
      </c>
      <c r="Q482" s="92" t="s">
        <v>1546</v>
      </c>
      <c r="R482" s="92">
        <v>4</v>
      </c>
      <c r="S482" s="92">
        <v>257</v>
      </c>
      <c r="T482" s="9">
        <v>44124</v>
      </c>
      <c r="U482" s="9">
        <v>44185</v>
      </c>
    </row>
    <row r="483" spans="1:21" x14ac:dyDescent="0.2">
      <c r="A483" s="10" t="str">
        <f>HYPERLINK("http://www.ofsted.gov.uk/inspection-reports/find-inspection-report/provider/ELS/140149 ","Ofsted School Webpage")</f>
        <v>Ofsted School Webpage</v>
      </c>
      <c r="B483" s="92">
        <v>140149</v>
      </c>
      <c r="C483" s="92">
        <v>8614711</v>
      </c>
      <c r="D483" s="92" t="s">
        <v>1547</v>
      </c>
      <c r="E483" s="92" t="s">
        <v>95</v>
      </c>
      <c r="F483" s="92" t="s">
        <v>429</v>
      </c>
      <c r="G483" s="9">
        <v>41518</v>
      </c>
      <c r="H483" s="92" t="s">
        <v>299</v>
      </c>
      <c r="I483" s="92" t="s">
        <v>300</v>
      </c>
      <c r="J483" s="92" t="s">
        <v>352</v>
      </c>
      <c r="K483" s="92" t="s">
        <v>273</v>
      </c>
      <c r="L483" s="92" t="s">
        <v>347</v>
      </c>
      <c r="M483" s="92" t="s">
        <v>226</v>
      </c>
      <c r="N483" s="92" t="s">
        <v>226</v>
      </c>
      <c r="O483" s="92" t="s">
        <v>234</v>
      </c>
      <c r="P483" s="92" t="s">
        <v>1548</v>
      </c>
      <c r="Q483" s="92" t="s">
        <v>1549</v>
      </c>
      <c r="R483" s="92">
        <v>5</v>
      </c>
      <c r="S483" s="92">
        <v>1102</v>
      </c>
      <c r="T483" s="9">
        <v>44124</v>
      </c>
      <c r="U483" s="9">
        <v>44158</v>
      </c>
    </row>
    <row r="484" spans="1:21" x14ac:dyDescent="0.2">
      <c r="A484" s="10" t="str">
        <f>HYPERLINK("http://www.ofsted.gov.uk/inspection-reports/find-inspection-report/provider/ELS/141801 ","Ofsted School Webpage")</f>
        <v>Ofsted School Webpage</v>
      </c>
      <c r="B484" s="92">
        <v>141801</v>
      </c>
      <c r="C484" s="92">
        <v>9332177</v>
      </c>
      <c r="D484" s="92" t="s">
        <v>1550</v>
      </c>
      <c r="E484" s="92" t="s">
        <v>94</v>
      </c>
      <c r="F484" s="92" t="s">
        <v>429</v>
      </c>
      <c r="G484" s="9">
        <v>42064</v>
      </c>
      <c r="H484" s="92" t="s">
        <v>271</v>
      </c>
      <c r="I484" s="92" t="s">
        <v>272</v>
      </c>
      <c r="J484" s="92" t="s">
        <v>273</v>
      </c>
      <c r="K484" s="92" t="s">
        <v>273</v>
      </c>
      <c r="L484" s="92" t="s">
        <v>274</v>
      </c>
      <c r="M484" s="92" t="s">
        <v>211</v>
      </c>
      <c r="N484" s="92" t="s">
        <v>211</v>
      </c>
      <c r="O484" s="92" t="s">
        <v>218</v>
      </c>
      <c r="P484" s="92" t="s">
        <v>414</v>
      </c>
      <c r="Q484" s="92" t="s">
        <v>1551</v>
      </c>
      <c r="R484" s="92">
        <v>2</v>
      </c>
      <c r="S484" s="92">
        <v>65</v>
      </c>
      <c r="T484" s="9">
        <v>44124</v>
      </c>
      <c r="U484" s="9">
        <v>44157</v>
      </c>
    </row>
    <row r="485" spans="1:21" x14ac:dyDescent="0.2">
      <c r="A485" s="10" t="str">
        <f>HYPERLINK("http://www.ofsted.gov.uk/inspection-reports/find-inspection-report/provider/ELS/137251 ","Ofsted School Webpage")</f>
        <v>Ofsted School Webpage</v>
      </c>
      <c r="B485" s="92">
        <v>137251</v>
      </c>
      <c r="C485" s="92">
        <v>9095407</v>
      </c>
      <c r="D485" s="92" t="s">
        <v>1552</v>
      </c>
      <c r="E485" s="92" t="s">
        <v>95</v>
      </c>
      <c r="F485" s="92" t="s">
        <v>429</v>
      </c>
      <c r="G485" s="9">
        <v>40756</v>
      </c>
      <c r="H485" s="92" t="s">
        <v>299</v>
      </c>
      <c r="I485" s="92" t="s">
        <v>300</v>
      </c>
      <c r="J485" s="92" t="s">
        <v>410</v>
      </c>
      <c r="K485" s="92" t="s">
        <v>273</v>
      </c>
      <c r="L485" s="92" t="s">
        <v>274</v>
      </c>
      <c r="M485" s="92" t="s">
        <v>168</v>
      </c>
      <c r="N485" s="92" t="s">
        <v>168</v>
      </c>
      <c r="O485" s="92" t="s">
        <v>176</v>
      </c>
      <c r="P485" s="92" t="s">
        <v>678</v>
      </c>
      <c r="Q485" s="92" t="s">
        <v>1553</v>
      </c>
      <c r="R485" s="92">
        <v>1</v>
      </c>
      <c r="S485" s="92">
        <v>375</v>
      </c>
      <c r="T485" s="9">
        <v>44124</v>
      </c>
      <c r="U485" s="9">
        <v>44165</v>
      </c>
    </row>
    <row r="486" spans="1:21" x14ac:dyDescent="0.2">
      <c r="A486" s="10" t="str">
        <f>HYPERLINK("http://www.ofsted.gov.uk/inspection-reports/find-inspection-report/provider/ELS/141734 ","Ofsted School Webpage")</f>
        <v>Ofsted School Webpage</v>
      </c>
      <c r="B486" s="92">
        <v>141734</v>
      </c>
      <c r="C486" s="92">
        <v>3202005</v>
      </c>
      <c r="D486" s="92" t="s">
        <v>1554</v>
      </c>
      <c r="E486" s="92" t="s">
        <v>94</v>
      </c>
      <c r="F486" s="92" t="s">
        <v>429</v>
      </c>
      <c r="G486" s="9">
        <v>42036</v>
      </c>
      <c r="H486" s="92" t="s">
        <v>271</v>
      </c>
      <c r="I486" s="92" t="s">
        <v>272</v>
      </c>
      <c r="J486" s="92" t="s">
        <v>273</v>
      </c>
      <c r="K486" s="92" t="s">
        <v>273</v>
      </c>
      <c r="L486" s="92" t="s">
        <v>274</v>
      </c>
      <c r="M486" s="92" t="s">
        <v>122</v>
      </c>
      <c r="N486" s="92" t="s">
        <v>122</v>
      </c>
      <c r="O486" s="92" t="s">
        <v>143</v>
      </c>
      <c r="P486" s="92" t="s">
        <v>1555</v>
      </c>
      <c r="Q486" s="92" t="s">
        <v>1556</v>
      </c>
      <c r="R486" s="92">
        <v>4</v>
      </c>
      <c r="S486" s="92">
        <v>713</v>
      </c>
      <c r="T486" s="9">
        <v>44124</v>
      </c>
      <c r="U486" s="9">
        <v>44158</v>
      </c>
    </row>
    <row r="487" spans="1:21" x14ac:dyDescent="0.2">
      <c r="A487" s="10" t="str">
        <f>HYPERLINK("http://www.ofsted.gov.uk/inspection-reports/find-inspection-report/provider/ELS/139032 ","Ofsted School Webpage")</f>
        <v>Ofsted School Webpage</v>
      </c>
      <c r="B487" s="92">
        <v>139032</v>
      </c>
      <c r="C487" s="92">
        <v>8013408</v>
      </c>
      <c r="D487" s="92" t="s">
        <v>1557</v>
      </c>
      <c r="E487" s="92" t="s">
        <v>94</v>
      </c>
      <c r="F487" s="92" t="s">
        <v>429</v>
      </c>
      <c r="G487" s="9">
        <v>41244</v>
      </c>
      <c r="H487" s="92" t="s">
        <v>271</v>
      </c>
      <c r="I487" s="92" t="s">
        <v>272</v>
      </c>
      <c r="J487" s="92" t="s">
        <v>352</v>
      </c>
      <c r="K487" s="92" t="s">
        <v>273</v>
      </c>
      <c r="L487" s="92" t="s">
        <v>347</v>
      </c>
      <c r="M487" s="92" t="s">
        <v>211</v>
      </c>
      <c r="N487" s="92" t="s">
        <v>211</v>
      </c>
      <c r="O487" s="92" t="s">
        <v>212</v>
      </c>
      <c r="P487" s="92" t="s">
        <v>1160</v>
      </c>
      <c r="Q487" s="92" t="s">
        <v>1558</v>
      </c>
      <c r="R487" s="92">
        <v>5</v>
      </c>
      <c r="S487" s="92">
        <v>163</v>
      </c>
      <c r="T487" s="9">
        <v>44124</v>
      </c>
      <c r="U487" s="9">
        <v>44152</v>
      </c>
    </row>
    <row r="488" spans="1:21" x14ac:dyDescent="0.2">
      <c r="A488" s="10" t="str">
        <f>HYPERLINK("http://www.ofsted.gov.uk/inspection-reports/find-inspection-report/provider/ELS/140598 ","Ofsted School Webpage")</f>
        <v>Ofsted School Webpage</v>
      </c>
      <c r="B488" s="92">
        <v>140598</v>
      </c>
      <c r="C488" s="92">
        <v>8952340</v>
      </c>
      <c r="D488" s="92" t="s">
        <v>1559</v>
      </c>
      <c r="E488" s="92" t="s">
        <v>94</v>
      </c>
      <c r="F488" s="92" t="s">
        <v>429</v>
      </c>
      <c r="G488" s="9">
        <v>41671</v>
      </c>
      <c r="H488" s="92" t="s">
        <v>271</v>
      </c>
      <c r="I488" s="92" t="s">
        <v>272</v>
      </c>
      <c r="J488" s="92" t="s">
        <v>273</v>
      </c>
      <c r="K488" s="92" t="s">
        <v>273</v>
      </c>
      <c r="L488" s="92" t="s">
        <v>274</v>
      </c>
      <c r="M488" s="92" t="s">
        <v>168</v>
      </c>
      <c r="N488" s="92" t="s">
        <v>168</v>
      </c>
      <c r="O488" s="92" t="s">
        <v>180</v>
      </c>
      <c r="P488" s="92" t="s">
        <v>1509</v>
      </c>
      <c r="Q488" s="92" t="s">
        <v>1560</v>
      </c>
      <c r="R488" s="92">
        <v>1</v>
      </c>
      <c r="S488" s="92">
        <v>208</v>
      </c>
      <c r="T488" s="9">
        <v>44124</v>
      </c>
      <c r="U488" s="9">
        <v>44166</v>
      </c>
    </row>
    <row r="489" spans="1:21" x14ac:dyDescent="0.2">
      <c r="A489" s="10" t="str">
        <f>HYPERLINK("http://www.ofsted.gov.uk/inspection-reports/find-inspection-report/provider/ELS/140647 ","Ofsted School Webpage")</f>
        <v>Ofsted School Webpage</v>
      </c>
      <c r="B489" s="92">
        <v>140647</v>
      </c>
      <c r="C489" s="92">
        <v>8953805</v>
      </c>
      <c r="D489" s="92" t="s">
        <v>1561</v>
      </c>
      <c r="E489" s="92" t="s">
        <v>94</v>
      </c>
      <c r="F489" s="92" t="s">
        <v>429</v>
      </c>
      <c r="G489" s="9">
        <v>41699</v>
      </c>
      <c r="H489" s="92" t="s">
        <v>271</v>
      </c>
      <c r="I489" s="92" t="s">
        <v>272</v>
      </c>
      <c r="J489" s="92" t="s">
        <v>273</v>
      </c>
      <c r="K489" s="92" t="s">
        <v>273</v>
      </c>
      <c r="L489" s="92" t="s">
        <v>274</v>
      </c>
      <c r="M489" s="92" t="s">
        <v>168</v>
      </c>
      <c r="N489" s="92" t="s">
        <v>168</v>
      </c>
      <c r="O489" s="92" t="s">
        <v>180</v>
      </c>
      <c r="P489" s="92" t="s">
        <v>939</v>
      </c>
      <c r="Q489" s="92" t="s">
        <v>1562</v>
      </c>
      <c r="R489" s="92">
        <v>4</v>
      </c>
      <c r="S489" s="92">
        <v>443</v>
      </c>
      <c r="T489" s="9">
        <v>44124</v>
      </c>
      <c r="U489" s="9">
        <v>44168</v>
      </c>
    </row>
    <row r="490" spans="1:21" x14ac:dyDescent="0.2">
      <c r="A490" s="10" t="str">
        <f>HYPERLINK("http://www.ofsted.gov.uk/inspection-reports/find-inspection-report/provider/ELS/143165 ","Ofsted School Webpage")</f>
        <v>Ofsted School Webpage</v>
      </c>
      <c r="B490" s="92">
        <v>143165</v>
      </c>
      <c r="C490" s="92">
        <v>9082413</v>
      </c>
      <c r="D490" s="92" t="s">
        <v>1563</v>
      </c>
      <c r="E490" s="92" t="s">
        <v>94</v>
      </c>
      <c r="F490" s="92" t="s">
        <v>429</v>
      </c>
      <c r="G490" s="9">
        <v>42614</v>
      </c>
      <c r="H490" s="92" t="s">
        <v>271</v>
      </c>
      <c r="I490" s="92" t="s">
        <v>272</v>
      </c>
      <c r="J490" s="92" t="s">
        <v>273</v>
      </c>
      <c r="K490" s="92" t="s">
        <v>273</v>
      </c>
      <c r="L490" s="92" t="s">
        <v>274</v>
      </c>
      <c r="M490" s="92" t="s">
        <v>211</v>
      </c>
      <c r="N490" s="92" t="s">
        <v>211</v>
      </c>
      <c r="O490" s="92" t="s">
        <v>219</v>
      </c>
      <c r="P490" s="92" t="s">
        <v>442</v>
      </c>
      <c r="Q490" s="92" t="s">
        <v>1564</v>
      </c>
      <c r="R490" s="92">
        <v>5</v>
      </c>
      <c r="S490" s="92">
        <v>231</v>
      </c>
      <c r="T490" s="9">
        <v>44124</v>
      </c>
      <c r="U490" s="9">
        <v>44152</v>
      </c>
    </row>
    <row r="491" spans="1:21" x14ac:dyDescent="0.2">
      <c r="A491" s="10" t="str">
        <f>HYPERLINK("http://www.ofsted.gov.uk/inspection-reports/find-inspection-report/provider/ELS/137594 ","Ofsted School Webpage")</f>
        <v>Ofsted School Webpage</v>
      </c>
      <c r="B491" s="92">
        <v>137594</v>
      </c>
      <c r="C491" s="92">
        <v>8737092</v>
      </c>
      <c r="D491" s="92" t="s">
        <v>1565</v>
      </c>
      <c r="E491" s="92" t="s">
        <v>96</v>
      </c>
      <c r="F491" s="92" t="s">
        <v>1095</v>
      </c>
      <c r="G491" s="9">
        <v>40787</v>
      </c>
      <c r="H491" s="92" t="s">
        <v>271</v>
      </c>
      <c r="I491" s="92" t="s">
        <v>271</v>
      </c>
      <c r="J491" s="92" t="s">
        <v>273</v>
      </c>
      <c r="K491" s="92" t="s">
        <v>410</v>
      </c>
      <c r="L491" s="92" t="s">
        <v>274</v>
      </c>
      <c r="M491" s="92" t="s">
        <v>110</v>
      </c>
      <c r="N491" s="92" t="s">
        <v>110</v>
      </c>
      <c r="O491" s="92" t="s">
        <v>112</v>
      </c>
      <c r="P491" s="92" t="s">
        <v>445</v>
      </c>
      <c r="Q491" s="92" t="s">
        <v>1566</v>
      </c>
      <c r="R491" s="92">
        <v>2</v>
      </c>
      <c r="S491" s="92">
        <v>85</v>
      </c>
      <c r="T491" s="9">
        <v>44124</v>
      </c>
      <c r="U491" s="9">
        <v>44161</v>
      </c>
    </row>
    <row r="492" spans="1:21" x14ac:dyDescent="0.2">
      <c r="A492" s="10" t="str">
        <f>HYPERLINK("http://www.ofsted.gov.uk/inspection-reports/find-inspection-report/provider/ELS/144893 ","Ofsted School Webpage")</f>
        <v>Ofsted School Webpage</v>
      </c>
      <c r="B492" s="92">
        <v>144893</v>
      </c>
      <c r="C492" s="92">
        <v>3055950</v>
      </c>
      <c r="D492" s="92" t="s">
        <v>1567</v>
      </c>
      <c r="E492" s="92" t="s">
        <v>96</v>
      </c>
      <c r="F492" s="92" t="s">
        <v>1095</v>
      </c>
      <c r="G492" s="9">
        <v>42979</v>
      </c>
      <c r="H492" s="92" t="s">
        <v>271</v>
      </c>
      <c r="I492" s="92" t="s">
        <v>300</v>
      </c>
      <c r="J492" s="92" t="s">
        <v>273</v>
      </c>
      <c r="K492" s="92" t="s">
        <v>273</v>
      </c>
      <c r="L492" s="92" t="s">
        <v>274</v>
      </c>
      <c r="M492" s="92" t="s">
        <v>122</v>
      </c>
      <c r="N492" s="92" t="s">
        <v>122</v>
      </c>
      <c r="O492" s="92" t="s">
        <v>139</v>
      </c>
      <c r="P492" s="92" t="s">
        <v>894</v>
      </c>
      <c r="Q492" s="92" t="s">
        <v>1568</v>
      </c>
      <c r="R492" s="92">
        <v>4</v>
      </c>
      <c r="S492" s="92">
        <v>224</v>
      </c>
      <c r="T492" s="9">
        <v>44124</v>
      </c>
      <c r="U492" s="9">
        <v>44160</v>
      </c>
    </row>
    <row r="493" spans="1:21" x14ac:dyDescent="0.2">
      <c r="A493" s="10" t="str">
        <f>HYPERLINK("http://www.ofsted.gov.uk/inspection-reports/find-inspection-report/provider/ELS/144864 ","Ofsted School Webpage")</f>
        <v>Ofsted School Webpage</v>
      </c>
      <c r="B493" s="92">
        <v>144864</v>
      </c>
      <c r="C493" s="92">
        <v>8012099</v>
      </c>
      <c r="D493" s="92" t="s">
        <v>1569</v>
      </c>
      <c r="E493" s="92" t="s">
        <v>94</v>
      </c>
      <c r="F493" s="92" t="s">
        <v>429</v>
      </c>
      <c r="G493" s="9">
        <v>42948</v>
      </c>
      <c r="H493" s="92" t="s">
        <v>271</v>
      </c>
      <c r="I493" s="92" t="s">
        <v>272</v>
      </c>
      <c r="J493" s="92" t="s">
        <v>273</v>
      </c>
      <c r="K493" s="92" t="s">
        <v>273</v>
      </c>
      <c r="L493" s="92" t="s">
        <v>274</v>
      </c>
      <c r="M493" s="92" t="s">
        <v>211</v>
      </c>
      <c r="N493" s="92" t="s">
        <v>211</v>
      </c>
      <c r="O493" s="92" t="s">
        <v>212</v>
      </c>
      <c r="P493" s="92" t="s">
        <v>426</v>
      </c>
      <c r="Q493" s="92" t="s">
        <v>1570</v>
      </c>
      <c r="R493" s="92">
        <v>4</v>
      </c>
      <c r="S493" s="92">
        <v>456</v>
      </c>
      <c r="T493" s="9">
        <v>44124</v>
      </c>
      <c r="U493" s="9">
        <v>44157</v>
      </c>
    </row>
    <row r="494" spans="1:21" x14ac:dyDescent="0.2">
      <c r="A494" s="10" t="str">
        <f>HYPERLINK("http://www.ofsted.gov.uk/inspection-reports/find-inspection-report/provider/ELS/136278 ","Ofsted School Webpage")</f>
        <v>Ofsted School Webpage</v>
      </c>
      <c r="B494" s="92">
        <v>136278</v>
      </c>
      <c r="C494" s="92">
        <v>8955401</v>
      </c>
      <c r="D494" s="92" t="s">
        <v>1571</v>
      </c>
      <c r="E494" s="92" t="s">
        <v>95</v>
      </c>
      <c r="F494" s="92" t="s">
        <v>429</v>
      </c>
      <c r="G494" s="9">
        <v>40422</v>
      </c>
      <c r="H494" s="92" t="s">
        <v>299</v>
      </c>
      <c r="I494" s="92" t="s">
        <v>300</v>
      </c>
      <c r="J494" s="92" t="s">
        <v>410</v>
      </c>
      <c r="K494" s="92" t="s">
        <v>273</v>
      </c>
      <c r="L494" s="92" t="s">
        <v>274</v>
      </c>
      <c r="M494" s="92" t="s">
        <v>168</v>
      </c>
      <c r="N494" s="92" t="s">
        <v>168</v>
      </c>
      <c r="O494" s="92" t="s">
        <v>180</v>
      </c>
      <c r="P494" s="92" t="s">
        <v>1509</v>
      </c>
      <c r="Q494" s="92" t="s">
        <v>1572</v>
      </c>
      <c r="R494" s="92">
        <v>1</v>
      </c>
      <c r="S494" s="92">
        <v>1529</v>
      </c>
      <c r="T494" s="9">
        <v>44125</v>
      </c>
      <c r="U494" s="9">
        <v>44167</v>
      </c>
    </row>
    <row r="495" spans="1:21" x14ac:dyDescent="0.2">
      <c r="A495" s="10" t="str">
        <f>HYPERLINK("http://www.ofsted.gov.uk/inspection-reports/find-inspection-report/provider/ELS/111424 ","Ofsted School Webpage")</f>
        <v>Ofsted School Webpage</v>
      </c>
      <c r="B495" s="92">
        <v>111424</v>
      </c>
      <c r="C495" s="92">
        <v>8964158</v>
      </c>
      <c r="D495" s="92" t="s">
        <v>1573</v>
      </c>
      <c r="E495" s="92" t="s">
        <v>95</v>
      </c>
      <c r="F495" s="92" t="s">
        <v>397</v>
      </c>
      <c r="G495" s="92" t="s">
        <v>270</v>
      </c>
      <c r="H495" s="92" t="s">
        <v>299</v>
      </c>
      <c r="I495" s="92" t="s">
        <v>300</v>
      </c>
      <c r="J495" s="92" t="s">
        <v>410</v>
      </c>
      <c r="K495" s="92" t="s">
        <v>273</v>
      </c>
      <c r="L495" s="92" t="s">
        <v>274</v>
      </c>
      <c r="M495" s="92" t="s">
        <v>168</v>
      </c>
      <c r="N495" s="92" t="s">
        <v>168</v>
      </c>
      <c r="O495" s="92" t="s">
        <v>175</v>
      </c>
      <c r="P495" s="92" t="s">
        <v>1138</v>
      </c>
      <c r="Q495" s="92" t="s">
        <v>1574</v>
      </c>
      <c r="R495" s="92">
        <v>1</v>
      </c>
      <c r="S495" s="92">
        <v>1306</v>
      </c>
      <c r="T495" s="9">
        <v>44125</v>
      </c>
      <c r="U495" s="9">
        <v>44159</v>
      </c>
    </row>
    <row r="496" spans="1:21" x14ac:dyDescent="0.2">
      <c r="A496" s="10" t="str">
        <f>HYPERLINK("http://www.ofsted.gov.uk/inspection-reports/find-inspection-report/provider/ELS/120572 ","Ofsted School Webpage")</f>
        <v>Ofsted School Webpage</v>
      </c>
      <c r="B496" s="92">
        <v>120572</v>
      </c>
      <c r="C496" s="92">
        <v>9253124</v>
      </c>
      <c r="D496" s="92" t="s">
        <v>1575</v>
      </c>
      <c r="E496" s="92" t="s">
        <v>94</v>
      </c>
      <c r="F496" s="92" t="s">
        <v>345</v>
      </c>
      <c r="G496" s="92" t="s">
        <v>270</v>
      </c>
      <c r="H496" s="92" t="s">
        <v>271</v>
      </c>
      <c r="I496" s="92" t="s">
        <v>272</v>
      </c>
      <c r="J496" s="92" t="s">
        <v>346</v>
      </c>
      <c r="K496" s="92" t="s">
        <v>273</v>
      </c>
      <c r="L496" s="92" t="s">
        <v>347</v>
      </c>
      <c r="M496" s="92" t="s">
        <v>100</v>
      </c>
      <c r="N496" s="92" t="s">
        <v>100</v>
      </c>
      <c r="O496" s="92" t="s">
        <v>104</v>
      </c>
      <c r="P496" s="92" t="s">
        <v>1050</v>
      </c>
      <c r="Q496" s="92" t="s">
        <v>1576</v>
      </c>
      <c r="R496" s="92">
        <v>3</v>
      </c>
      <c r="S496" s="92">
        <v>59</v>
      </c>
      <c r="T496" s="9">
        <v>44125</v>
      </c>
      <c r="U496" s="9">
        <v>44160</v>
      </c>
    </row>
    <row r="497" spans="1:21" x14ac:dyDescent="0.2">
      <c r="A497" s="10" t="str">
        <f>HYPERLINK("http://www.ofsted.gov.uk/inspection-reports/find-inspection-report/provider/ELS/112322 ","Ofsted School Webpage")</f>
        <v>Ofsted School Webpage</v>
      </c>
      <c r="B497" s="92">
        <v>112322</v>
      </c>
      <c r="C497" s="92">
        <v>9093365</v>
      </c>
      <c r="D497" s="92" t="s">
        <v>1577</v>
      </c>
      <c r="E497" s="92" t="s">
        <v>94</v>
      </c>
      <c r="F497" s="92" t="s">
        <v>351</v>
      </c>
      <c r="G497" s="92" t="s">
        <v>270</v>
      </c>
      <c r="H497" s="92" t="s">
        <v>271</v>
      </c>
      <c r="I497" s="92" t="s">
        <v>272</v>
      </c>
      <c r="J497" s="92" t="s">
        <v>346</v>
      </c>
      <c r="K497" s="92" t="s">
        <v>273</v>
      </c>
      <c r="L497" s="92" t="s">
        <v>347</v>
      </c>
      <c r="M497" s="92" t="s">
        <v>168</v>
      </c>
      <c r="N497" s="92" t="s">
        <v>168</v>
      </c>
      <c r="O497" s="92" t="s">
        <v>176</v>
      </c>
      <c r="P497" s="92" t="s">
        <v>1578</v>
      </c>
      <c r="Q497" s="92" t="s">
        <v>1579</v>
      </c>
      <c r="R497" s="92">
        <v>3</v>
      </c>
      <c r="S497" s="92">
        <v>193</v>
      </c>
      <c r="T497" s="9">
        <v>44125</v>
      </c>
      <c r="U497" s="9">
        <v>44158</v>
      </c>
    </row>
    <row r="498" spans="1:21" x14ac:dyDescent="0.2">
      <c r="A498" s="10" t="str">
        <f>HYPERLINK("http://www.ofsted.gov.uk/inspection-reports/find-inspection-report/provider/ELS/112282 ","Ofsted School Webpage")</f>
        <v>Ofsted School Webpage</v>
      </c>
      <c r="B498" s="92">
        <v>112282</v>
      </c>
      <c r="C498" s="92">
        <v>9093125</v>
      </c>
      <c r="D498" s="92" t="s">
        <v>1580</v>
      </c>
      <c r="E498" s="92" t="s">
        <v>94</v>
      </c>
      <c r="F498" s="92" t="s">
        <v>345</v>
      </c>
      <c r="G498" s="92" t="s">
        <v>270</v>
      </c>
      <c r="H498" s="92" t="s">
        <v>271</v>
      </c>
      <c r="I498" s="92" t="s">
        <v>272</v>
      </c>
      <c r="J498" s="92" t="s">
        <v>346</v>
      </c>
      <c r="K498" s="92" t="s">
        <v>273</v>
      </c>
      <c r="L498" s="92" t="s">
        <v>347</v>
      </c>
      <c r="M498" s="92" t="s">
        <v>168</v>
      </c>
      <c r="N498" s="92" t="s">
        <v>168</v>
      </c>
      <c r="O498" s="92" t="s">
        <v>176</v>
      </c>
      <c r="P498" s="92" t="s">
        <v>1578</v>
      </c>
      <c r="Q498" s="92" t="s">
        <v>1581</v>
      </c>
      <c r="R498" s="92">
        <v>1</v>
      </c>
      <c r="S498" s="92">
        <v>103</v>
      </c>
      <c r="T498" s="9">
        <v>44125</v>
      </c>
      <c r="U498" s="9">
        <v>44171</v>
      </c>
    </row>
    <row r="499" spans="1:21" x14ac:dyDescent="0.2">
      <c r="A499" s="10" t="str">
        <f>HYPERLINK("http://www.ofsted.gov.uk/inspection-reports/find-inspection-report/provider/ELS/104074 ","Ofsted School Webpage")</f>
        <v>Ofsted School Webpage</v>
      </c>
      <c r="B499" s="92">
        <v>104074</v>
      </c>
      <c r="C499" s="92">
        <v>3342082</v>
      </c>
      <c r="D499" s="92" t="s">
        <v>1582</v>
      </c>
      <c r="E499" s="92" t="s">
        <v>94</v>
      </c>
      <c r="F499" s="92" t="s">
        <v>269</v>
      </c>
      <c r="G499" s="92" t="s">
        <v>270</v>
      </c>
      <c r="H499" s="92" t="s">
        <v>271</v>
      </c>
      <c r="I499" s="92" t="s">
        <v>272</v>
      </c>
      <c r="J499" s="92" t="s">
        <v>273</v>
      </c>
      <c r="K499" s="92" t="s">
        <v>273</v>
      </c>
      <c r="L499" s="92" t="s">
        <v>274</v>
      </c>
      <c r="M499" s="92" t="s">
        <v>226</v>
      </c>
      <c r="N499" s="92" t="s">
        <v>226</v>
      </c>
      <c r="O499" s="92" t="s">
        <v>236</v>
      </c>
      <c r="P499" s="92" t="s">
        <v>1322</v>
      </c>
      <c r="Q499" s="92" t="s">
        <v>1583</v>
      </c>
      <c r="R499" s="92">
        <v>1</v>
      </c>
      <c r="S499" s="92">
        <v>255</v>
      </c>
      <c r="T499" s="9">
        <v>44125</v>
      </c>
      <c r="U499" s="9">
        <v>44154</v>
      </c>
    </row>
    <row r="500" spans="1:21" x14ac:dyDescent="0.2">
      <c r="A500" s="10" t="str">
        <f>HYPERLINK("http://www.ofsted.gov.uk/inspection-reports/find-inspection-report/provider/ELS/121942 ","Ofsted School Webpage")</f>
        <v>Ofsted School Webpage</v>
      </c>
      <c r="B500" s="92">
        <v>121942</v>
      </c>
      <c r="C500" s="92">
        <v>9282206</v>
      </c>
      <c r="D500" s="92" t="s">
        <v>1584</v>
      </c>
      <c r="E500" s="92" t="s">
        <v>94</v>
      </c>
      <c r="F500" s="92" t="s">
        <v>269</v>
      </c>
      <c r="G500" s="92" t="s">
        <v>270</v>
      </c>
      <c r="H500" s="92" t="s">
        <v>271</v>
      </c>
      <c r="I500" s="92" t="s">
        <v>272</v>
      </c>
      <c r="J500" s="92" t="s">
        <v>273</v>
      </c>
      <c r="K500" s="92" t="s">
        <v>273</v>
      </c>
      <c r="L500" s="92" t="s">
        <v>274</v>
      </c>
      <c r="M500" s="92" t="s">
        <v>100</v>
      </c>
      <c r="N500" s="92" t="s">
        <v>100</v>
      </c>
      <c r="O500" s="92" t="s">
        <v>107</v>
      </c>
      <c r="P500" s="92" t="s">
        <v>1419</v>
      </c>
      <c r="Q500" s="92" t="s">
        <v>1585</v>
      </c>
      <c r="R500" s="92">
        <v>3</v>
      </c>
      <c r="S500" s="92">
        <v>453</v>
      </c>
      <c r="T500" s="9">
        <v>44125</v>
      </c>
      <c r="U500" s="9">
        <v>44151</v>
      </c>
    </row>
    <row r="501" spans="1:21" x14ac:dyDescent="0.2">
      <c r="A501" s="10" t="str">
        <f>HYPERLINK("http://www.ofsted.gov.uk/inspection-reports/find-inspection-report/provider/ELS/100013 ","Ofsted School Webpage")</f>
        <v>Ofsted School Webpage</v>
      </c>
      <c r="B501" s="92">
        <v>100013</v>
      </c>
      <c r="C501" s="92">
        <v>2022184</v>
      </c>
      <c r="D501" s="92" t="s">
        <v>1586</v>
      </c>
      <c r="E501" s="92" t="s">
        <v>94</v>
      </c>
      <c r="F501" s="92" t="s">
        <v>269</v>
      </c>
      <c r="G501" s="92" t="s">
        <v>270</v>
      </c>
      <c r="H501" s="92" t="s">
        <v>271</v>
      </c>
      <c r="I501" s="92" t="s">
        <v>272</v>
      </c>
      <c r="J501" s="92" t="s">
        <v>273</v>
      </c>
      <c r="K501" s="92" t="s">
        <v>273</v>
      </c>
      <c r="L501" s="92" t="s">
        <v>274</v>
      </c>
      <c r="M501" s="92" t="s">
        <v>122</v>
      </c>
      <c r="N501" s="92" t="s">
        <v>122</v>
      </c>
      <c r="O501" s="92" t="s">
        <v>127</v>
      </c>
      <c r="P501" s="92" t="s">
        <v>1411</v>
      </c>
      <c r="Q501" s="92" t="s">
        <v>1587</v>
      </c>
      <c r="R501" s="92">
        <v>5</v>
      </c>
      <c r="S501" s="92">
        <v>197</v>
      </c>
      <c r="T501" s="9">
        <v>44125</v>
      </c>
      <c r="U501" s="9">
        <v>44166</v>
      </c>
    </row>
    <row r="502" spans="1:21" x14ac:dyDescent="0.2">
      <c r="A502" s="10" t="str">
        <f>HYPERLINK("http://www.ofsted.gov.uk/inspection-reports/find-inspection-report/provider/ELS/103044 ","Ofsted School Webpage")</f>
        <v>Ofsted School Webpage</v>
      </c>
      <c r="B502" s="92">
        <v>103044</v>
      </c>
      <c r="C502" s="92">
        <v>3202017</v>
      </c>
      <c r="D502" s="92" t="s">
        <v>1588</v>
      </c>
      <c r="E502" s="92" t="s">
        <v>94</v>
      </c>
      <c r="F502" s="92" t="s">
        <v>269</v>
      </c>
      <c r="G502" s="92" t="s">
        <v>270</v>
      </c>
      <c r="H502" s="92" t="s">
        <v>271</v>
      </c>
      <c r="I502" s="92" t="s">
        <v>272</v>
      </c>
      <c r="J502" s="92" t="s">
        <v>273</v>
      </c>
      <c r="K502" s="92" t="s">
        <v>273</v>
      </c>
      <c r="L502" s="92" t="s">
        <v>274</v>
      </c>
      <c r="M502" s="92" t="s">
        <v>122</v>
      </c>
      <c r="N502" s="92" t="s">
        <v>122</v>
      </c>
      <c r="O502" s="92" t="s">
        <v>143</v>
      </c>
      <c r="P502" s="92" t="s">
        <v>1589</v>
      </c>
      <c r="Q502" s="92" t="s">
        <v>1590</v>
      </c>
      <c r="R502" s="92">
        <v>4</v>
      </c>
      <c r="S502" s="92">
        <v>578</v>
      </c>
      <c r="T502" s="9">
        <v>44125</v>
      </c>
      <c r="U502" s="9">
        <v>44167</v>
      </c>
    </row>
    <row r="503" spans="1:21" x14ac:dyDescent="0.2">
      <c r="A503" s="10" t="str">
        <f>HYPERLINK("http://www.ofsted.gov.uk/inspection-reports/find-inspection-report/provider/ELS/112316 ","Ofsted School Webpage")</f>
        <v>Ofsted School Webpage</v>
      </c>
      <c r="B503" s="92">
        <v>112316</v>
      </c>
      <c r="C503" s="92">
        <v>9093357</v>
      </c>
      <c r="D503" s="92" t="s">
        <v>1591</v>
      </c>
      <c r="E503" s="92" t="s">
        <v>94</v>
      </c>
      <c r="F503" s="92" t="s">
        <v>351</v>
      </c>
      <c r="G503" s="92" t="s">
        <v>270</v>
      </c>
      <c r="H503" s="92" t="s">
        <v>271</v>
      </c>
      <c r="I503" s="92" t="s">
        <v>272</v>
      </c>
      <c r="J503" s="92" t="s">
        <v>346</v>
      </c>
      <c r="K503" s="92" t="s">
        <v>273</v>
      </c>
      <c r="L503" s="92" t="s">
        <v>347</v>
      </c>
      <c r="M503" s="92" t="s">
        <v>168</v>
      </c>
      <c r="N503" s="92" t="s">
        <v>168</v>
      </c>
      <c r="O503" s="92" t="s">
        <v>176</v>
      </c>
      <c r="P503" s="92" t="s">
        <v>1578</v>
      </c>
      <c r="Q503" s="92" t="s">
        <v>1592</v>
      </c>
      <c r="R503" s="92">
        <v>1</v>
      </c>
      <c r="S503" s="92">
        <v>76</v>
      </c>
      <c r="T503" s="9">
        <v>44125</v>
      </c>
      <c r="U503" s="9">
        <v>44165</v>
      </c>
    </row>
    <row r="504" spans="1:21" x14ac:dyDescent="0.2">
      <c r="A504" s="10" t="str">
        <f>HYPERLINK("http://www.ofsted.gov.uk/inspection-reports/find-inspection-report/provider/ELS/100437 ","Ofsted School Webpage")</f>
        <v>Ofsted School Webpage</v>
      </c>
      <c r="B504" s="92">
        <v>100437</v>
      </c>
      <c r="C504" s="92">
        <v>2063384</v>
      </c>
      <c r="D504" s="92" t="s">
        <v>1593</v>
      </c>
      <c r="E504" s="92" t="s">
        <v>94</v>
      </c>
      <c r="F504" s="92" t="s">
        <v>351</v>
      </c>
      <c r="G504" s="92" t="s">
        <v>270</v>
      </c>
      <c r="H504" s="92" t="s">
        <v>271</v>
      </c>
      <c r="I504" s="92" t="s">
        <v>272</v>
      </c>
      <c r="J504" s="92" t="s">
        <v>352</v>
      </c>
      <c r="K504" s="92" t="s">
        <v>273</v>
      </c>
      <c r="L504" s="92" t="s">
        <v>347</v>
      </c>
      <c r="M504" s="92" t="s">
        <v>122</v>
      </c>
      <c r="N504" s="92" t="s">
        <v>122</v>
      </c>
      <c r="O504" s="92" t="s">
        <v>133</v>
      </c>
      <c r="P504" s="92" t="s">
        <v>553</v>
      </c>
      <c r="Q504" s="92" t="s">
        <v>1594</v>
      </c>
      <c r="R504" s="92">
        <v>5</v>
      </c>
      <c r="S504" s="92">
        <v>472</v>
      </c>
      <c r="T504" s="9">
        <v>44125</v>
      </c>
      <c r="U504" s="9">
        <v>44159</v>
      </c>
    </row>
    <row r="505" spans="1:21" x14ac:dyDescent="0.2">
      <c r="A505" s="10" t="str">
        <f>HYPERLINK("http://www.ofsted.gov.uk/inspection-reports/find-inspection-report/provider/ELS/111351 ","Ofsted School Webpage")</f>
        <v>Ofsted School Webpage</v>
      </c>
      <c r="B505" s="92">
        <v>111351</v>
      </c>
      <c r="C505" s="92">
        <v>8963552</v>
      </c>
      <c r="D505" s="92" t="s">
        <v>1595</v>
      </c>
      <c r="E505" s="92" t="s">
        <v>94</v>
      </c>
      <c r="F505" s="92" t="s">
        <v>351</v>
      </c>
      <c r="G505" s="92" t="s">
        <v>270</v>
      </c>
      <c r="H505" s="92" t="s">
        <v>271</v>
      </c>
      <c r="I505" s="92" t="s">
        <v>272</v>
      </c>
      <c r="J505" s="92" t="s">
        <v>346</v>
      </c>
      <c r="K505" s="92" t="s">
        <v>273</v>
      </c>
      <c r="L505" s="92" t="s">
        <v>347</v>
      </c>
      <c r="M505" s="92" t="s">
        <v>168</v>
      </c>
      <c r="N505" s="92" t="s">
        <v>168</v>
      </c>
      <c r="O505" s="92" t="s">
        <v>175</v>
      </c>
      <c r="P505" s="92" t="s">
        <v>353</v>
      </c>
      <c r="Q505" s="92" t="s">
        <v>1596</v>
      </c>
      <c r="R505" s="92">
        <v>4</v>
      </c>
      <c r="S505" s="92">
        <v>178</v>
      </c>
      <c r="T505" s="9">
        <v>44125</v>
      </c>
      <c r="U505" s="9">
        <v>44165</v>
      </c>
    </row>
    <row r="506" spans="1:21" x14ac:dyDescent="0.2">
      <c r="A506" s="10" t="str">
        <f>HYPERLINK("http://www.ofsted.gov.uk/inspection-reports/find-inspection-report/provider/ELS/100724 ","Ofsted School Webpage")</f>
        <v>Ofsted School Webpage</v>
      </c>
      <c r="B506" s="92">
        <v>100724</v>
      </c>
      <c r="C506" s="92">
        <v>2093374</v>
      </c>
      <c r="D506" s="92" t="s">
        <v>1597</v>
      </c>
      <c r="E506" s="92" t="s">
        <v>94</v>
      </c>
      <c r="F506" s="92" t="s">
        <v>351</v>
      </c>
      <c r="G506" s="92" t="s">
        <v>270</v>
      </c>
      <c r="H506" s="92" t="s">
        <v>271</v>
      </c>
      <c r="I506" s="92" t="s">
        <v>272</v>
      </c>
      <c r="J506" s="92" t="s">
        <v>346</v>
      </c>
      <c r="K506" s="92" t="s">
        <v>273</v>
      </c>
      <c r="L506" s="92" t="s">
        <v>347</v>
      </c>
      <c r="M506" s="92" t="s">
        <v>122</v>
      </c>
      <c r="N506" s="92" t="s">
        <v>122</v>
      </c>
      <c r="O506" s="92" t="s">
        <v>135</v>
      </c>
      <c r="P506" s="92" t="s">
        <v>1598</v>
      </c>
      <c r="Q506" s="92" t="s">
        <v>1599</v>
      </c>
      <c r="R506" s="92">
        <v>4</v>
      </c>
      <c r="S506" s="92">
        <v>232</v>
      </c>
      <c r="T506" s="9">
        <v>44125</v>
      </c>
      <c r="U506" s="9">
        <v>44150</v>
      </c>
    </row>
    <row r="507" spans="1:21" x14ac:dyDescent="0.2">
      <c r="A507" s="10" t="str">
        <f>HYPERLINK("http://www.ofsted.gov.uk/inspection-reports/find-inspection-report/provider/ELS/114258 ","Ofsted School Webpage")</f>
        <v>Ofsted School Webpage</v>
      </c>
      <c r="B507" s="92">
        <v>114258</v>
      </c>
      <c r="C507" s="92">
        <v>8403441</v>
      </c>
      <c r="D507" s="92" t="s">
        <v>1600</v>
      </c>
      <c r="E507" s="92" t="s">
        <v>94</v>
      </c>
      <c r="F507" s="92" t="s">
        <v>351</v>
      </c>
      <c r="G507" s="9" t="s">
        <v>270</v>
      </c>
      <c r="H507" s="92" t="s">
        <v>271</v>
      </c>
      <c r="I507" s="92" t="s">
        <v>272</v>
      </c>
      <c r="J507" s="92" t="s">
        <v>346</v>
      </c>
      <c r="K507" s="92" t="s">
        <v>273</v>
      </c>
      <c r="L507" s="92" t="s">
        <v>347</v>
      </c>
      <c r="M507" s="92" t="s">
        <v>261</v>
      </c>
      <c r="N507" s="92" t="s">
        <v>155</v>
      </c>
      <c r="O507" s="92" t="s">
        <v>163</v>
      </c>
      <c r="P507" s="92" t="s">
        <v>1601</v>
      </c>
      <c r="Q507" s="92" t="s">
        <v>1602</v>
      </c>
      <c r="R507" s="92">
        <v>3</v>
      </c>
      <c r="S507" s="92">
        <v>118</v>
      </c>
      <c r="T507" s="9">
        <v>44126</v>
      </c>
      <c r="U507" s="9">
        <v>44172</v>
      </c>
    </row>
    <row r="508" spans="1:21" x14ac:dyDescent="0.2">
      <c r="A508" s="10" t="str">
        <f>HYPERLINK("http://www.ofsted.gov.uk/inspection-reports/find-inspection-report/provider/ELS/126043 ","Ofsted School Webpage")</f>
        <v>Ofsted School Webpage</v>
      </c>
      <c r="B508" s="92">
        <v>126043</v>
      </c>
      <c r="C508" s="92">
        <v>9383335</v>
      </c>
      <c r="D508" s="92" t="s">
        <v>1603</v>
      </c>
      <c r="E508" s="92" t="s">
        <v>94</v>
      </c>
      <c r="F508" s="92" t="s">
        <v>351</v>
      </c>
      <c r="G508" s="92" t="s">
        <v>270</v>
      </c>
      <c r="H508" s="92" t="s">
        <v>271</v>
      </c>
      <c r="I508" s="92" t="s">
        <v>272</v>
      </c>
      <c r="J508" s="92" t="s">
        <v>346</v>
      </c>
      <c r="K508" s="92" t="s">
        <v>273</v>
      </c>
      <c r="L508" s="92" t="s">
        <v>347</v>
      </c>
      <c r="M508" s="92" t="s">
        <v>192</v>
      </c>
      <c r="N508" s="92" t="s">
        <v>192</v>
      </c>
      <c r="O508" s="92" t="s">
        <v>200</v>
      </c>
      <c r="P508" s="92" t="s">
        <v>492</v>
      </c>
      <c r="Q508" s="92" t="s">
        <v>1604</v>
      </c>
      <c r="R508" s="92">
        <v>4</v>
      </c>
      <c r="S508" s="92">
        <v>398</v>
      </c>
      <c r="T508" s="9">
        <v>44126</v>
      </c>
      <c r="U508" s="9">
        <v>44166</v>
      </c>
    </row>
    <row r="509" spans="1:21" x14ac:dyDescent="0.2">
      <c r="A509" s="10" t="str">
        <f>HYPERLINK("http://www.ofsted.gov.uk/inspection-reports/find-inspection-report/provider/ELS/100349 ","Ofsted School Webpage")</f>
        <v>Ofsted School Webpage</v>
      </c>
      <c r="B509" s="92">
        <v>100349</v>
      </c>
      <c r="C509" s="92">
        <v>2053463</v>
      </c>
      <c r="D509" s="92" t="s">
        <v>1605</v>
      </c>
      <c r="E509" s="92" t="s">
        <v>94</v>
      </c>
      <c r="F509" s="92" t="s">
        <v>351</v>
      </c>
      <c r="G509" s="92" t="s">
        <v>270</v>
      </c>
      <c r="H509" s="92" t="s">
        <v>271</v>
      </c>
      <c r="I509" s="92" t="s">
        <v>272</v>
      </c>
      <c r="J509" s="92" t="s">
        <v>346</v>
      </c>
      <c r="K509" s="92" t="s">
        <v>273</v>
      </c>
      <c r="L509" s="92" t="s">
        <v>347</v>
      </c>
      <c r="M509" s="92" t="s">
        <v>122</v>
      </c>
      <c r="N509" s="92" t="s">
        <v>122</v>
      </c>
      <c r="O509" s="92" t="s">
        <v>137</v>
      </c>
      <c r="P509" s="92" t="s">
        <v>854</v>
      </c>
      <c r="Q509" s="92" t="s">
        <v>1606</v>
      </c>
      <c r="R509" s="92">
        <v>3</v>
      </c>
      <c r="S509" s="92">
        <v>379</v>
      </c>
      <c r="T509" s="9">
        <v>44126</v>
      </c>
      <c r="U509" s="9">
        <v>44158</v>
      </c>
    </row>
    <row r="510" spans="1:21" x14ac:dyDescent="0.2">
      <c r="A510" s="10" t="str">
        <f>HYPERLINK("http://www.ofsted.gov.uk/inspection-reports/find-inspection-report/provider/ELS/125976 ","Ofsted School Webpage")</f>
        <v>Ofsted School Webpage</v>
      </c>
      <c r="B510" s="92">
        <v>125976</v>
      </c>
      <c r="C510" s="92">
        <v>9383006</v>
      </c>
      <c r="D510" s="92" t="s">
        <v>1607</v>
      </c>
      <c r="E510" s="92" t="s">
        <v>94</v>
      </c>
      <c r="F510" s="92" t="s">
        <v>345</v>
      </c>
      <c r="G510" s="92" t="s">
        <v>270</v>
      </c>
      <c r="H510" s="92" t="s">
        <v>271</v>
      </c>
      <c r="I510" s="92" t="s">
        <v>272</v>
      </c>
      <c r="J510" s="92" t="s">
        <v>346</v>
      </c>
      <c r="K510" s="92" t="s">
        <v>273</v>
      </c>
      <c r="L510" s="92" t="s">
        <v>347</v>
      </c>
      <c r="M510" s="92" t="s">
        <v>192</v>
      </c>
      <c r="N510" s="92" t="s">
        <v>192</v>
      </c>
      <c r="O510" s="92" t="s">
        <v>200</v>
      </c>
      <c r="P510" s="92" t="s">
        <v>1486</v>
      </c>
      <c r="Q510" s="92" t="s">
        <v>1608</v>
      </c>
      <c r="R510" s="92">
        <v>2</v>
      </c>
      <c r="S510" s="92">
        <v>204</v>
      </c>
      <c r="T510" s="9">
        <v>44126</v>
      </c>
      <c r="U510" s="9">
        <v>44158</v>
      </c>
    </row>
    <row r="511" spans="1:21" x14ac:dyDescent="0.2">
      <c r="A511" s="10" t="str">
        <f>HYPERLINK("http://www.ofsted.gov.uk/inspection-reports/find-inspection-report/provider/ELS/111311 ","Ofsted School Webpage")</f>
        <v>Ofsted School Webpage</v>
      </c>
      <c r="B511" s="92">
        <v>111311</v>
      </c>
      <c r="C511" s="92">
        <v>8963415</v>
      </c>
      <c r="D511" s="92" t="s">
        <v>1609</v>
      </c>
      <c r="E511" s="92" t="s">
        <v>94</v>
      </c>
      <c r="F511" s="92" t="s">
        <v>351</v>
      </c>
      <c r="G511" s="92" t="s">
        <v>270</v>
      </c>
      <c r="H511" s="92" t="s">
        <v>271</v>
      </c>
      <c r="I511" s="92" t="s">
        <v>272</v>
      </c>
      <c r="J511" s="92" t="s">
        <v>352</v>
      </c>
      <c r="K511" s="92" t="s">
        <v>273</v>
      </c>
      <c r="L511" s="92" t="s">
        <v>347</v>
      </c>
      <c r="M511" s="92" t="s">
        <v>168</v>
      </c>
      <c r="N511" s="92" t="s">
        <v>168</v>
      </c>
      <c r="O511" s="92" t="s">
        <v>175</v>
      </c>
      <c r="P511" s="92" t="s">
        <v>598</v>
      </c>
      <c r="Q511" s="92" t="s">
        <v>1610</v>
      </c>
      <c r="R511" s="92">
        <v>5</v>
      </c>
      <c r="S511" s="92">
        <v>167</v>
      </c>
      <c r="T511" s="9">
        <v>44126</v>
      </c>
      <c r="U511" s="9">
        <v>44157</v>
      </c>
    </row>
    <row r="512" spans="1:21" x14ac:dyDescent="0.2">
      <c r="A512" s="10" t="str">
        <f>HYPERLINK("http://www.ofsted.gov.uk/inspection-reports/find-inspection-report/provider/ELS/135820 ","Ofsted School Webpage")</f>
        <v>Ofsted School Webpage</v>
      </c>
      <c r="B512" s="92">
        <v>135820</v>
      </c>
      <c r="C512" s="92">
        <v>8955205</v>
      </c>
      <c r="D512" s="92" t="s">
        <v>1611</v>
      </c>
      <c r="E512" s="92" t="s">
        <v>94</v>
      </c>
      <c r="F512" s="92" t="s">
        <v>351</v>
      </c>
      <c r="G512" s="9">
        <v>40057</v>
      </c>
      <c r="H512" s="92" t="s">
        <v>271</v>
      </c>
      <c r="I512" s="92" t="s">
        <v>272</v>
      </c>
      <c r="J512" s="92" t="s">
        <v>1612</v>
      </c>
      <c r="K512" s="92" t="s">
        <v>273</v>
      </c>
      <c r="L512" s="92" t="s">
        <v>347</v>
      </c>
      <c r="M512" s="92" t="s">
        <v>168</v>
      </c>
      <c r="N512" s="92" t="s">
        <v>168</v>
      </c>
      <c r="O512" s="92" t="s">
        <v>180</v>
      </c>
      <c r="P512" s="92" t="s">
        <v>1509</v>
      </c>
      <c r="Q512" s="92" t="s">
        <v>1613</v>
      </c>
      <c r="R512" s="92">
        <v>4</v>
      </c>
      <c r="S512" s="92">
        <v>113</v>
      </c>
      <c r="T512" s="9">
        <v>44126</v>
      </c>
      <c r="U512" s="9">
        <v>44165</v>
      </c>
    </row>
    <row r="513" spans="1:21" x14ac:dyDescent="0.2">
      <c r="A513" s="10" t="str">
        <f>HYPERLINK("http://www.ofsted.gov.uk/inspection-reports/find-inspection-report/provider/ELS/111281 ","Ofsted School Webpage")</f>
        <v>Ofsted School Webpage</v>
      </c>
      <c r="B513" s="92">
        <v>111281</v>
      </c>
      <c r="C513" s="92">
        <v>8963163</v>
      </c>
      <c r="D513" s="92" t="s">
        <v>1614</v>
      </c>
      <c r="E513" s="92" t="s">
        <v>94</v>
      </c>
      <c r="F513" s="92" t="s">
        <v>345</v>
      </c>
      <c r="G513" s="9" t="s">
        <v>270</v>
      </c>
      <c r="H513" s="92" t="s">
        <v>271</v>
      </c>
      <c r="I513" s="92" t="s">
        <v>272</v>
      </c>
      <c r="J513" s="92" t="s">
        <v>346</v>
      </c>
      <c r="K513" s="92" t="s">
        <v>273</v>
      </c>
      <c r="L513" s="92" t="s">
        <v>347</v>
      </c>
      <c r="M513" s="92" t="s">
        <v>168</v>
      </c>
      <c r="N513" s="92" t="s">
        <v>168</v>
      </c>
      <c r="O513" s="92" t="s">
        <v>175</v>
      </c>
      <c r="P513" s="92" t="s">
        <v>1138</v>
      </c>
      <c r="Q513" s="92" t="s">
        <v>1615</v>
      </c>
      <c r="R513" s="92">
        <v>2</v>
      </c>
      <c r="S513" s="92">
        <v>124</v>
      </c>
      <c r="T513" s="9">
        <v>44126</v>
      </c>
      <c r="U513" s="9">
        <v>44165</v>
      </c>
    </row>
    <row r="514" spans="1:21" x14ac:dyDescent="0.2">
      <c r="A514" s="10" t="str">
        <f>HYPERLINK("http://www.ofsted.gov.uk/inspection-reports/find-inspection-report/provider/ELS/115960 ","Ofsted School Webpage")</f>
        <v>Ofsted School Webpage</v>
      </c>
      <c r="B514" s="92">
        <v>115960</v>
      </c>
      <c r="C514" s="92">
        <v>8502203</v>
      </c>
      <c r="D514" s="92" t="s">
        <v>1616</v>
      </c>
      <c r="E514" s="92" t="s">
        <v>94</v>
      </c>
      <c r="F514" s="92" t="s">
        <v>269</v>
      </c>
      <c r="G514" s="9" t="s">
        <v>270</v>
      </c>
      <c r="H514" s="92" t="s">
        <v>271</v>
      </c>
      <c r="I514" s="92" t="s">
        <v>272</v>
      </c>
      <c r="J514" s="92" t="s">
        <v>273</v>
      </c>
      <c r="K514" s="92" t="s">
        <v>273</v>
      </c>
      <c r="L514" s="92" t="s">
        <v>274</v>
      </c>
      <c r="M514" s="92" t="s">
        <v>192</v>
      </c>
      <c r="N514" s="92" t="s">
        <v>192</v>
      </c>
      <c r="O514" s="92" t="s">
        <v>193</v>
      </c>
      <c r="P514" s="92" t="s">
        <v>759</v>
      </c>
      <c r="Q514" s="92" t="s">
        <v>1617</v>
      </c>
      <c r="R514" s="92">
        <v>1</v>
      </c>
      <c r="S514" s="92">
        <v>142</v>
      </c>
      <c r="T514" s="9">
        <v>44126</v>
      </c>
      <c r="U514" s="9">
        <v>44160</v>
      </c>
    </row>
    <row r="515" spans="1:21" x14ac:dyDescent="0.2">
      <c r="A515" s="10" t="str">
        <f>HYPERLINK("http://www.ofsted.gov.uk/inspection-reports/find-inspection-report/provider/ELS/122223 ","Ofsted School Webpage")</f>
        <v>Ofsted School Webpage</v>
      </c>
      <c r="B515" s="92">
        <v>122223</v>
      </c>
      <c r="C515" s="92">
        <v>9292228</v>
      </c>
      <c r="D515" s="92" t="s">
        <v>1618</v>
      </c>
      <c r="E515" s="92" t="s">
        <v>94</v>
      </c>
      <c r="F515" s="92" t="s">
        <v>269</v>
      </c>
      <c r="G515" s="92" t="s">
        <v>270</v>
      </c>
      <c r="H515" s="92" t="s">
        <v>271</v>
      </c>
      <c r="I515" s="92" t="s">
        <v>272</v>
      </c>
      <c r="J515" s="92" t="s">
        <v>273</v>
      </c>
      <c r="K515" s="92" t="s">
        <v>273</v>
      </c>
      <c r="L515" s="92" t="s">
        <v>274</v>
      </c>
      <c r="M515" s="92" t="s">
        <v>261</v>
      </c>
      <c r="N515" s="92" t="s">
        <v>155</v>
      </c>
      <c r="O515" s="92" t="s">
        <v>158</v>
      </c>
      <c r="P515" s="92" t="s">
        <v>1492</v>
      </c>
      <c r="Q515" s="92" t="s">
        <v>1619</v>
      </c>
      <c r="R515" s="92">
        <v>4</v>
      </c>
      <c r="S515" s="92">
        <v>218</v>
      </c>
      <c r="T515" s="9">
        <v>44126</v>
      </c>
      <c r="U515" s="9">
        <v>44160</v>
      </c>
    </row>
    <row r="516" spans="1:21" x14ac:dyDescent="0.2">
      <c r="A516" s="10" t="str">
        <f>HYPERLINK("http://www.ofsted.gov.uk/inspection-reports/find-inspection-report/provider/ELS/116778 ","Ofsted School Webpage")</f>
        <v>Ofsted School Webpage</v>
      </c>
      <c r="B516" s="92">
        <v>116778</v>
      </c>
      <c r="C516" s="92">
        <v>8852916</v>
      </c>
      <c r="D516" s="92" t="s">
        <v>1620</v>
      </c>
      <c r="E516" s="92" t="s">
        <v>94</v>
      </c>
      <c r="F516" s="92" t="s">
        <v>269</v>
      </c>
      <c r="G516" s="9" t="s">
        <v>270</v>
      </c>
      <c r="H516" s="92" t="s">
        <v>271</v>
      </c>
      <c r="I516" s="92" t="s">
        <v>272</v>
      </c>
      <c r="J516" s="92" t="s">
        <v>273</v>
      </c>
      <c r="K516" s="92" t="s">
        <v>273</v>
      </c>
      <c r="L516" s="92" t="s">
        <v>274</v>
      </c>
      <c r="M516" s="92" t="s">
        <v>226</v>
      </c>
      <c r="N516" s="92" t="s">
        <v>226</v>
      </c>
      <c r="O516" s="92" t="s">
        <v>238</v>
      </c>
      <c r="P516" s="92" t="s">
        <v>1621</v>
      </c>
      <c r="Q516" s="92" t="s">
        <v>1622</v>
      </c>
      <c r="R516" s="92">
        <v>3</v>
      </c>
      <c r="S516" s="92">
        <v>443</v>
      </c>
      <c r="T516" s="9">
        <v>44126</v>
      </c>
      <c r="U516" s="9">
        <v>44157</v>
      </c>
    </row>
    <row r="517" spans="1:21" x14ac:dyDescent="0.2">
      <c r="A517" s="10" t="str">
        <f>HYPERLINK("http://www.ofsted.gov.uk/inspection-reports/find-inspection-report/provider/ELS/100943 ","Ofsted School Webpage")</f>
        <v>Ofsted School Webpage</v>
      </c>
      <c r="B517" s="92">
        <v>100943</v>
      </c>
      <c r="C517" s="92">
        <v>2112921</v>
      </c>
      <c r="D517" s="92" t="s">
        <v>1623</v>
      </c>
      <c r="E517" s="92" t="s">
        <v>94</v>
      </c>
      <c r="F517" s="92" t="s">
        <v>269</v>
      </c>
      <c r="G517" s="92" t="s">
        <v>270</v>
      </c>
      <c r="H517" s="92" t="s">
        <v>271</v>
      </c>
      <c r="I517" s="92" t="s">
        <v>272</v>
      </c>
      <c r="J517" s="92" t="s">
        <v>273</v>
      </c>
      <c r="K517" s="92" t="s">
        <v>273</v>
      </c>
      <c r="L517" s="92" t="s">
        <v>274</v>
      </c>
      <c r="M517" s="92" t="s">
        <v>122</v>
      </c>
      <c r="N517" s="92" t="s">
        <v>122</v>
      </c>
      <c r="O517" s="92" t="s">
        <v>141</v>
      </c>
      <c r="P517" s="92" t="s">
        <v>1184</v>
      </c>
      <c r="Q517" s="92" t="s">
        <v>1624</v>
      </c>
      <c r="R517" s="92">
        <v>5</v>
      </c>
      <c r="S517" s="92">
        <v>159</v>
      </c>
      <c r="T517" s="9">
        <v>44126</v>
      </c>
      <c r="U517" s="9">
        <v>44158</v>
      </c>
    </row>
    <row r="518" spans="1:21" x14ac:dyDescent="0.2">
      <c r="A518" s="10" t="str">
        <f>HYPERLINK("http://www.ofsted.gov.uk/inspection-reports/find-inspection-report/provider/ELS/114469 ","Ofsted School Webpage")</f>
        <v>Ofsted School Webpage</v>
      </c>
      <c r="B518" s="92">
        <v>114469</v>
      </c>
      <c r="C518" s="92">
        <v>8452145</v>
      </c>
      <c r="D518" s="92" t="s">
        <v>1625</v>
      </c>
      <c r="E518" s="92" t="s">
        <v>94</v>
      </c>
      <c r="F518" s="92" t="s">
        <v>269</v>
      </c>
      <c r="G518" s="92" t="s">
        <v>270</v>
      </c>
      <c r="H518" s="92" t="s">
        <v>271</v>
      </c>
      <c r="I518" s="92" t="s">
        <v>272</v>
      </c>
      <c r="J518" s="92" t="s">
        <v>273</v>
      </c>
      <c r="K518" s="92" t="s">
        <v>273</v>
      </c>
      <c r="L518" s="92" t="s">
        <v>274</v>
      </c>
      <c r="M518" s="92" t="s">
        <v>192</v>
      </c>
      <c r="N518" s="92" t="s">
        <v>192</v>
      </c>
      <c r="O518" s="92" t="s">
        <v>203</v>
      </c>
      <c r="P518" s="92" t="s">
        <v>804</v>
      </c>
      <c r="Q518" s="92" t="s">
        <v>1626</v>
      </c>
      <c r="R518" s="92">
        <v>3</v>
      </c>
      <c r="S518" s="92">
        <v>357</v>
      </c>
      <c r="T518" s="9">
        <v>44126</v>
      </c>
      <c r="U518" s="9">
        <v>44164</v>
      </c>
    </row>
    <row r="519" spans="1:21" x14ac:dyDescent="0.2">
      <c r="A519" s="10" t="str">
        <f>HYPERLINK("http://www.ofsted.gov.uk/inspection-reports/find-inspection-report/provider/ELS/114188 ","Ofsted School Webpage")</f>
        <v>Ofsted School Webpage</v>
      </c>
      <c r="B519" s="92">
        <v>114188</v>
      </c>
      <c r="C519" s="92">
        <v>8402705</v>
      </c>
      <c r="D519" s="92" t="s">
        <v>1627</v>
      </c>
      <c r="E519" s="92" t="s">
        <v>94</v>
      </c>
      <c r="F519" s="92" t="s">
        <v>269</v>
      </c>
      <c r="G519" s="9" t="s">
        <v>270</v>
      </c>
      <c r="H519" s="92" t="s">
        <v>271</v>
      </c>
      <c r="I519" s="92" t="s">
        <v>272</v>
      </c>
      <c r="J519" s="92" t="s">
        <v>273</v>
      </c>
      <c r="K519" s="92" t="s">
        <v>273</v>
      </c>
      <c r="L519" s="92" t="s">
        <v>274</v>
      </c>
      <c r="M519" s="92" t="s">
        <v>261</v>
      </c>
      <c r="N519" s="92" t="s">
        <v>155</v>
      </c>
      <c r="O519" s="92" t="s">
        <v>163</v>
      </c>
      <c r="P519" s="92" t="s">
        <v>675</v>
      </c>
      <c r="Q519" s="92" t="s">
        <v>1628</v>
      </c>
      <c r="R519" s="92">
        <v>5</v>
      </c>
      <c r="S519" s="92">
        <v>132</v>
      </c>
      <c r="T519" s="9">
        <v>44126</v>
      </c>
      <c r="U519" s="9">
        <v>44159</v>
      </c>
    </row>
    <row r="520" spans="1:21" x14ac:dyDescent="0.2">
      <c r="A520" s="10" t="str">
        <f>HYPERLINK("http://www.ofsted.gov.uk/inspection-reports/find-inspection-report/provider/ELS/130270 ","Ofsted School Webpage")</f>
        <v>Ofsted School Webpage</v>
      </c>
      <c r="B520" s="92">
        <v>130270</v>
      </c>
      <c r="C520" s="92">
        <v>8962725</v>
      </c>
      <c r="D520" s="92" t="s">
        <v>1629</v>
      </c>
      <c r="E520" s="92" t="s">
        <v>94</v>
      </c>
      <c r="F520" s="92" t="s">
        <v>269</v>
      </c>
      <c r="G520" s="9">
        <v>34943</v>
      </c>
      <c r="H520" s="92" t="s">
        <v>271</v>
      </c>
      <c r="I520" s="92" t="s">
        <v>272</v>
      </c>
      <c r="J520" s="92" t="s">
        <v>273</v>
      </c>
      <c r="K520" s="92" t="s">
        <v>273</v>
      </c>
      <c r="L520" s="92" t="s">
        <v>274</v>
      </c>
      <c r="M520" s="92" t="s">
        <v>168</v>
      </c>
      <c r="N520" s="92" t="s">
        <v>168</v>
      </c>
      <c r="O520" s="92" t="s">
        <v>175</v>
      </c>
      <c r="P520" s="92" t="s">
        <v>353</v>
      </c>
      <c r="Q520" s="92" t="s">
        <v>1630</v>
      </c>
      <c r="R520" s="92">
        <v>5</v>
      </c>
      <c r="S520" s="92">
        <v>290</v>
      </c>
      <c r="T520" s="9">
        <v>44126</v>
      </c>
      <c r="U520" s="9">
        <v>44153</v>
      </c>
    </row>
    <row r="521" spans="1:21" x14ac:dyDescent="0.2">
      <c r="A521" s="10" t="str">
        <f>HYPERLINK("http://www.ofsted.gov.uk/inspection-reports/find-inspection-report/provider/ELS/103208 ","Ofsted School Webpage")</f>
        <v>Ofsted School Webpage</v>
      </c>
      <c r="B521" s="92">
        <v>103208</v>
      </c>
      <c r="C521" s="92">
        <v>3302091</v>
      </c>
      <c r="D521" s="92" t="s">
        <v>1631</v>
      </c>
      <c r="E521" s="92" t="s">
        <v>94</v>
      </c>
      <c r="F521" s="92" t="s">
        <v>269</v>
      </c>
      <c r="G521" s="92" t="s">
        <v>270</v>
      </c>
      <c r="H521" s="92" t="s">
        <v>271</v>
      </c>
      <c r="I521" s="92" t="s">
        <v>271</v>
      </c>
      <c r="J521" s="92" t="s">
        <v>273</v>
      </c>
      <c r="K521" s="92" t="s">
        <v>273</v>
      </c>
      <c r="L521" s="92" t="s">
        <v>274</v>
      </c>
      <c r="M521" s="92" t="s">
        <v>226</v>
      </c>
      <c r="N521" s="92" t="s">
        <v>226</v>
      </c>
      <c r="O521" s="92" t="s">
        <v>232</v>
      </c>
      <c r="P521" s="92" t="s">
        <v>307</v>
      </c>
      <c r="Q521" s="92" t="s">
        <v>1632</v>
      </c>
      <c r="R521" s="92">
        <v>5</v>
      </c>
      <c r="S521" s="92">
        <v>198</v>
      </c>
      <c r="T521" s="9">
        <v>44126</v>
      </c>
      <c r="U521" s="9">
        <v>44154</v>
      </c>
    </row>
    <row r="522" spans="1:21" x14ac:dyDescent="0.2">
      <c r="A522" s="10" t="str">
        <f>HYPERLINK("http://www.ofsted.gov.uk/inspection-reports/find-inspection-report/provider/ELS/109896 ","Ofsted School Webpage")</f>
        <v>Ofsted School Webpage</v>
      </c>
      <c r="B522" s="92">
        <v>109896</v>
      </c>
      <c r="C522" s="92">
        <v>8692174</v>
      </c>
      <c r="D522" s="92" t="s">
        <v>1633</v>
      </c>
      <c r="E522" s="92" t="s">
        <v>94</v>
      </c>
      <c r="F522" s="92" t="s">
        <v>269</v>
      </c>
      <c r="G522" s="92" t="s">
        <v>270</v>
      </c>
      <c r="H522" s="92" t="s">
        <v>271</v>
      </c>
      <c r="I522" s="92" t="s">
        <v>272</v>
      </c>
      <c r="J522" s="92" t="s">
        <v>273</v>
      </c>
      <c r="K522" s="92" t="s">
        <v>273</v>
      </c>
      <c r="L522" s="92" t="s">
        <v>274</v>
      </c>
      <c r="M522" s="92" t="s">
        <v>192</v>
      </c>
      <c r="N522" s="92" t="s">
        <v>192</v>
      </c>
      <c r="O522" s="92" t="s">
        <v>199</v>
      </c>
      <c r="P522" s="92" t="s">
        <v>686</v>
      </c>
      <c r="Q522" s="92" t="s">
        <v>1634</v>
      </c>
      <c r="R522" s="92">
        <v>1</v>
      </c>
      <c r="S522" s="92">
        <v>214</v>
      </c>
      <c r="T522" s="9">
        <v>44126</v>
      </c>
      <c r="U522" s="9">
        <v>44161</v>
      </c>
    </row>
    <row r="523" spans="1:21" x14ac:dyDescent="0.2">
      <c r="A523" s="10" t="str">
        <f>HYPERLINK("http://www.ofsted.gov.uk/inspection-reports/find-inspection-report/provider/ELS/107240 ","Ofsted School Webpage")</f>
        <v>Ofsted School Webpage</v>
      </c>
      <c r="B523" s="92">
        <v>107240</v>
      </c>
      <c r="C523" s="92">
        <v>3802087</v>
      </c>
      <c r="D523" s="92" t="s">
        <v>1635</v>
      </c>
      <c r="E523" s="92" t="s">
        <v>94</v>
      </c>
      <c r="F523" s="92" t="s">
        <v>269</v>
      </c>
      <c r="G523" s="92" t="s">
        <v>270</v>
      </c>
      <c r="H523" s="92" t="s">
        <v>271</v>
      </c>
      <c r="I523" s="92" t="s">
        <v>272</v>
      </c>
      <c r="J523" s="92" t="s">
        <v>273</v>
      </c>
      <c r="K523" s="92" t="s">
        <v>273</v>
      </c>
      <c r="L523" s="92" t="s">
        <v>274</v>
      </c>
      <c r="M523" s="92" t="s">
        <v>261</v>
      </c>
      <c r="N523" s="92" t="s">
        <v>241</v>
      </c>
      <c r="O523" s="92" t="s">
        <v>250</v>
      </c>
      <c r="P523" s="92" t="s">
        <v>1108</v>
      </c>
      <c r="Q523" s="92" t="s">
        <v>1636</v>
      </c>
      <c r="R523" s="92">
        <v>5</v>
      </c>
      <c r="S523" s="92">
        <v>387</v>
      </c>
      <c r="T523" s="9">
        <v>44126</v>
      </c>
      <c r="U523" s="9">
        <v>44153</v>
      </c>
    </row>
    <row r="524" spans="1:21" x14ac:dyDescent="0.2">
      <c r="A524" s="10" t="str">
        <f>HYPERLINK("http://www.ofsted.gov.uk/inspection-reports/find-inspection-report/provider/ELS/132161 ","Ofsted School Webpage")</f>
        <v>Ofsted School Webpage</v>
      </c>
      <c r="B524" s="92">
        <v>132161</v>
      </c>
      <c r="C524" s="92">
        <v>8013437</v>
      </c>
      <c r="D524" s="92" t="s">
        <v>1637</v>
      </c>
      <c r="E524" s="92" t="s">
        <v>94</v>
      </c>
      <c r="F524" s="92" t="s">
        <v>269</v>
      </c>
      <c r="G524" s="9">
        <v>38961</v>
      </c>
      <c r="H524" s="92" t="s">
        <v>271</v>
      </c>
      <c r="I524" s="92" t="s">
        <v>272</v>
      </c>
      <c r="J524" s="92" t="s">
        <v>273</v>
      </c>
      <c r="K524" s="92" t="s">
        <v>273</v>
      </c>
      <c r="L524" s="92" t="s">
        <v>274</v>
      </c>
      <c r="M524" s="92" t="s">
        <v>211</v>
      </c>
      <c r="N524" s="92" t="s">
        <v>211</v>
      </c>
      <c r="O524" s="92" t="s">
        <v>212</v>
      </c>
      <c r="P524" s="92" t="s">
        <v>426</v>
      </c>
      <c r="Q524" s="92" t="s">
        <v>1638</v>
      </c>
      <c r="R524" s="92">
        <v>3</v>
      </c>
      <c r="S524" s="92">
        <v>628</v>
      </c>
      <c r="T524" s="9">
        <v>44126</v>
      </c>
      <c r="U524" s="9">
        <v>44159</v>
      </c>
    </row>
    <row r="525" spans="1:21" x14ac:dyDescent="0.2">
      <c r="A525" s="10" t="str">
        <f>HYPERLINK("http://www.ofsted.gov.uk/inspection-reports/find-inspection-report/provider/ELS/118373 ","Ofsted School Webpage")</f>
        <v>Ofsted School Webpage</v>
      </c>
      <c r="B525" s="92">
        <v>118373</v>
      </c>
      <c r="C525" s="92">
        <v>8862279</v>
      </c>
      <c r="D525" s="92" t="s">
        <v>1639</v>
      </c>
      <c r="E525" s="92" t="s">
        <v>94</v>
      </c>
      <c r="F525" s="92" t="s">
        <v>397</v>
      </c>
      <c r="G525" s="92" t="s">
        <v>270</v>
      </c>
      <c r="H525" s="92" t="s">
        <v>271</v>
      </c>
      <c r="I525" s="92" t="s">
        <v>272</v>
      </c>
      <c r="J525" s="92" t="s">
        <v>273</v>
      </c>
      <c r="K525" s="92" t="s">
        <v>273</v>
      </c>
      <c r="L525" s="92" t="s">
        <v>274</v>
      </c>
      <c r="M525" s="92" t="s">
        <v>192</v>
      </c>
      <c r="N525" s="92" t="s">
        <v>192</v>
      </c>
      <c r="O525" s="92" t="s">
        <v>194</v>
      </c>
      <c r="P525" s="92" t="s">
        <v>1640</v>
      </c>
      <c r="Q525" s="92" t="s">
        <v>1641</v>
      </c>
      <c r="R525" s="92">
        <v>3</v>
      </c>
      <c r="S525" s="92">
        <v>91</v>
      </c>
      <c r="T525" s="9">
        <v>44126</v>
      </c>
      <c r="U525" s="9">
        <v>44179</v>
      </c>
    </row>
    <row r="526" spans="1:21" x14ac:dyDescent="0.2">
      <c r="A526" s="10" t="str">
        <f>HYPERLINK("http://www.ofsted.gov.uk/inspection-reports/find-inspection-report/provider/ELS/117084 ","Ofsted School Webpage")</f>
        <v>Ofsted School Webpage</v>
      </c>
      <c r="B526" s="92">
        <v>117084</v>
      </c>
      <c r="C526" s="92">
        <v>9192002</v>
      </c>
      <c r="D526" s="92" t="s">
        <v>1642</v>
      </c>
      <c r="E526" s="92" t="s">
        <v>94</v>
      </c>
      <c r="F526" s="92" t="s">
        <v>269</v>
      </c>
      <c r="G526" s="92" t="s">
        <v>270</v>
      </c>
      <c r="H526" s="92" t="s">
        <v>271</v>
      </c>
      <c r="I526" s="92" t="s">
        <v>272</v>
      </c>
      <c r="J526" s="92" t="s">
        <v>273</v>
      </c>
      <c r="K526" s="92" t="s">
        <v>273</v>
      </c>
      <c r="L526" s="92" t="s">
        <v>274</v>
      </c>
      <c r="M526" s="92" t="s">
        <v>110</v>
      </c>
      <c r="N526" s="92" t="s">
        <v>110</v>
      </c>
      <c r="O526" s="92" t="s">
        <v>117</v>
      </c>
      <c r="P526" s="92" t="s">
        <v>777</v>
      </c>
      <c r="Q526" s="92" t="s">
        <v>1643</v>
      </c>
      <c r="R526" s="92">
        <v>1</v>
      </c>
      <c r="S526" s="92">
        <v>230</v>
      </c>
      <c r="T526" s="9">
        <v>44126</v>
      </c>
      <c r="U526" s="9">
        <v>44152</v>
      </c>
    </row>
    <row r="527" spans="1:21" x14ac:dyDescent="0.2">
      <c r="A527" s="10" t="str">
        <f>HYPERLINK("http://www.ofsted.gov.uk/inspection-reports/find-inspection-report/provider/ELS/117518 ","Ofsted School Webpage")</f>
        <v>Ofsted School Webpage</v>
      </c>
      <c r="B527" s="92">
        <v>117518</v>
      </c>
      <c r="C527" s="92">
        <v>9194066</v>
      </c>
      <c r="D527" s="92" t="s">
        <v>1644</v>
      </c>
      <c r="E527" s="92" t="s">
        <v>95</v>
      </c>
      <c r="F527" s="92" t="s">
        <v>397</v>
      </c>
      <c r="G527" s="92" t="s">
        <v>270</v>
      </c>
      <c r="H527" s="92" t="s">
        <v>299</v>
      </c>
      <c r="I527" s="92" t="s">
        <v>300</v>
      </c>
      <c r="J527" s="92" t="s">
        <v>273</v>
      </c>
      <c r="K527" s="92" t="s">
        <v>273</v>
      </c>
      <c r="L527" s="92" t="s">
        <v>274</v>
      </c>
      <c r="M527" s="92" t="s">
        <v>110</v>
      </c>
      <c r="N527" s="92" t="s">
        <v>110</v>
      </c>
      <c r="O527" s="92" t="s">
        <v>117</v>
      </c>
      <c r="P527" s="92" t="s">
        <v>998</v>
      </c>
      <c r="Q527" s="92" t="s">
        <v>1645</v>
      </c>
      <c r="R527" s="92">
        <v>3</v>
      </c>
      <c r="S527" s="92">
        <v>1045</v>
      </c>
      <c r="T527" s="9">
        <v>44126</v>
      </c>
      <c r="U527" s="9">
        <v>44152</v>
      </c>
    </row>
    <row r="528" spans="1:21" x14ac:dyDescent="0.2">
      <c r="A528" s="10" t="str">
        <f>HYPERLINK("http://www.ofsted.gov.uk/inspection-reports/find-inspection-report/provider/ELS/115600 ","Ofsted School Webpage")</f>
        <v>Ofsted School Webpage</v>
      </c>
      <c r="B528" s="92">
        <v>115600</v>
      </c>
      <c r="C528" s="92">
        <v>9162171</v>
      </c>
      <c r="D528" s="92" t="s">
        <v>1646</v>
      </c>
      <c r="E528" s="92" t="s">
        <v>94</v>
      </c>
      <c r="F528" s="92" t="s">
        <v>269</v>
      </c>
      <c r="G528" s="92" t="s">
        <v>270</v>
      </c>
      <c r="H528" s="92" t="s">
        <v>271</v>
      </c>
      <c r="I528" s="92" t="s">
        <v>272</v>
      </c>
      <c r="J528" s="92" t="s">
        <v>273</v>
      </c>
      <c r="K528" s="92" t="s">
        <v>273</v>
      </c>
      <c r="L528" s="92" t="s">
        <v>274</v>
      </c>
      <c r="M528" s="92" t="s">
        <v>211</v>
      </c>
      <c r="N528" s="92" t="s">
        <v>211</v>
      </c>
      <c r="O528" s="92" t="s">
        <v>217</v>
      </c>
      <c r="P528" s="92" t="s">
        <v>774</v>
      </c>
      <c r="Q528" s="92" t="s">
        <v>1647</v>
      </c>
      <c r="R528" s="92">
        <v>3</v>
      </c>
      <c r="S528" s="92">
        <v>410</v>
      </c>
      <c r="T528" s="9">
        <v>44126</v>
      </c>
      <c r="U528" s="9">
        <v>44157</v>
      </c>
    </row>
    <row r="529" spans="1:21" x14ac:dyDescent="0.2">
      <c r="A529" s="10" t="str">
        <f>HYPERLINK("http://www.ofsted.gov.uk/inspection-reports/find-inspection-report/provider/ELS/124572 ","Ofsted School Webpage")</f>
        <v>Ofsted School Webpage</v>
      </c>
      <c r="B529" s="92">
        <v>124572</v>
      </c>
      <c r="C529" s="92">
        <v>9352066</v>
      </c>
      <c r="D529" s="92" t="s">
        <v>1648</v>
      </c>
      <c r="E529" s="92" t="s">
        <v>94</v>
      </c>
      <c r="F529" s="92" t="s">
        <v>269</v>
      </c>
      <c r="G529" s="9" t="s">
        <v>270</v>
      </c>
      <c r="H529" s="92" t="s">
        <v>271</v>
      </c>
      <c r="I529" s="92" t="s">
        <v>272</v>
      </c>
      <c r="J529" s="92" t="s">
        <v>273</v>
      </c>
      <c r="K529" s="92" t="s">
        <v>273</v>
      </c>
      <c r="L529" s="92" t="s">
        <v>274</v>
      </c>
      <c r="M529" s="92" t="s">
        <v>110</v>
      </c>
      <c r="N529" s="92" t="s">
        <v>110</v>
      </c>
      <c r="O529" s="92" t="s">
        <v>114</v>
      </c>
      <c r="P529" s="92" t="s">
        <v>656</v>
      </c>
      <c r="Q529" s="92" t="s">
        <v>1649</v>
      </c>
      <c r="R529" s="92">
        <v>2</v>
      </c>
      <c r="S529" s="92">
        <v>97</v>
      </c>
      <c r="T529" s="9">
        <v>44126</v>
      </c>
      <c r="U529" s="9">
        <v>44160</v>
      </c>
    </row>
    <row r="530" spans="1:21" x14ac:dyDescent="0.2">
      <c r="A530" s="10" t="str">
        <f>HYPERLINK("http://www.ofsted.gov.uk/inspection-reports/find-inspection-report/provider/ELS/131433 ","Ofsted School Webpage")</f>
        <v>Ofsted School Webpage</v>
      </c>
      <c r="B530" s="92">
        <v>131433</v>
      </c>
      <c r="C530" s="92">
        <v>3352245</v>
      </c>
      <c r="D530" s="92" t="s">
        <v>1650</v>
      </c>
      <c r="E530" s="92" t="s">
        <v>94</v>
      </c>
      <c r="F530" s="92" t="s">
        <v>269</v>
      </c>
      <c r="G530" s="9">
        <v>36039</v>
      </c>
      <c r="H530" s="92" t="s">
        <v>271</v>
      </c>
      <c r="I530" s="92" t="s">
        <v>272</v>
      </c>
      <c r="J530" s="92" t="s">
        <v>273</v>
      </c>
      <c r="K530" s="92" t="s">
        <v>273</v>
      </c>
      <c r="L530" s="92" t="s">
        <v>274</v>
      </c>
      <c r="M530" s="92" t="s">
        <v>226</v>
      </c>
      <c r="N530" s="92" t="s">
        <v>226</v>
      </c>
      <c r="O530" s="92" t="s">
        <v>230</v>
      </c>
      <c r="P530" s="92" t="s">
        <v>1651</v>
      </c>
      <c r="Q530" s="92" t="s">
        <v>1652</v>
      </c>
      <c r="R530" s="92">
        <v>4</v>
      </c>
      <c r="S530" s="92">
        <v>609</v>
      </c>
      <c r="T530" s="9">
        <v>44126</v>
      </c>
      <c r="U530" s="9">
        <v>44158</v>
      </c>
    </row>
    <row r="531" spans="1:21" x14ac:dyDescent="0.2">
      <c r="A531" s="10" t="str">
        <f>HYPERLINK("http://www.ofsted.gov.uk/inspection-reports/find-inspection-report/provider/ELS/130949 ","Ofsted School Webpage")</f>
        <v>Ofsted School Webpage</v>
      </c>
      <c r="B531" s="92">
        <v>130949</v>
      </c>
      <c r="C531" s="92">
        <v>8672254</v>
      </c>
      <c r="D531" s="92" t="s">
        <v>1653</v>
      </c>
      <c r="E531" s="92" t="s">
        <v>94</v>
      </c>
      <c r="F531" s="92" t="s">
        <v>269</v>
      </c>
      <c r="G531" s="9">
        <v>35309</v>
      </c>
      <c r="H531" s="92" t="s">
        <v>271</v>
      </c>
      <c r="I531" s="92" t="s">
        <v>272</v>
      </c>
      <c r="J531" s="92" t="s">
        <v>273</v>
      </c>
      <c r="K531" s="92" t="s">
        <v>273</v>
      </c>
      <c r="L531" s="92" t="s">
        <v>274</v>
      </c>
      <c r="M531" s="92" t="s">
        <v>192</v>
      </c>
      <c r="N531" s="92" t="s">
        <v>192</v>
      </c>
      <c r="O531" s="92" t="s">
        <v>197</v>
      </c>
      <c r="P531" s="92" t="s">
        <v>317</v>
      </c>
      <c r="Q531" s="92" t="s">
        <v>1654</v>
      </c>
      <c r="R531" s="92">
        <v>2</v>
      </c>
      <c r="S531" s="92">
        <v>583</v>
      </c>
      <c r="T531" s="9">
        <v>44126</v>
      </c>
      <c r="U531" s="9">
        <v>44164</v>
      </c>
    </row>
    <row r="532" spans="1:21" x14ac:dyDescent="0.2">
      <c r="A532" s="10" t="str">
        <f>HYPERLINK("http://www.ofsted.gov.uk/inspection-reports/find-inspection-report/provider/ELS/109145 ","Ofsted School Webpage")</f>
        <v>Ofsted School Webpage</v>
      </c>
      <c r="B532" s="92">
        <v>109145</v>
      </c>
      <c r="C532" s="92">
        <v>8013013</v>
      </c>
      <c r="D532" s="92" t="s">
        <v>1655</v>
      </c>
      <c r="E532" s="92" t="s">
        <v>94</v>
      </c>
      <c r="F532" s="92" t="s">
        <v>345</v>
      </c>
      <c r="G532" s="9" t="s">
        <v>270</v>
      </c>
      <c r="H532" s="92" t="s">
        <v>271</v>
      </c>
      <c r="I532" s="92" t="s">
        <v>272</v>
      </c>
      <c r="J532" s="92" t="s">
        <v>346</v>
      </c>
      <c r="K532" s="92" t="s">
        <v>273</v>
      </c>
      <c r="L532" s="92" t="s">
        <v>347</v>
      </c>
      <c r="M532" s="92" t="s">
        <v>211</v>
      </c>
      <c r="N532" s="92" t="s">
        <v>211</v>
      </c>
      <c r="O532" s="92" t="s">
        <v>212</v>
      </c>
      <c r="P532" s="92" t="s">
        <v>1160</v>
      </c>
      <c r="Q532" s="92" t="s">
        <v>1656</v>
      </c>
      <c r="R532" s="92">
        <v>5</v>
      </c>
      <c r="S532" s="92">
        <v>58</v>
      </c>
      <c r="T532" s="9">
        <v>44126</v>
      </c>
      <c r="U532" s="9">
        <v>44158</v>
      </c>
    </row>
    <row r="533" spans="1:21" x14ac:dyDescent="0.2">
      <c r="A533" s="10" t="str">
        <f>HYPERLINK("http://www.ofsted.gov.uk/inspection-reports/find-inspection-report/provider/ELS/123796 ","Ofsted School Webpage")</f>
        <v>Ofsted School Webpage</v>
      </c>
      <c r="B533" s="92">
        <v>123796</v>
      </c>
      <c r="C533" s="92">
        <v>9333181</v>
      </c>
      <c r="D533" s="92" t="s">
        <v>1657</v>
      </c>
      <c r="E533" s="92" t="s">
        <v>94</v>
      </c>
      <c r="F533" s="92" t="s">
        <v>345</v>
      </c>
      <c r="G533" s="9" t="s">
        <v>270</v>
      </c>
      <c r="H533" s="92" t="s">
        <v>271</v>
      </c>
      <c r="I533" s="92" t="s">
        <v>272</v>
      </c>
      <c r="J533" s="92" t="s">
        <v>346</v>
      </c>
      <c r="K533" s="92" t="s">
        <v>273</v>
      </c>
      <c r="L533" s="92" t="s">
        <v>347</v>
      </c>
      <c r="M533" s="92" t="s">
        <v>211</v>
      </c>
      <c r="N533" s="92" t="s">
        <v>211</v>
      </c>
      <c r="O533" s="92" t="s">
        <v>218</v>
      </c>
      <c r="P533" s="92" t="s">
        <v>579</v>
      </c>
      <c r="Q533" s="92" t="s">
        <v>1658</v>
      </c>
      <c r="R533" s="92">
        <v>2</v>
      </c>
      <c r="S533" s="92">
        <v>42</v>
      </c>
      <c r="T533" s="9">
        <v>44126</v>
      </c>
      <c r="U533" s="9">
        <v>44151</v>
      </c>
    </row>
    <row r="534" spans="1:21" x14ac:dyDescent="0.2">
      <c r="A534" s="10" t="str">
        <f>HYPERLINK("http://www.ofsted.gov.uk/inspection-reports/find-inspection-report/provider/ELS/111587 ","Ofsted School Webpage")</f>
        <v>Ofsted School Webpage</v>
      </c>
      <c r="B534" s="92">
        <v>111587</v>
      </c>
      <c r="C534" s="92">
        <v>8062141</v>
      </c>
      <c r="D534" s="92" t="s">
        <v>1659</v>
      </c>
      <c r="E534" s="92" t="s">
        <v>94</v>
      </c>
      <c r="F534" s="92" t="s">
        <v>397</v>
      </c>
      <c r="G534" s="9" t="s">
        <v>270</v>
      </c>
      <c r="H534" s="92" t="s">
        <v>271</v>
      </c>
      <c r="I534" s="92" t="s">
        <v>272</v>
      </c>
      <c r="J534" s="92" t="s">
        <v>273</v>
      </c>
      <c r="K534" s="92" t="s">
        <v>273</v>
      </c>
      <c r="L534" s="92" t="s">
        <v>274</v>
      </c>
      <c r="M534" s="92" t="s">
        <v>261</v>
      </c>
      <c r="N534" s="92" t="s">
        <v>155</v>
      </c>
      <c r="O534" s="92" t="s">
        <v>162</v>
      </c>
      <c r="P534" s="92" t="s">
        <v>162</v>
      </c>
      <c r="Q534" s="92" t="s">
        <v>1660</v>
      </c>
      <c r="R534" s="92">
        <v>5</v>
      </c>
      <c r="S534" s="92">
        <v>601</v>
      </c>
      <c r="T534" s="9">
        <v>44126</v>
      </c>
      <c r="U534" s="9">
        <v>44179</v>
      </c>
    </row>
    <row r="535" spans="1:21" x14ac:dyDescent="0.2">
      <c r="A535" s="10" t="str">
        <f>HYPERLINK("http://www.ofsted.gov.uk/inspection-reports/find-inspection-report/provider/ELS/135942 ","Ofsted School Webpage")</f>
        <v>Ofsted School Webpage</v>
      </c>
      <c r="B535" s="92">
        <v>135942</v>
      </c>
      <c r="C535" s="92">
        <v>3716906</v>
      </c>
      <c r="D535" s="92" t="s">
        <v>1661</v>
      </c>
      <c r="E535" s="92" t="s">
        <v>95</v>
      </c>
      <c r="F535" s="92" t="s">
        <v>409</v>
      </c>
      <c r="G535" s="9">
        <v>40057</v>
      </c>
      <c r="H535" s="92" t="s">
        <v>299</v>
      </c>
      <c r="I535" s="92" t="s">
        <v>272</v>
      </c>
      <c r="J535" s="92" t="s">
        <v>273</v>
      </c>
      <c r="K535" s="92" t="s">
        <v>273</v>
      </c>
      <c r="L535" s="92" t="s">
        <v>274</v>
      </c>
      <c r="M535" s="92" t="s">
        <v>261</v>
      </c>
      <c r="N535" s="92" t="s">
        <v>241</v>
      </c>
      <c r="O535" s="92" t="s">
        <v>248</v>
      </c>
      <c r="P535" s="92" t="s">
        <v>538</v>
      </c>
      <c r="Q535" s="92" t="s">
        <v>1662</v>
      </c>
      <c r="R535" s="92">
        <v>5</v>
      </c>
      <c r="S535" s="92">
        <v>742</v>
      </c>
      <c r="T535" s="9">
        <v>44126</v>
      </c>
      <c r="U535" s="9">
        <v>44161</v>
      </c>
    </row>
    <row r="536" spans="1:21" x14ac:dyDescent="0.2">
      <c r="A536" s="10" t="str">
        <f>HYPERLINK("http://www.ofsted.gov.uk/inspection-reports/find-inspection-report/provider/ELS/139299 ","Ofsted School Webpage")</f>
        <v>Ofsted School Webpage</v>
      </c>
      <c r="B536" s="92">
        <v>139299</v>
      </c>
      <c r="C536" s="92">
        <v>8792691</v>
      </c>
      <c r="D536" s="92" t="s">
        <v>1663</v>
      </c>
      <c r="E536" s="92" t="s">
        <v>94</v>
      </c>
      <c r="F536" s="92" t="s">
        <v>429</v>
      </c>
      <c r="G536" s="9">
        <v>41334</v>
      </c>
      <c r="H536" s="92" t="s">
        <v>271</v>
      </c>
      <c r="I536" s="92" t="s">
        <v>272</v>
      </c>
      <c r="J536" s="92" t="s">
        <v>273</v>
      </c>
      <c r="K536" s="92" t="s">
        <v>273</v>
      </c>
      <c r="L536" s="92" t="s">
        <v>274</v>
      </c>
      <c r="M536" s="92" t="s">
        <v>211</v>
      </c>
      <c r="N536" s="92" t="s">
        <v>211</v>
      </c>
      <c r="O536" s="92" t="s">
        <v>214</v>
      </c>
      <c r="P536" s="92" t="s">
        <v>362</v>
      </c>
      <c r="Q536" s="92" t="s">
        <v>1664</v>
      </c>
      <c r="R536" s="92">
        <v>2</v>
      </c>
      <c r="S536" s="92">
        <v>218</v>
      </c>
      <c r="T536" s="9">
        <v>44126</v>
      </c>
      <c r="U536" s="9">
        <v>44159</v>
      </c>
    </row>
    <row r="537" spans="1:21" x14ac:dyDescent="0.2">
      <c r="A537" s="10" t="str">
        <f>HYPERLINK("http://www.ofsted.gov.uk/inspection-reports/find-inspection-report/provider/ELS/139631 ","Ofsted School Webpage")</f>
        <v>Ofsted School Webpage</v>
      </c>
      <c r="B537" s="92">
        <v>139631</v>
      </c>
      <c r="C537" s="92">
        <v>3302452</v>
      </c>
      <c r="D537" s="92" t="s">
        <v>1665</v>
      </c>
      <c r="E537" s="92" t="s">
        <v>94</v>
      </c>
      <c r="F537" s="92" t="s">
        <v>429</v>
      </c>
      <c r="G537" s="9">
        <v>41395</v>
      </c>
      <c r="H537" s="92" t="s">
        <v>271</v>
      </c>
      <c r="I537" s="92" t="s">
        <v>272</v>
      </c>
      <c r="J537" s="92" t="s">
        <v>273</v>
      </c>
      <c r="K537" s="92" t="s">
        <v>273</v>
      </c>
      <c r="L537" s="92" t="s">
        <v>274</v>
      </c>
      <c r="M537" s="92" t="s">
        <v>226</v>
      </c>
      <c r="N537" s="92" t="s">
        <v>226</v>
      </c>
      <c r="O537" s="92" t="s">
        <v>232</v>
      </c>
      <c r="P537" s="92" t="s">
        <v>307</v>
      </c>
      <c r="Q537" s="92" t="s">
        <v>1666</v>
      </c>
      <c r="R537" s="92">
        <v>5</v>
      </c>
      <c r="S537" s="92">
        <v>204</v>
      </c>
      <c r="T537" s="9">
        <v>44126</v>
      </c>
      <c r="U537" s="9">
        <v>44154</v>
      </c>
    </row>
    <row r="538" spans="1:21" x14ac:dyDescent="0.2">
      <c r="A538" s="10" t="str">
        <f>HYPERLINK("http://www.ofsted.gov.uk/inspection-reports/find-inspection-report/provider/ELS/140905 ","Ofsted School Webpage")</f>
        <v>Ofsted School Webpage</v>
      </c>
      <c r="B538" s="92">
        <v>140905</v>
      </c>
      <c r="C538" s="92">
        <v>8103400</v>
      </c>
      <c r="D538" s="92" t="s">
        <v>1667</v>
      </c>
      <c r="E538" s="92" t="s">
        <v>94</v>
      </c>
      <c r="F538" s="92" t="s">
        <v>429</v>
      </c>
      <c r="G538" s="9">
        <v>41791</v>
      </c>
      <c r="H538" s="92" t="s">
        <v>271</v>
      </c>
      <c r="I538" s="92" t="s">
        <v>272</v>
      </c>
      <c r="J538" s="92" t="s">
        <v>352</v>
      </c>
      <c r="K538" s="92" t="s">
        <v>273</v>
      </c>
      <c r="L538" s="92" t="s">
        <v>347</v>
      </c>
      <c r="M538" s="92" t="s">
        <v>261</v>
      </c>
      <c r="N538" s="92" t="s">
        <v>241</v>
      </c>
      <c r="O538" s="92" t="s">
        <v>253</v>
      </c>
      <c r="P538" s="92" t="s">
        <v>1668</v>
      </c>
      <c r="Q538" s="92" t="s">
        <v>1669</v>
      </c>
      <c r="R538" s="92">
        <v>4</v>
      </c>
      <c r="S538" s="92">
        <v>324</v>
      </c>
      <c r="T538" s="9">
        <v>44126</v>
      </c>
      <c r="U538" s="9">
        <v>44166</v>
      </c>
    </row>
    <row r="539" spans="1:21" x14ac:dyDescent="0.2">
      <c r="A539" s="10" t="str">
        <f>HYPERLINK("http://www.ofsted.gov.uk/inspection-reports/find-inspection-report/provider/ELS/139612 ","Ofsted School Webpage")</f>
        <v>Ofsted School Webpage</v>
      </c>
      <c r="B539" s="92">
        <v>139612</v>
      </c>
      <c r="C539" s="92">
        <v>8212230</v>
      </c>
      <c r="D539" s="92" t="s">
        <v>1670</v>
      </c>
      <c r="E539" s="92" t="s">
        <v>94</v>
      </c>
      <c r="F539" s="92" t="s">
        <v>429</v>
      </c>
      <c r="G539" s="9">
        <v>41395</v>
      </c>
      <c r="H539" s="92" t="s">
        <v>271</v>
      </c>
      <c r="I539" s="92" t="s">
        <v>272</v>
      </c>
      <c r="J539" s="92" t="s">
        <v>273</v>
      </c>
      <c r="K539" s="92" t="s">
        <v>273</v>
      </c>
      <c r="L539" s="92" t="s">
        <v>274</v>
      </c>
      <c r="M539" s="92" t="s">
        <v>110</v>
      </c>
      <c r="N539" s="92" t="s">
        <v>110</v>
      </c>
      <c r="O539" s="92" t="s">
        <v>116</v>
      </c>
      <c r="P539" s="92" t="s">
        <v>1177</v>
      </c>
      <c r="Q539" s="92" t="s">
        <v>1671</v>
      </c>
      <c r="R539" s="92">
        <v>3</v>
      </c>
      <c r="S539" s="92">
        <v>300</v>
      </c>
      <c r="T539" s="9">
        <v>44126</v>
      </c>
      <c r="U539" s="9">
        <v>44152</v>
      </c>
    </row>
    <row r="540" spans="1:21" x14ac:dyDescent="0.2">
      <c r="A540" s="10" t="str">
        <f>HYPERLINK("http://www.ofsted.gov.uk/inspection-reports/find-inspection-report/provider/ELS/137284 ","Ofsted School Webpage")</f>
        <v>Ofsted School Webpage</v>
      </c>
      <c r="B540" s="92">
        <v>137284</v>
      </c>
      <c r="C540" s="92">
        <v>8825414</v>
      </c>
      <c r="D540" s="92" t="s">
        <v>1672</v>
      </c>
      <c r="E540" s="92" t="s">
        <v>95</v>
      </c>
      <c r="F540" s="92" t="s">
        <v>429</v>
      </c>
      <c r="G540" s="9">
        <v>40772</v>
      </c>
      <c r="H540" s="92" t="s">
        <v>299</v>
      </c>
      <c r="I540" s="92" t="s">
        <v>272</v>
      </c>
      <c r="J540" s="92" t="s">
        <v>410</v>
      </c>
      <c r="K540" s="92" t="s">
        <v>273</v>
      </c>
      <c r="L540" s="92" t="s">
        <v>274</v>
      </c>
      <c r="M540" s="92" t="s">
        <v>110</v>
      </c>
      <c r="N540" s="92" t="s">
        <v>110</v>
      </c>
      <c r="O540" s="92" t="s">
        <v>121</v>
      </c>
      <c r="P540" s="92" t="s">
        <v>1673</v>
      </c>
      <c r="Q540" s="92" t="s">
        <v>1674</v>
      </c>
      <c r="R540" s="92">
        <v>3</v>
      </c>
      <c r="S540" s="92">
        <v>1032</v>
      </c>
      <c r="T540" s="9">
        <v>44126</v>
      </c>
      <c r="U540" s="9">
        <v>44152</v>
      </c>
    </row>
    <row r="541" spans="1:21" x14ac:dyDescent="0.2">
      <c r="A541" s="10" t="str">
        <f>HYPERLINK("http://www.ofsted.gov.uk/inspection-reports/find-inspection-report/provider/ELS/136767 ","Ofsted School Webpage")</f>
        <v>Ofsted School Webpage</v>
      </c>
      <c r="B541" s="92">
        <v>136767</v>
      </c>
      <c r="C541" s="92">
        <v>9165400</v>
      </c>
      <c r="D541" s="92" t="s">
        <v>1675</v>
      </c>
      <c r="E541" s="92" t="s">
        <v>95</v>
      </c>
      <c r="F541" s="92" t="s">
        <v>429</v>
      </c>
      <c r="G541" s="9">
        <v>40695</v>
      </c>
      <c r="H541" s="92" t="s">
        <v>1676</v>
      </c>
      <c r="I541" s="92" t="s">
        <v>300</v>
      </c>
      <c r="J541" s="92" t="s">
        <v>410</v>
      </c>
      <c r="K541" s="92" t="s">
        <v>273</v>
      </c>
      <c r="L541" s="92" t="s">
        <v>274</v>
      </c>
      <c r="M541" s="92" t="s">
        <v>211</v>
      </c>
      <c r="N541" s="92" t="s">
        <v>211</v>
      </c>
      <c r="O541" s="92" t="s">
        <v>217</v>
      </c>
      <c r="P541" s="92" t="s">
        <v>774</v>
      </c>
      <c r="Q541" s="92" t="s">
        <v>1677</v>
      </c>
      <c r="R541" s="92">
        <v>2</v>
      </c>
      <c r="S541" s="92">
        <v>816</v>
      </c>
      <c r="T541" s="9">
        <v>44126</v>
      </c>
      <c r="U541" s="9">
        <v>44158</v>
      </c>
    </row>
    <row r="542" spans="1:21" x14ac:dyDescent="0.2">
      <c r="A542" s="10" t="str">
        <f>HYPERLINK("http://www.ofsted.gov.uk/inspection-reports/find-inspection-report/provider/ELS/143206 ","Ofsted School Webpage")</f>
        <v>Ofsted School Webpage</v>
      </c>
      <c r="B542" s="92">
        <v>143206</v>
      </c>
      <c r="C542" s="92">
        <v>8812014</v>
      </c>
      <c r="D542" s="92" t="s">
        <v>1678</v>
      </c>
      <c r="E542" s="92" t="s">
        <v>94</v>
      </c>
      <c r="F542" s="92" t="s">
        <v>429</v>
      </c>
      <c r="G542" s="9">
        <v>42644</v>
      </c>
      <c r="H542" s="92" t="s">
        <v>271</v>
      </c>
      <c r="I542" s="92" t="s">
        <v>272</v>
      </c>
      <c r="J542" s="92" t="s">
        <v>273</v>
      </c>
      <c r="K542" s="92" t="s">
        <v>273</v>
      </c>
      <c r="L542" s="92" t="s">
        <v>274</v>
      </c>
      <c r="M542" s="92" t="s">
        <v>110</v>
      </c>
      <c r="N542" s="92" t="s">
        <v>110</v>
      </c>
      <c r="O542" s="92" t="s">
        <v>119</v>
      </c>
      <c r="P542" s="92" t="s">
        <v>1406</v>
      </c>
      <c r="Q542" s="92" t="s">
        <v>1679</v>
      </c>
      <c r="R542" s="92">
        <v>5</v>
      </c>
      <c r="S542" s="92">
        <v>627</v>
      </c>
      <c r="T542" s="9">
        <v>44126</v>
      </c>
      <c r="U542" s="9">
        <v>44164</v>
      </c>
    </row>
    <row r="543" spans="1:21" x14ac:dyDescent="0.2">
      <c r="A543" s="10" t="str">
        <f>HYPERLINK("http://www.ofsted.gov.uk/inspection-reports/find-inspection-report/provider/ELS/137977 ","Ofsted School Webpage")</f>
        <v>Ofsted School Webpage</v>
      </c>
      <c r="B543" s="92">
        <v>137977</v>
      </c>
      <c r="C543" s="92">
        <v>9255212</v>
      </c>
      <c r="D543" s="92" t="s">
        <v>1680</v>
      </c>
      <c r="E543" s="92" t="s">
        <v>94</v>
      </c>
      <c r="F543" s="92" t="s">
        <v>429</v>
      </c>
      <c r="G543" s="9">
        <v>41000</v>
      </c>
      <c r="H543" s="92" t="s">
        <v>271</v>
      </c>
      <c r="I543" s="92" t="s">
        <v>272</v>
      </c>
      <c r="J543" s="92" t="s">
        <v>410</v>
      </c>
      <c r="K543" s="92" t="s">
        <v>273</v>
      </c>
      <c r="L543" s="92" t="s">
        <v>274</v>
      </c>
      <c r="M543" s="92" t="s">
        <v>100</v>
      </c>
      <c r="N543" s="92" t="s">
        <v>100</v>
      </c>
      <c r="O543" s="92" t="s">
        <v>104</v>
      </c>
      <c r="P543" s="92" t="s">
        <v>1681</v>
      </c>
      <c r="Q543" s="92" t="s">
        <v>1682</v>
      </c>
      <c r="R543" s="92">
        <v>2</v>
      </c>
      <c r="S543" s="92">
        <v>275</v>
      </c>
      <c r="T543" s="9">
        <v>44126</v>
      </c>
      <c r="U543" s="9">
        <v>44154</v>
      </c>
    </row>
    <row r="544" spans="1:21" x14ac:dyDescent="0.2">
      <c r="A544" s="10" t="str">
        <f>HYPERLINK("http://www.ofsted.gov.uk/inspection-reports/find-inspection-report/provider/ELS/141067 ","Ofsted School Webpage")</f>
        <v>Ofsted School Webpage</v>
      </c>
      <c r="B544" s="92">
        <v>141067</v>
      </c>
      <c r="C544" s="92">
        <v>8863743</v>
      </c>
      <c r="D544" s="92" t="s">
        <v>1683</v>
      </c>
      <c r="E544" s="92" t="s">
        <v>94</v>
      </c>
      <c r="F544" s="92" t="s">
        <v>429</v>
      </c>
      <c r="G544" s="9">
        <v>41821</v>
      </c>
      <c r="H544" s="92" t="s">
        <v>271</v>
      </c>
      <c r="I544" s="92" t="s">
        <v>272</v>
      </c>
      <c r="J544" s="92" t="s">
        <v>352</v>
      </c>
      <c r="K544" s="92" t="s">
        <v>273</v>
      </c>
      <c r="L544" s="92" t="s">
        <v>347</v>
      </c>
      <c r="M544" s="92" t="s">
        <v>192</v>
      </c>
      <c r="N544" s="92" t="s">
        <v>192</v>
      </c>
      <c r="O544" s="92" t="s">
        <v>194</v>
      </c>
      <c r="P544" s="92" t="s">
        <v>732</v>
      </c>
      <c r="Q544" s="92" t="s">
        <v>1684</v>
      </c>
      <c r="R544" s="92">
        <v>4</v>
      </c>
      <c r="S544" s="92">
        <v>206</v>
      </c>
      <c r="T544" s="9">
        <v>44126</v>
      </c>
      <c r="U544" s="9">
        <v>44153</v>
      </c>
    </row>
    <row r="545" spans="1:21" x14ac:dyDescent="0.2">
      <c r="A545" s="10" t="str">
        <f>HYPERLINK("http://www.ofsted.gov.uk/inspection-reports/find-inspection-report/provider/ELS/142393 ","Ofsted School Webpage")</f>
        <v>Ofsted School Webpage</v>
      </c>
      <c r="B545" s="92">
        <v>142393</v>
      </c>
      <c r="C545" s="92">
        <v>8872014</v>
      </c>
      <c r="D545" s="92" t="s">
        <v>1685</v>
      </c>
      <c r="E545" s="92" t="s">
        <v>94</v>
      </c>
      <c r="F545" s="92" t="s">
        <v>409</v>
      </c>
      <c r="G545" s="9">
        <v>42401</v>
      </c>
      <c r="H545" s="92" t="s">
        <v>271</v>
      </c>
      <c r="I545" s="92" t="s">
        <v>272</v>
      </c>
      <c r="J545" s="92" t="s">
        <v>273</v>
      </c>
      <c r="K545" s="92" t="s">
        <v>410</v>
      </c>
      <c r="L545" s="92" t="s">
        <v>274</v>
      </c>
      <c r="M545" s="92" t="s">
        <v>192</v>
      </c>
      <c r="N545" s="92" t="s">
        <v>192</v>
      </c>
      <c r="O545" s="92" t="s">
        <v>195</v>
      </c>
      <c r="P545" s="92" t="s">
        <v>1686</v>
      </c>
      <c r="Q545" s="92" t="s">
        <v>1687</v>
      </c>
      <c r="R545" s="92">
        <v>4</v>
      </c>
      <c r="S545" s="92">
        <v>453</v>
      </c>
      <c r="T545" s="9">
        <v>44126</v>
      </c>
      <c r="U545" s="9">
        <v>44161</v>
      </c>
    </row>
    <row r="546" spans="1:21" x14ac:dyDescent="0.2">
      <c r="A546" s="10" t="str">
        <f>HYPERLINK("http://www.ofsted.gov.uk/inspection-reports/find-inspection-report/provider/ELS/138967 ","Ofsted School Webpage")</f>
        <v>Ofsted School Webpage</v>
      </c>
      <c r="B546" s="92">
        <v>138967</v>
      </c>
      <c r="C546" s="92">
        <v>9281100</v>
      </c>
      <c r="D546" s="92" t="s">
        <v>1688</v>
      </c>
      <c r="E546" s="92" t="s">
        <v>98</v>
      </c>
      <c r="F546" s="92" t="s">
        <v>888</v>
      </c>
      <c r="G546" s="9">
        <v>41214</v>
      </c>
      <c r="H546" s="92" t="s">
        <v>271</v>
      </c>
      <c r="I546" s="92" t="s">
        <v>271</v>
      </c>
      <c r="J546" s="92" t="s">
        <v>273</v>
      </c>
      <c r="K546" s="92" t="s">
        <v>410</v>
      </c>
      <c r="L546" s="92" t="s">
        <v>274</v>
      </c>
      <c r="M546" s="92" t="s">
        <v>100</v>
      </c>
      <c r="N546" s="92" t="s">
        <v>100</v>
      </c>
      <c r="O546" s="92" t="s">
        <v>107</v>
      </c>
      <c r="P546" s="92" t="s">
        <v>1689</v>
      </c>
      <c r="Q546" s="92" t="s">
        <v>1690</v>
      </c>
      <c r="R546" s="92">
        <v>3</v>
      </c>
      <c r="S546" s="92">
        <v>159</v>
      </c>
      <c r="T546" s="9">
        <v>44126</v>
      </c>
      <c r="U546" s="9">
        <v>44154</v>
      </c>
    </row>
    <row r="547" spans="1:21" x14ac:dyDescent="0.2">
      <c r="A547" s="10" t="str">
        <f>HYPERLINK("http://www.ofsted.gov.uk/inspection-reports/find-inspection-report/provider/ELS/139887 ","Ofsted School Webpage")</f>
        <v>Ofsted School Webpage</v>
      </c>
      <c r="B547" s="92">
        <v>139887</v>
      </c>
      <c r="C547" s="92">
        <v>8782072</v>
      </c>
      <c r="D547" s="92" t="s">
        <v>1691</v>
      </c>
      <c r="E547" s="92" t="s">
        <v>94</v>
      </c>
      <c r="F547" s="92" t="s">
        <v>429</v>
      </c>
      <c r="G547" s="9">
        <v>41456</v>
      </c>
      <c r="H547" s="92" t="s">
        <v>271</v>
      </c>
      <c r="I547" s="92" t="s">
        <v>272</v>
      </c>
      <c r="J547" s="92" t="s">
        <v>273</v>
      </c>
      <c r="K547" s="92" t="s">
        <v>273</v>
      </c>
      <c r="L547" s="92" t="s">
        <v>274</v>
      </c>
      <c r="M547" s="92" t="s">
        <v>211</v>
      </c>
      <c r="N547" s="92" t="s">
        <v>211</v>
      </c>
      <c r="O547" s="92" t="s">
        <v>220</v>
      </c>
      <c r="P547" s="92" t="s">
        <v>672</v>
      </c>
      <c r="Q547" s="92" t="s">
        <v>1692</v>
      </c>
      <c r="R547" s="92">
        <v>2</v>
      </c>
      <c r="S547" s="92">
        <v>222</v>
      </c>
      <c r="T547" s="9">
        <v>44126</v>
      </c>
      <c r="U547" s="9">
        <v>44152</v>
      </c>
    </row>
    <row r="548" spans="1:21" x14ac:dyDescent="0.2">
      <c r="A548" s="10" t="str">
        <f>HYPERLINK("http://www.ofsted.gov.uk/inspection-reports/find-inspection-report/provider/ELS/139881 ","Ofsted School Webpage")</f>
        <v>Ofsted School Webpage</v>
      </c>
      <c r="B548" s="92">
        <v>139881</v>
      </c>
      <c r="C548" s="92">
        <v>3723335</v>
      </c>
      <c r="D548" s="92" t="s">
        <v>1693</v>
      </c>
      <c r="E548" s="92" t="s">
        <v>94</v>
      </c>
      <c r="F548" s="92" t="s">
        <v>429</v>
      </c>
      <c r="G548" s="9">
        <v>41456</v>
      </c>
      <c r="H548" s="92" t="s">
        <v>271</v>
      </c>
      <c r="I548" s="92" t="s">
        <v>272</v>
      </c>
      <c r="J548" s="92" t="s">
        <v>352</v>
      </c>
      <c r="K548" s="92" t="s">
        <v>273</v>
      </c>
      <c r="L548" s="92" t="s">
        <v>347</v>
      </c>
      <c r="M548" s="92" t="s">
        <v>261</v>
      </c>
      <c r="N548" s="92" t="s">
        <v>241</v>
      </c>
      <c r="O548" s="92" t="s">
        <v>242</v>
      </c>
      <c r="P548" s="92" t="s">
        <v>275</v>
      </c>
      <c r="Q548" s="92" t="s">
        <v>1694</v>
      </c>
      <c r="R548" s="92">
        <v>5</v>
      </c>
      <c r="S548" s="92">
        <v>198</v>
      </c>
      <c r="T548" s="9">
        <v>44126</v>
      </c>
      <c r="U548" s="9">
        <v>44153</v>
      </c>
    </row>
    <row r="549" spans="1:21" x14ac:dyDescent="0.2">
      <c r="A549" s="10" t="str">
        <f>HYPERLINK("http://www.ofsted.gov.uk/inspection-reports/find-inspection-report/provider/ELS/140919 ","Ofsted School Webpage")</f>
        <v>Ofsted School Webpage</v>
      </c>
      <c r="B549" s="92">
        <v>140919</v>
      </c>
      <c r="C549" s="92">
        <v>8072166</v>
      </c>
      <c r="D549" s="92" t="s">
        <v>1695</v>
      </c>
      <c r="E549" s="92" t="s">
        <v>94</v>
      </c>
      <c r="F549" s="92" t="s">
        <v>429</v>
      </c>
      <c r="G549" s="9">
        <v>41791</v>
      </c>
      <c r="H549" s="92" t="s">
        <v>271</v>
      </c>
      <c r="I549" s="92" t="s">
        <v>272</v>
      </c>
      <c r="J549" s="92" t="s">
        <v>273</v>
      </c>
      <c r="K549" s="92" t="s">
        <v>273</v>
      </c>
      <c r="L549" s="92" t="s">
        <v>274</v>
      </c>
      <c r="M549" s="92" t="s">
        <v>261</v>
      </c>
      <c r="N549" s="92" t="s">
        <v>155</v>
      </c>
      <c r="O549" s="92" t="s">
        <v>161</v>
      </c>
      <c r="P549" s="92" t="s">
        <v>1269</v>
      </c>
      <c r="Q549" s="92" t="s">
        <v>1696</v>
      </c>
      <c r="R549" s="92">
        <v>2</v>
      </c>
      <c r="S549" s="92">
        <v>240</v>
      </c>
      <c r="T549" s="9">
        <v>44126</v>
      </c>
      <c r="U549" s="9">
        <v>44153</v>
      </c>
    </row>
    <row r="550" spans="1:21" x14ac:dyDescent="0.2">
      <c r="A550" s="10" t="str">
        <f>HYPERLINK("http://www.ofsted.gov.uk/inspection-reports/find-inspection-report/provider/ELS/140756 ","Ofsted School Webpage")</f>
        <v>Ofsted School Webpage</v>
      </c>
      <c r="B550" s="92">
        <v>140756</v>
      </c>
      <c r="C550" s="92">
        <v>8383405</v>
      </c>
      <c r="D550" s="92" t="s">
        <v>1697</v>
      </c>
      <c r="E550" s="92" t="s">
        <v>94</v>
      </c>
      <c r="F550" s="92" t="s">
        <v>429</v>
      </c>
      <c r="G550" s="9">
        <v>41730</v>
      </c>
      <c r="H550" s="92" t="s">
        <v>271</v>
      </c>
      <c r="I550" s="92" t="s">
        <v>272</v>
      </c>
      <c r="J550" s="92" t="s">
        <v>352</v>
      </c>
      <c r="K550" s="92" t="s">
        <v>273</v>
      </c>
      <c r="L550" s="92" t="s">
        <v>347</v>
      </c>
      <c r="M550" s="92" t="s">
        <v>211</v>
      </c>
      <c r="N550" s="92" t="s">
        <v>211</v>
      </c>
      <c r="O550" s="92" t="s">
        <v>213</v>
      </c>
      <c r="P550" s="92" t="s">
        <v>905</v>
      </c>
      <c r="Q550" s="92" t="s">
        <v>1698</v>
      </c>
      <c r="R550" s="92">
        <v>1</v>
      </c>
      <c r="S550" s="92">
        <v>113</v>
      </c>
      <c r="T550" s="9">
        <v>44126</v>
      </c>
      <c r="U550" s="9">
        <v>44151</v>
      </c>
    </row>
    <row r="551" spans="1:21" x14ac:dyDescent="0.2">
      <c r="A551" s="10" t="str">
        <f>HYPERLINK("http://www.ofsted.gov.uk/inspection-reports/find-inspection-report/provider/ELS/141245 ","Ofsted School Webpage")</f>
        <v>Ofsted School Webpage</v>
      </c>
      <c r="B551" s="92">
        <v>141245</v>
      </c>
      <c r="C551" s="92">
        <v>3364001</v>
      </c>
      <c r="D551" s="92" t="s">
        <v>1699</v>
      </c>
      <c r="E551" s="92" t="s">
        <v>95</v>
      </c>
      <c r="F551" s="92" t="s">
        <v>409</v>
      </c>
      <c r="G551" s="9">
        <v>42005</v>
      </c>
      <c r="H551" s="92" t="s">
        <v>299</v>
      </c>
      <c r="I551" s="92" t="s">
        <v>300</v>
      </c>
      <c r="J551" s="92" t="s">
        <v>273</v>
      </c>
      <c r="K551" s="92" t="s">
        <v>410</v>
      </c>
      <c r="L551" s="92" t="s">
        <v>274</v>
      </c>
      <c r="M551" s="92" t="s">
        <v>226</v>
      </c>
      <c r="N551" s="92" t="s">
        <v>226</v>
      </c>
      <c r="O551" s="92" t="s">
        <v>231</v>
      </c>
      <c r="P551" s="92" t="s">
        <v>683</v>
      </c>
      <c r="Q551" s="92" t="s">
        <v>1700</v>
      </c>
      <c r="R551" s="92">
        <v>5</v>
      </c>
      <c r="S551" s="92">
        <v>821</v>
      </c>
      <c r="T551" s="9">
        <v>44126</v>
      </c>
      <c r="U551" s="9">
        <v>44160</v>
      </c>
    </row>
    <row r="552" spans="1:21" x14ac:dyDescent="0.2">
      <c r="A552" s="10" t="str">
        <f>HYPERLINK("http://www.ofsted.gov.uk/inspection-reports/find-inspection-report/provider/ELS/139403 ","Ofsted School Webpage")</f>
        <v>Ofsted School Webpage</v>
      </c>
      <c r="B552" s="92">
        <v>139403</v>
      </c>
      <c r="C552" s="92">
        <v>9354032</v>
      </c>
      <c r="D552" s="92" t="s">
        <v>1701</v>
      </c>
      <c r="E552" s="92" t="s">
        <v>95</v>
      </c>
      <c r="F552" s="92" t="s">
        <v>409</v>
      </c>
      <c r="G552" s="9">
        <v>41426</v>
      </c>
      <c r="H552" s="92" t="s">
        <v>299</v>
      </c>
      <c r="I552" s="92" t="s">
        <v>272</v>
      </c>
      <c r="J552" s="92" t="s">
        <v>273</v>
      </c>
      <c r="K552" s="92" t="s">
        <v>410</v>
      </c>
      <c r="L552" s="92" t="s">
        <v>274</v>
      </c>
      <c r="M552" s="92" t="s">
        <v>110</v>
      </c>
      <c r="N552" s="92" t="s">
        <v>110</v>
      </c>
      <c r="O552" s="92" t="s">
        <v>114</v>
      </c>
      <c r="P552" s="92" t="s">
        <v>1258</v>
      </c>
      <c r="Q552" s="92" t="s">
        <v>1702</v>
      </c>
      <c r="R552" s="92">
        <v>5</v>
      </c>
      <c r="S552" s="92">
        <v>857</v>
      </c>
      <c r="T552" s="9">
        <v>44126</v>
      </c>
      <c r="U552" s="9">
        <v>44171</v>
      </c>
    </row>
    <row r="553" spans="1:21" x14ac:dyDescent="0.2">
      <c r="A553" s="10" t="str">
        <f>HYPERLINK("http://www.ofsted.gov.uk/inspection-reports/find-inspection-report/provider/ELS/144079 ","Ofsted School Webpage")</f>
        <v>Ofsted School Webpage</v>
      </c>
      <c r="B553" s="92">
        <v>144079</v>
      </c>
      <c r="C553" s="92">
        <v>3322147</v>
      </c>
      <c r="D553" s="92" t="s">
        <v>1703</v>
      </c>
      <c r="E553" s="92" t="s">
        <v>94</v>
      </c>
      <c r="F553" s="92" t="s">
        <v>429</v>
      </c>
      <c r="G553" s="9">
        <v>43040</v>
      </c>
      <c r="H553" s="92" t="s">
        <v>271</v>
      </c>
      <c r="I553" s="92" t="s">
        <v>272</v>
      </c>
      <c r="J553" s="92" t="s">
        <v>273</v>
      </c>
      <c r="K553" s="92" t="s">
        <v>273</v>
      </c>
      <c r="L553" s="92" t="s">
        <v>274</v>
      </c>
      <c r="M553" s="92" t="s">
        <v>226</v>
      </c>
      <c r="N553" s="92" t="s">
        <v>226</v>
      </c>
      <c r="O553" s="92" t="s">
        <v>240</v>
      </c>
      <c r="P553" s="92" t="s">
        <v>1135</v>
      </c>
      <c r="Q553" s="92" t="s">
        <v>1704</v>
      </c>
      <c r="R553" s="92">
        <v>5</v>
      </c>
      <c r="S553" s="92">
        <v>481</v>
      </c>
      <c r="T553" s="9">
        <v>44126</v>
      </c>
      <c r="U553" s="9">
        <v>44160</v>
      </c>
    </row>
    <row r="554" spans="1:21" x14ac:dyDescent="0.2">
      <c r="A554" s="10" t="str">
        <f>HYPERLINK("http://www.ofsted.gov.uk/inspection-reports/find-inspection-report/provider/ELS/144537 ","Ofsted School Webpage")</f>
        <v>Ofsted School Webpage</v>
      </c>
      <c r="B554" s="92">
        <v>144537</v>
      </c>
      <c r="C554" s="92">
        <v>8735205</v>
      </c>
      <c r="D554" s="92" t="s">
        <v>1705</v>
      </c>
      <c r="E554" s="92" t="s">
        <v>94</v>
      </c>
      <c r="F554" s="92" t="s">
        <v>429</v>
      </c>
      <c r="G554" s="9">
        <v>42917</v>
      </c>
      <c r="H554" s="92" t="s">
        <v>271</v>
      </c>
      <c r="I554" s="92" t="s">
        <v>272</v>
      </c>
      <c r="J554" s="92" t="s">
        <v>410</v>
      </c>
      <c r="K554" s="92" t="s">
        <v>273</v>
      </c>
      <c r="L554" s="92" t="s">
        <v>274</v>
      </c>
      <c r="M554" s="92" t="s">
        <v>110</v>
      </c>
      <c r="N554" s="92" t="s">
        <v>110</v>
      </c>
      <c r="O554" s="92" t="s">
        <v>112</v>
      </c>
      <c r="P554" s="92" t="s">
        <v>445</v>
      </c>
      <c r="Q554" s="92" t="s">
        <v>1706</v>
      </c>
      <c r="R554" s="92">
        <v>2</v>
      </c>
      <c r="S554" s="92">
        <v>418</v>
      </c>
      <c r="T554" s="9">
        <v>44126</v>
      </c>
      <c r="U554" s="9">
        <v>44158</v>
      </c>
    </row>
    <row r="555" spans="1:21" x14ac:dyDescent="0.2">
      <c r="A555" s="10" t="str">
        <f>HYPERLINK("http://www.ofsted.gov.uk/inspection-reports/find-inspection-report/provider/ELS/141133 ","Ofsted School Webpage")</f>
        <v>Ofsted School Webpage</v>
      </c>
      <c r="B555" s="92">
        <v>141133</v>
      </c>
      <c r="C555" s="92">
        <v>2114001</v>
      </c>
      <c r="D555" s="92" t="s">
        <v>1707</v>
      </c>
      <c r="E555" s="92" t="s">
        <v>95</v>
      </c>
      <c r="F555" s="92" t="s">
        <v>491</v>
      </c>
      <c r="G555" s="9">
        <v>41883</v>
      </c>
      <c r="H555" s="92" t="s">
        <v>484</v>
      </c>
      <c r="I555" s="92" t="s">
        <v>272</v>
      </c>
      <c r="J555" s="92" t="s">
        <v>410</v>
      </c>
      <c r="K555" s="92" t="s">
        <v>410</v>
      </c>
      <c r="L555" s="92" t="s">
        <v>274</v>
      </c>
      <c r="M555" s="92" t="s">
        <v>122</v>
      </c>
      <c r="N555" s="92" t="s">
        <v>122</v>
      </c>
      <c r="O555" s="92" t="s">
        <v>141</v>
      </c>
      <c r="P555" s="92" t="s">
        <v>1184</v>
      </c>
      <c r="Q555" s="92" t="s">
        <v>1708</v>
      </c>
      <c r="R555" s="92">
        <v>5</v>
      </c>
      <c r="S555" s="92">
        <v>426</v>
      </c>
      <c r="T555" s="9">
        <v>44126</v>
      </c>
      <c r="U555" s="9">
        <v>44171</v>
      </c>
    </row>
    <row r="556" spans="1:21" x14ac:dyDescent="0.2">
      <c r="A556" s="10" t="str">
        <f>HYPERLINK("http://www.ofsted.gov.uk/inspection-reports/find-inspection-report/provider/ELS/142800 ","Ofsted School Webpage")</f>
        <v>Ofsted School Webpage</v>
      </c>
      <c r="B556" s="92">
        <v>142800</v>
      </c>
      <c r="C556" s="92">
        <v>9332048</v>
      </c>
      <c r="D556" s="92" t="s">
        <v>1709</v>
      </c>
      <c r="E556" s="92" t="s">
        <v>94</v>
      </c>
      <c r="F556" s="92" t="s">
        <v>429</v>
      </c>
      <c r="G556" s="9">
        <v>42491</v>
      </c>
      <c r="H556" s="92" t="s">
        <v>271</v>
      </c>
      <c r="I556" s="92" t="s">
        <v>272</v>
      </c>
      <c r="J556" s="92" t="s">
        <v>273</v>
      </c>
      <c r="K556" s="92" t="s">
        <v>273</v>
      </c>
      <c r="L556" s="92" t="s">
        <v>274</v>
      </c>
      <c r="M556" s="92" t="s">
        <v>211</v>
      </c>
      <c r="N556" s="92" t="s">
        <v>211</v>
      </c>
      <c r="O556" s="92" t="s">
        <v>218</v>
      </c>
      <c r="P556" s="92" t="s">
        <v>414</v>
      </c>
      <c r="Q556" s="92" t="s">
        <v>1710</v>
      </c>
      <c r="R556" s="92">
        <v>3</v>
      </c>
      <c r="S556" s="92">
        <v>332</v>
      </c>
      <c r="T556" s="9">
        <v>44126</v>
      </c>
      <c r="U556" s="9">
        <v>44154</v>
      </c>
    </row>
    <row r="557" spans="1:21" x14ac:dyDescent="0.2">
      <c r="A557" s="10" t="str">
        <f>HYPERLINK("http://www.ofsted.gov.uk/inspection-reports/find-inspection-report/provider/ELS/138833 ","Ofsted School Webpage")</f>
        <v>Ofsted School Webpage</v>
      </c>
      <c r="B557" s="92">
        <v>138833</v>
      </c>
      <c r="C557" s="92">
        <v>8554508</v>
      </c>
      <c r="D557" s="92" t="s">
        <v>1711</v>
      </c>
      <c r="E557" s="92" t="s">
        <v>95</v>
      </c>
      <c r="F557" s="92" t="s">
        <v>429</v>
      </c>
      <c r="G557" s="9">
        <v>41183</v>
      </c>
      <c r="H557" s="92" t="s">
        <v>299</v>
      </c>
      <c r="I557" s="92" t="s">
        <v>300</v>
      </c>
      <c r="J557" s="92" t="s">
        <v>410</v>
      </c>
      <c r="K557" s="92" t="s">
        <v>273</v>
      </c>
      <c r="L557" s="92" t="s">
        <v>274</v>
      </c>
      <c r="M557" s="92" t="s">
        <v>100</v>
      </c>
      <c r="N557" s="92" t="s">
        <v>100</v>
      </c>
      <c r="O557" s="92" t="s">
        <v>108</v>
      </c>
      <c r="P557" s="92" t="s">
        <v>1712</v>
      </c>
      <c r="Q557" s="92" t="s">
        <v>1713</v>
      </c>
      <c r="R557" s="92">
        <v>1</v>
      </c>
      <c r="S557" s="92">
        <v>1762</v>
      </c>
      <c r="T557" s="9">
        <v>44131</v>
      </c>
      <c r="U557" s="9">
        <v>44166</v>
      </c>
    </row>
    <row r="558" spans="1:21" x14ac:dyDescent="0.2">
      <c r="A558" s="10" t="str">
        <f>HYPERLINK("http://www.ofsted.gov.uk/inspection-reports/find-inspection-report/provider/ELS/120049 ","Ofsted School Webpage")</f>
        <v>Ofsted School Webpage</v>
      </c>
      <c r="B558" s="92">
        <v>120049</v>
      </c>
      <c r="C558" s="92">
        <v>8552319</v>
      </c>
      <c r="D558" s="92" t="s">
        <v>1714</v>
      </c>
      <c r="E558" s="92" t="s">
        <v>94</v>
      </c>
      <c r="F558" s="92" t="s">
        <v>269</v>
      </c>
      <c r="G558" s="9" t="s">
        <v>270</v>
      </c>
      <c r="H558" s="92" t="s">
        <v>271</v>
      </c>
      <c r="I558" s="92" t="s">
        <v>272</v>
      </c>
      <c r="J558" s="92" t="s">
        <v>273</v>
      </c>
      <c r="K558" s="92" t="s">
        <v>273</v>
      </c>
      <c r="L558" s="92" t="s">
        <v>274</v>
      </c>
      <c r="M558" s="92" t="s">
        <v>100</v>
      </c>
      <c r="N558" s="92" t="s">
        <v>100</v>
      </c>
      <c r="O558" s="92" t="s">
        <v>108</v>
      </c>
      <c r="P558" s="92" t="s">
        <v>1229</v>
      </c>
      <c r="Q558" s="92" t="s">
        <v>1715</v>
      </c>
      <c r="R558" s="92">
        <v>3</v>
      </c>
      <c r="S558" s="92">
        <v>224</v>
      </c>
      <c r="T558" s="9">
        <v>44133</v>
      </c>
      <c r="U558" s="9">
        <v>44160</v>
      </c>
    </row>
    <row r="559" spans="1:21" x14ac:dyDescent="0.2">
      <c r="A559" s="10" t="str">
        <f>HYPERLINK("http://www.ofsted.gov.uk/inspection-reports/find-inspection-report/provider/ELS/120124 ","Ofsted School Webpage")</f>
        <v>Ofsted School Webpage</v>
      </c>
      <c r="B559" s="92">
        <v>120124</v>
      </c>
      <c r="C559" s="92">
        <v>8553024</v>
      </c>
      <c r="D559" s="92" t="s">
        <v>1716</v>
      </c>
      <c r="E559" s="92" t="s">
        <v>94</v>
      </c>
      <c r="F559" s="92" t="s">
        <v>345</v>
      </c>
      <c r="G559" s="92" t="s">
        <v>270</v>
      </c>
      <c r="H559" s="92" t="s">
        <v>271</v>
      </c>
      <c r="I559" s="92" t="s">
        <v>272</v>
      </c>
      <c r="J559" s="92" t="s">
        <v>346</v>
      </c>
      <c r="K559" s="92" t="s">
        <v>273</v>
      </c>
      <c r="L559" s="92" t="s">
        <v>347</v>
      </c>
      <c r="M559" s="92" t="s">
        <v>100</v>
      </c>
      <c r="N559" s="92" t="s">
        <v>100</v>
      </c>
      <c r="O559" s="92" t="s">
        <v>108</v>
      </c>
      <c r="P559" s="92" t="s">
        <v>1717</v>
      </c>
      <c r="Q559" s="92" t="s">
        <v>1718</v>
      </c>
      <c r="R559" s="92">
        <v>2</v>
      </c>
      <c r="S559" s="92">
        <v>103</v>
      </c>
      <c r="T559" s="9">
        <v>44133</v>
      </c>
      <c r="U559" s="9">
        <v>44157</v>
      </c>
    </row>
    <row r="560" spans="1:21" x14ac:dyDescent="0.2">
      <c r="A560" s="10" t="str">
        <f>HYPERLINK("http://www.ofsted.gov.uk/inspection-reports/find-inspection-report/provider/ELS/119647 ","Ofsted School Webpage")</f>
        <v>Ofsted School Webpage</v>
      </c>
      <c r="B560" s="92">
        <v>119647</v>
      </c>
      <c r="C560" s="92">
        <v>8883748</v>
      </c>
      <c r="D560" s="92" t="s">
        <v>1719</v>
      </c>
      <c r="E560" s="92" t="s">
        <v>94</v>
      </c>
      <c r="F560" s="92" t="s">
        <v>351</v>
      </c>
      <c r="G560" s="92" t="s">
        <v>270</v>
      </c>
      <c r="H560" s="92" t="s">
        <v>271</v>
      </c>
      <c r="I560" s="92" t="s">
        <v>272</v>
      </c>
      <c r="J560" s="92" t="s">
        <v>352</v>
      </c>
      <c r="K560" s="92" t="s">
        <v>273</v>
      </c>
      <c r="L560" s="92" t="s">
        <v>347</v>
      </c>
      <c r="M560" s="92" t="s">
        <v>168</v>
      </c>
      <c r="N560" s="92" t="s">
        <v>168</v>
      </c>
      <c r="O560" s="92" t="s">
        <v>169</v>
      </c>
      <c r="P560" s="92" t="s">
        <v>1720</v>
      </c>
      <c r="Q560" s="92" t="s">
        <v>1721</v>
      </c>
      <c r="R560" s="92">
        <v>1</v>
      </c>
      <c r="S560" s="92">
        <v>80</v>
      </c>
      <c r="T560" s="9">
        <v>44138</v>
      </c>
      <c r="U560" s="9">
        <v>44161</v>
      </c>
    </row>
    <row r="561" spans="1:21" x14ac:dyDescent="0.2">
      <c r="A561" s="10" t="str">
        <f>HYPERLINK("http://www.ofsted.gov.uk/inspection-reports/find-inspection-report/provider/ELS/110023 ","Ofsted School Webpage")</f>
        <v>Ofsted School Webpage</v>
      </c>
      <c r="B561" s="92">
        <v>110023</v>
      </c>
      <c r="C561" s="92">
        <v>8683327</v>
      </c>
      <c r="D561" s="92" t="s">
        <v>1722</v>
      </c>
      <c r="E561" s="92" t="s">
        <v>94</v>
      </c>
      <c r="F561" s="92" t="s">
        <v>351</v>
      </c>
      <c r="G561" s="92" t="s">
        <v>270</v>
      </c>
      <c r="H561" s="92" t="s">
        <v>271</v>
      </c>
      <c r="I561" s="92" t="s">
        <v>272</v>
      </c>
      <c r="J561" s="92" t="s">
        <v>346</v>
      </c>
      <c r="K561" s="92" t="s">
        <v>273</v>
      </c>
      <c r="L561" s="92" t="s">
        <v>347</v>
      </c>
      <c r="M561" s="92" t="s">
        <v>192</v>
      </c>
      <c r="N561" s="92" t="s">
        <v>192</v>
      </c>
      <c r="O561" s="92" t="s">
        <v>208</v>
      </c>
      <c r="P561" s="92" t="s">
        <v>1723</v>
      </c>
      <c r="Q561" s="92" t="s">
        <v>1724</v>
      </c>
      <c r="R561" s="92">
        <v>1</v>
      </c>
      <c r="S561" s="92">
        <v>147</v>
      </c>
      <c r="T561" s="9">
        <v>44138</v>
      </c>
      <c r="U561" s="9">
        <v>44166</v>
      </c>
    </row>
    <row r="562" spans="1:21" x14ac:dyDescent="0.2">
      <c r="A562" s="10" t="str">
        <f>HYPERLINK("http://www.ofsted.gov.uk/inspection-reports/find-inspection-report/provider/ELS/101327 ","Ofsted School Webpage")</f>
        <v>Ofsted School Webpage</v>
      </c>
      <c r="B562" s="92">
        <v>101327</v>
      </c>
      <c r="C562" s="92">
        <v>3023315</v>
      </c>
      <c r="D562" s="92" t="s">
        <v>1725</v>
      </c>
      <c r="E562" s="92" t="s">
        <v>94</v>
      </c>
      <c r="F562" s="92" t="s">
        <v>351</v>
      </c>
      <c r="G562" s="92" t="s">
        <v>270</v>
      </c>
      <c r="H562" s="92" t="s">
        <v>271</v>
      </c>
      <c r="I562" s="92" t="s">
        <v>272</v>
      </c>
      <c r="J562" s="92" t="s">
        <v>346</v>
      </c>
      <c r="K562" s="92" t="s">
        <v>273</v>
      </c>
      <c r="L562" s="92" t="s">
        <v>347</v>
      </c>
      <c r="M562" s="92" t="s">
        <v>122</v>
      </c>
      <c r="N562" s="92" t="s">
        <v>122</v>
      </c>
      <c r="O562" s="92" t="s">
        <v>136</v>
      </c>
      <c r="P562" s="92" t="s">
        <v>1022</v>
      </c>
      <c r="Q562" s="92" t="s">
        <v>1726</v>
      </c>
      <c r="R562" s="92">
        <v>2</v>
      </c>
      <c r="S562" s="92">
        <v>209</v>
      </c>
      <c r="T562" s="9">
        <v>44138</v>
      </c>
      <c r="U562" s="9">
        <v>44166</v>
      </c>
    </row>
    <row r="563" spans="1:21" x14ac:dyDescent="0.2">
      <c r="A563" s="10" t="str">
        <f>HYPERLINK("http://www.ofsted.gov.uk/inspection-reports/find-inspection-report/provider/ELS/115638 ","Ofsted School Webpage")</f>
        <v>Ofsted School Webpage</v>
      </c>
      <c r="B563" s="92">
        <v>115638</v>
      </c>
      <c r="C563" s="92">
        <v>9163053</v>
      </c>
      <c r="D563" s="92" t="s">
        <v>1727</v>
      </c>
      <c r="E563" s="92" t="s">
        <v>94</v>
      </c>
      <c r="F563" s="92" t="s">
        <v>345</v>
      </c>
      <c r="G563" s="92" t="s">
        <v>270</v>
      </c>
      <c r="H563" s="92" t="s">
        <v>271</v>
      </c>
      <c r="I563" s="92" t="s">
        <v>272</v>
      </c>
      <c r="J563" s="92" t="s">
        <v>346</v>
      </c>
      <c r="K563" s="92" t="s">
        <v>273</v>
      </c>
      <c r="L563" s="92" t="s">
        <v>347</v>
      </c>
      <c r="M563" s="92" t="s">
        <v>211</v>
      </c>
      <c r="N563" s="92" t="s">
        <v>211</v>
      </c>
      <c r="O563" s="92" t="s">
        <v>217</v>
      </c>
      <c r="P563" s="92" t="s">
        <v>1349</v>
      </c>
      <c r="Q563" s="92" t="s">
        <v>1728</v>
      </c>
      <c r="R563" s="92">
        <v>3</v>
      </c>
      <c r="S563" s="92">
        <v>47</v>
      </c>
      <c r="T563" s="9">
        <v>44138</v>
      </c>
      <c r="U563" s="9">
        <v>44160</v>
      </c>
    </row>
    <row r="564" spans="1:21" x14ac:dyDescent="0.2">
      <c r="A564" s="10" t="str">
        <f>HYPERLINK("http://www.ofsted.gov.uk/inspection-reports/find-inspection-report/provider/ELS/117473 ","Ofsted School Webpage")</f>
        <v>Ofsted School Webpage</v>
      </c>
      <c r="B564" s="92">
        <v>117473</v>
      </c>
      <c r="C564" s="92">
        <v>9193394</v>
      </c>
      <c r="D564" s="92" t="s">
        <v>1729</v>
      </c>
      <c r="E564" s="92" t="s">
        <v>94</v>
      </c>
      <c r="F564" s="92" t="s">
        <v>351</v>
      </c>
      <c r="G564" s="9" t="s">
        <v>270</v>
      </c>
      <c r="H564" s="92" t="s">
        <v>271</v>
      </c>
      <c r="I564" s="92" t="s">
        <v>272</v>
      </c>
      <c r="J564" s="92" t="s">
        <v>346</v>
      </c>
      <c r="K564" s="92" t="s">
        <v>273</v>
      </c>
      <c r="L564" s="92" t="s">
        <v>347</v>
      </c>
      <c r="M564" s="92" t="s">
        <v>110</v>
      </c>
      <c r="N564" s="92" t="s">
        <v>110</v>
      </c>
      <c r="O564" s="92" t="s">
        <v>117</v>
      </c>
      <c r="P564" s="92" t="s">
        <v>1163</v>
      </c>
      <c r="Q564" s="92" t="s">
        <v>1730</v>
      </c>
      <c r="R564" s="92">
        <v>2</v>
      </c>
      <c r="S564" s="92">
        <v>338</v>
      </c>
      <c r="T564" s="9">
        <v>44138</v>
      </c>
      <c r="U564" s="9">
        <v>44172</v>
      </c>
    </row>
    <row r="565" spans="1:21" x14ac:dyDescent="0.2">
      <c r="A565" s="10" t="str">
        <f>HYPERLINK("http://www.ofsted.gov.uk/inspection-reports/find-inspection-report/provider/ELS/116384 ","Ofsted School Webpage")</f>
        <v>Ofsted School Webpage</v>
      </c>
      <c r="B565" s="92">
        <v>116384</v>
      </c>
      <c r="C565" s="92">
        <v>8513420</v>
      </c>
      <c r="D565" s="92" t="s">
        <v>1731</v>
      </c>
      <c r="E565" s="92" t="s">
        <v>94</v>
      </c>
      <c r="F565" s="92" t="s">
        <v>351</v>
      </c>
      <c r="G565" s="9">
        <v>1</v>
      </c>
      <c r="H565" s="92" t="s">
        <v>271</v>
      </c>
      <c r="I565" s="92" t="s">
        <v>272</v>
      </c>
      <c r="J565" s="92" t="s">
        <v>352</v>
      </c>
      <c r="K565" s="92" t="s">
        <v>273</v>
      </c>
      <c r="L565" s="92" t="s">
        <v>347</v>
      </c>
      <c r="M565" s="92" t="s">
        <v>192</v>
      </c>
      <c r="N565" s="92" t="s">
        <v>192</v>
      </c>
      <c r="O565" s="92" t="s">
        <v>196</v>
      </c>
      <c r="P565" s="92" t="s">
        <v>502</v>
      </c>
      <c r="Q565" s="92" t="s">
        <v>1732</v>
      </c>
      <c r="R565" s="92">
        <v>4</v>
      </c>
      <c r="S565" s="92">
        <v>310</v>
      </c>
      <c r="T565" s="9">
        <v>44138</v>
      </c>
      <c r="U565" s="9">
        <v>44168</v>
      </c>
    </row>
    <row r="566" spans="1:21" x14ac:dyDescent="0.2">
      <c r="A566" s="10" t="str">
        <f>HYPERLINK("http://www.ofsted.gov.uk/inspection-reports/find-inspection-report/provider/ELS/116017 ","Ofsted School Webpage")</f>
        <v>Ofsted School Webpage</v>
      </c>
      <c r="B566" s="92">
        <v>116017</v>
      </c>
      <c r="C566" s="92">
        <v>8502287</v>
      </c>
      <c r="D566" s="92" t="s">
        <v>1733</v>
      </c>
      <c r="E566" s="92" t="s">
        <v>94</v>
      </c>
      <c r="F566" s="92" t="s">
        <v>269</v>
      </c>
      <c r="G566" s="92" t="s">
        <v>270</v>
      </c>
      <c r="H566" s="92" t="s">
        <v>271</v>
      </c>
      <c r="I566" s="92" t="s">
        <v>271</v>
      </c>
      <c r="J566" s="92" t="s">
        <v>273</v>
      </c>
      <c r="K566" s="92" t="s">
        <v>273</v>
      </c>
      <c r="L566" s="92" t="s">
        <v>274</v>
      </c>
      <c r="M566" s="92" t="s">
        <v>192</v>
      </c>
      <c r="N566" s="92" t="s">
        <v>192</v>
      </c>
      <c r="O566" s="92" t="s">
        <v>193</v>
      </c>
      <c r="P566" s="92" t="s">
        <v>459</v>
      </c>
      <c r="Q566" s="92" t="s">
        <v>1734</v>
      </c>
      <c r="R566" s="92">
        <v>4</v>
      </c>
      <c r="S566" s="92">
        <v>421</v>
      </c>
      <c r="T566" s="9">
        <v>44138</v>
      </c>
      <c r="U566" s="9">
        <v>44165</v>
      </c>
    </row>
    <row r="567" spans="1:21" x14ac:dyDescent="0.2">
      <c r="A567" s="10" t="str">
        <f>HYPERLINK("http://www.ofsted.gov.uk/inspection-reports/find-inspection-report/provider/ELS/106403 ","Ofsted School Webpage")</f>
        <v>Ofsted School Webpage</v>
      </c>
      <c r="B567" s="92">
        <v>106403</v>
      </c>
      <c r="C567" s="92">
        <v>3592009</v>
      </c>
      <c r="D567" s="92" t="s">
        <v>1735</v>
      </c>
      <c r="E567" s="92" t="s">
        <v>94</v>
      </c>
      <c r="F567" s="92" t="s">
        <v>269</v>
      </c>
      <c r="G567" s="92" t="s">
        <v>270</v>
      </c>
      <c r="H567" s="92" t="s">
        <v>271</v>
      </c>
      <c r="I567" s="92" t="s">
        <v>272</v>
      </c>
      <c r="J567" s="92" t="s">
        <v>273</v>
      </c>
      <c r="K567" s="92" t="s">
        <v>273</v>
      </c>
      <c r="L567" s="92" t="s">
        <v>274</v>
      </c>
      <c r="M567" s="92" t="s">
        <v>168</v>
      </c>
      <c r="N567" s="92" t="s">
        <v>168</v>
      </c>
      <c r="O567" s="92" t="s">
        <v>188</v>
      </c>
      <c r="P567" s="92" t="s">
        <v>188</v>
      </c>
      <c r="Q567" s="92" t="s">
        <v>1736</v>
      </c>
      <c r="R567" s="92">
        <v>5</v>
      </c>
      <c r="S567" s="92">
        <v>368</v>
      </c>
      <c r="T567" s="9">
        <v>44138</v>
      </c>
      <c r="U567" s="9">
        <v>44166</v>
      </c>
    </row>
    <row r="568" spans="1:21" x14ac:dyDescent="0.2">
      <c r="A568" s="10" t="str">
        <f>HYPERLINK("http://www.ofsted.gov.uk/inspection-reports/find-inspection-report/provider/ELS/112164 ","Ofsted School Webpage")</f>
        <v>Ofsted School Webpage</v>
      </c>
      <c r="B568" s="92">
        <v>112164</v>
      </c>
      <c r="C568" s="92">
        <v>9092225</v>
      </c>
      <c r="D568" s="92" t="s">
        <v>1737</v>
      </c>
      <c r="E568" s="92" t="s">
        <v>94</v>
      </c>
      <c r="F568" s="92" t="s">
        <v>269</v>
      </c>
      <c r="G568" s="92" t="s">
        <v>270</v>
      </c>
      <c r="H568" s="92" t="s">
        <v>271</v>
      </c>
      <c r="I568" s="92" t="s">
        <v>272</v>
      </c>
      <c r="J568" s="92" t="s">
        <v>273</v>
      </c>
      <c r="K568" s="92" t="s">
        <v>273</v>
      </c>
      <c r="L568" s="92" t="s">
        <v>274</v>
      </c>
      <c r="M568" s="92" t="s">
        <v>168</v>
      </c>
      <c r="N568" s="92" t="s">
        <v>168</v>
      </c>
      <c r="O568" s="92" t="s">
        <v>176</v>
      </c>
      <c r="P568" s="92" t="s">
        <v>374</v>
      </c>
      <c r="Q568" s="92" t="s">
        <v>1738</v>
      </c>
      <c r="R568" s="92">
        <v>2</v>
      </c>
      <c r="S568" s="92">
        <v>213</v>
      </c>
      <c r="T568" s="9">
        <v>44138</v>
      </c>
      <c r="U568" s="9">
        <v>44166</v>
      </c>
    </row>
    <row r="569" spans="1:21" x14ac:dyDescent="0.2">
      <c r="A569" s="10" t="str">
        <f>HYPERLINK("http://www.ofsted.gov.uk/inspection-reports/find-inspection-report/provider/ELS/120388 ","Ofsted School Webpage")</f>
        <v>Ofsted School Webpage</v>
      </c>
      <c r="B569" s="92">
        <v>120388</v>
      </c>
      <c r="C569" s="92">
        <v>9252039</v>
      </c>
      <c r="D569" s="92" t="s">
        <v>1739</v>
      </c>
      <c r="E569" s="92" t="s">
        <v>94</v>
      </c>
      <c r="F569" s="92" t="s">
        <v>269</v>
      </c>
      <c r="G569" s="92" t="s">
        <v>270</v>
      </c>
      <c r="H569" s="92" t="s">
        <v>271</v>
      </c>
      <c r="I569" s="92" t="s">
        <v>272</v>
      </c>
      <c r="J569" s="92" t="s">
        <v>273</v>
      </c>
      <c r="K569" s="92" t="s">
        <v>273</v>
      </c>
      <c r="L569" s="92" t="s">
        <v>274</v>
      </c>
      <c r="M569" s="92" t="s">
        <v>100</v>
      </c>
      <c r="N569" s="92" t="s">
        <v>100</v>
      </c>
      <c r="O569" s="92" t="s">
        <v>104</v>
      </c>
      <c r="P569" s="92" t="s">
        <v>1681</v>
      </c>
      <c r="Q569" s="92" t="s">
        <v>1740</v>
      </c>
      <c r="R569" s="92">
        <v>1</v>
      </c>
      <c r="S569" s="92">
        <v>156</v>
      </c>
      <c r="T569" s="9">
        <v>44138</v>
      </c>
      <c r="U569" s="9">
        <v>44161</v>
      </c>
    </row>
    <row r="570" spans="1:21" x14ac:dyDescent="0.2">
      <c r="A570" s="10" t="str">
        <f>HYPERLINK("http://www.ofsted.gov.uk/inspection-reports/find-inspection-report/provider/ELS/106698 ","Ofsted School Webpage")</f>
        <v>Ofsted School Webpage</v>
      </c>
      <c r="B570" s="92">
        <v>106698</v>
      </c>
      <c r="C570" s="92">
        <v>3712115</v>
      </c>
      <c r="D570" s="92" t="s">
        <v>1741</v>
      </c>
      <c r="E570" s="92" t="s">
        <v>94</v>
      </c>
      <c r="F570" s="92" t="s">
        <v>269</v>
      </c>
      <c r="G570" s="92" t="s">
        <v>270</v>
      </c>
      <c r="H570" s="92" t="s">
        <v>271</v>
      </c>
      <c r="I570" s="92" t="s">
        <v>272</v>
      </c>
      <c r="J570" s="92" t="s">
        <v>273</v>
      </c>
      <c r="K570" s="92" t="s">
        <v>273</v>
      </c>
      <c r="L570" s="92" t="s">
        <v>274</v>
      </c>
      <c r="M570" s="92" t="s">
        <v>261</v>
      </c>
      <c r="N570" s="92" t="s">
        <v>241</v>
      </c>
      <c r="O570" s="92" t="s">
        <v>248</v>
      </c>
      <c r="P570" s="92" t="s">
        <v>538</v>
      </c>
      <c r="Q570" s="92" t="s">
        <v>1742</v>
      </c>
      <c r="R570" s="92">
        <v>4</v>
      </c>
      <c r="S570" s="92">
        <v>158</v>
      </c>
      <c r="T570" s="9">
        <v>44138</v>
      </c>
      <c r="U570" s="9">
        <v>44159</v>
      </c>
    </row>
    <row r="571" spans="1:21" x14ac:dyDescent="0.2">
      <c r="A571" s="10" t="str">
        <f>HYPERLINK("http://www.ofsted.gov.uk/inspection-reports/find-inspection-report/provider/ELS/121324 ","Ofsted School Webpage")</f>
        <v>Ofsted School Webpage</v>
      </c>
      <c r="B571" s="92">
        <v>121324</v>
      </c>
      <c r="C571" s="92">
        <v>8152138</v>
      </c>
      <c r="D571" s="92" t="s">
        <v>1743</v>
      </c>
      <c r="E571" s="92" t="s">
        <v>94</v>
      </c>
      <c r="F571" s="92" t="s">
        <v>269</v>
      </c>
      <c r="G571" s="9" t="s">
        <v>270</v>
      </c>
      <c r="H571" s="92" t="s">
        <v>271</v>
      </c>
      <c r="I571" s="92" t="s">
        <v>272</v>
      </c>
      <c r="J571" s="92" t="s">
        <v>273</v>
      </c>
      <c r="K571" s="92" t="s">
        <v>273</v>
      </c>
      <c r="L571" s="92" t="s">
        <v>274</v>
      </c>
      <c r="M571" s="92" t="s">
        <v>261</v>
      </c>
      <c r="N571" s="92" t="s">
        <v>241</v>
      </c>
      <c r="O571" s="92" t="s">
        <v>247</v>
      </c>
      <c r="P571" s="92" t="s">
        <v>751</v>
      </c>
      <c r="Q571" s="92" t="s">
        <v>1744</v>
      </c>
      <c r="R571" s="92">
        <v>1</v>
      </c>
      <c r="S571" s="92">
        <v>19</v>
      </c>
      <c r="T571" s="9">
        <v>44138</v>
      </c>
      <c r="U571" s="9">
        <v>44159</v>
      </c>
    </row>
    <row r="572" spans="1:21" x14ac:dyDescent="0.2">
      <c r="A572" s="10" t="str">
        <f>HYPERLINK("http://www.ofsted.gov.uk/inspection-reports/find-inspection-report/provider/ELS/126423 ","Ofsted School Webpage")</f>
        <v>Ofsted School Webpage</v>
      </c>
      <c r="B572" s="92">
        <v>126423</v>
      </c>
      <c r="C572" s="92">
        <v>8653412</v>
      </c>
      <c r="D572" s="92" t="s">
        <v>1745</v>
      </c>
      <c r="E572" s="92" t="s">
        <v>94</v>
      </c>
      <c r="F572" s="92" t="s">
        <v>351</v>
      </c>
      <c r="G572" s="9" t="s">
        <v>270</v>
      </c>
      <c r="H572" s="92" t="s">
        <v>271</v>
      </c>
      <c r="I572" s="92" t="s">
        <v>271</v>
      </c>
      <c r="J572" s="92" t="s">
        <v>352</v>
      </c>
      <c r="K572" s="92" t="s">
        <v>273</v>
      </c>
      <c r="L572" s="92" t="s">
        <v>347</v>
      </c>
      <c r="M572" s="92" t="s">
        <v>211</v>
      </c>
      <c r="N572" s="92" t="s">
        <v>211</v>
      </c>
      <c r="O572" s="92" t="s">
        <v>225</v>
      </c>
      <c r="P572" s="92" t="s">
        <v>1746</v>
      </c>
      <c r="Q572" s="92" t="s">
        <v>1747</v>
      </c>
      <c r="R572" s="92">
        <v>3</v>
      </c>
      <c r="S572" s="92">
        <v>176</v>
      </c>
      <c r="T572" s="9">
        <v>44138</v>
      </c>
      <c r="U572" s="9">
        <v>44164</v>
      </c>
    </row>
    <row r="573" spans="1:21" x14ac:dyDescent="0.2">
      <c r="A573" s="10" t="str">
        <f>HYPERLINK("http://www.ofsted.gov.uk/inspection-reports/find-inspection-report/provider/ELS/132215 ","Ofsted School Webpage")</f>
        <v>Ofsted School Webpage</v>
      </c>
      <c r="B573" s="92">
        <v>132215</v>
      </c>
      <c r="C573" s="92">
        <v>8792729</v>
      </c>
      <c r="D573" s="92" t="s">
        <v>1748</v>
      </c>
      <c r="E573" s="92" t="s">
        <v>94</v>
      </c>
      <c r="F573" s="92" t="s">
        <v>397</v>
      </c>
      <c r="G573" s="9">
        <v>36770</v>
      </c>
      <c r="H573" s="92" t="s">
        <v>271</v>
      </c>
      <c r="I573" s="92" t="s">
        <v>272</v>
      </c>
      <c r="J573" s="92" t="s">
        <v>273</v>
      </c>
      <c r="K573" s="92" t="s">
        <v>273</v>
      </c>
      <c r="L573" s="92" t="s">
        <v>274</v>
      </c>
      <c r="M573" s="92" t="s">
        <v>211</v>
      </c>
      <c r="N573" s="92" t="s">
        <v>211</v>
      </c>
      <c r="O573" s="92" t="s">
        <v>214</v>
      </c>
      <c r="P573" s="92" t="s">
        <v>607</v>
      </c>
      <c r="Q573" s="92" t="s">
        <v>916</v>
      </c>
      <c r="R573" s="92">
        <v>5</v>
      </c>
      <c r="S573" s="92">
        <v>411</v>
      </c>
      <c r="T573" s="9">
        <v>44138</v>
      </c>
      <c r="U573" s="9">
        <v>44165</v>
      </c>
    </row>
    <row r="574" spans="1:21" x14ac:dyDescent="0.2">
      <c r="A574" s="10" t="str">
        <f>HYPERLINK("http://www.ofsted.gov.uk/inspection-reports/find-inspection-report/provider/ELS/108350 ","Ofsted School Webpage")</f>
        <v>Ofsted School Webpage</v>
      </c>
      <c r="B574" s="92">
        <v>108350</v>
      </c>
      <c r="C574" s="92">
        <v>3902184</v>
      </c>
      <c r="D574" s="92" t="s">
        <v>1749</v>
      </c>
      <c r="E574" s="92" t="s">
        <v>94</v>
      </c>
      <c r="F574" s="92" t="s">
        <v>269</v>
      </c>
      <c r="G574" s="9" t="s">
        <v>270</v>
      </c>
      <c r="H574" s="92" t="s">
        <v>299</v>
      </c>
      <c r="I574" s="92" t="s">
        <v>272</v>
      </c>
      <c r="J574" s="92" t="s">
        <v>273</v>
      </c>
      <c r="K574" s="92" t="s">
        <v>273</v>
      </c>
      <c r="L574" s="92" t="s">
        <v>274</v>
      </c>
      <c r="M574" s="92" t="s">
        <v>261</v>
      </c>
      <c r="N574" s="92" t="s">
        <v>155</v>
      </c>
      <c r="O574" s="92" t="s">
        <v>166</v>
      </c>
      <c r="P574" s="92" t="s">
        <v>1750</v>
      </c>
      <c r="Q574" s="92" t="s">
        <v>1751</v>
      </c>
      <c r="R574" s="92">
        <v>3</v>
      </c>
      <c r="S574" s="92">
        <v>430</v>
      </c>
      <c r="T574" s="9">
        <v>44138</v>
      </c>
      <c r="U574" s="9">
        <v>44168</v>
      </c>
    </row>
    <row r="575" spans="1:21" x14ac:dyDescent="0.2">
      <c r="A575" s="10" t="str">
        <f>HYPERLINK("http://www.ofsted.gov.uk/inspection-reports/find-inspection-report/provider/ELS/135224 ","Ofsted School Webpage")</f>
        <v>Ofsted School Webpage</v>
      </c>
      <c r="B575" s="92">
        <v>135224</v>
      </c>
      <c r="C575" s="92">
        <v>9193990</v>
      </c>
      <c r="D575" s="92" t="s">
        <v>1752</v>
      </c>
      <c r="E575" s="92" t="s">
        <v>94</v>
      </c>
      <c r="F575" s="92" t="s">
        <v>269</v>
      </c>
      <c r="G575" s="9">
        <v>39692</v>
      </c>
      <c r="H575" s="92" t="s">
        <v>271</v>
      </c>
      <c r="I575" s="92" t="s">
        <v>272</v>
      </c>
      <c r="J575" s="92" t="s">
        <v>273</v>
      </c>
      <c r="K575" s="92" t="s">
        <v>273</v>
      </c>
      <c r="L575" s="92" t="s">
        <v>274</v>
      </c>
      <c r="M575" s="92" t="s">
        <v>110</v>
      </c>
      <c r="N575" s="92" t="s">
        <v>110</v>
      </c>
      <c r="O575" s="92" t="s">
        <v>117</v>
      </c>
      <c r="P575" s="92" t="s">
        <v>1753</v>
      </c>
      <c r="Q575" s="92" t="s">
        <v>1754</v>
      </c>
      <c r="R575" s="92">
        <v>3</v>
      </c>
      <c r="S575" s="92">
        <v>431</v>
      </c>
      <c r="T575" s="9">
        <v>44138</v>
      </c>
      <c r="U575" s="9">
        <v>44168</v>
      </c>
    </row>
    <row r="576" spans="1:21" x14ac:dyDescent="0.2">
      <c r="A576" s="10" t="str">
        <f>HYPERLINK("http://www.ofsted.gov.uk/inspection-reports/find-inspection-report/provider/ELS/121671 ","Ofsted School Webpage")</f>
        <v>Ofsted School Webpage</v>
      </c>
      <c r="B576" s="92">
        <v>121671</v>
      </c>
      <c r="C576" s="92">
        <v>8154054</v>
      </c>
      <c r="D576" s="92" t="s">
        <v>1755</v>
      </c>
      <c r="E576" s="92" t="s">
        <v>95</v>
      </c>
      <c r="F576" s="92" t="s">
        <v>269</v>
      </c>
      <c r="G576" s="92" t="s">
        <v>270</v>
      </c>
      <c r="H576" s="92" t="s">
        <v>299</v>
      </c>
      <c r="I576" s="92" t="s">
        <v>300</v>
      </c>
      <c r="J576" s="92" t="s">
        <v>273</v>
      </c>
      <c r="K576" s="92" t="s">
        <v>273</v>
      </c>
      <c r="L576" s="92" t="s">
        <v>274</v>
      </c>
      <c r="M576" s="92" t="s">
        <v>261</v>
      </c>
      <c r="N576" s="92" t="s">
        <v>241</v>
      </c>
      <c r="O576" s="92" t="s">
        <v>247</v>
      </c>
      <c r="P576" s="92" t="s">
        <v>751</v>
      </c>
      <c r="Q576" s="92" t="s">
        <v>1756</v>
      </c>
      <c r="R576" s="92">
        <v>1</v>
      </c>
      <c r="S576" s="92">
        <v>921</v>
      </c>
      <c r="T576" s="9">
        <v>44138</v>
      </c>
      <c r="U576" s="9">
        <v>44172</v>
      </c>
    </row>
    <row r="577" spans="1:21" x14ac:dyDescent="0.2">
      <c r="A577" s="10" t="str">
        <f>HYPERLINK("http://www.ofsted.gov.uk/inspection-reports/find-inspection-report/provider/ELS/115916 ","Ofsted School Webpage")</f>
        <v>Ofsted School Webpage</v>
      </c>
      <c r="B577" s="92">
        <v>115916</v>
      </c>
      <c r="C577" s="92">
        <v>8502113</v>
      </c>
      <c r="D577" s="92" t="s">
        <v>1757</v>
      </c>
      <c r="E577" s="92" t="s">
        <v>94</v>
      </c>
      <c r="F577" s="92" t="s">
        <v>269</v>
      </c>
      <c r="G577" s="92" t="s">
        <v>270</v>
      </c>
      <c r="H577" s="92" t="s">
        <v>271</v>
      </c>
      <c r="I577" s="92" t="s">
        <v>272</v>
      </c>
      <c r="J577" s="92" t="s">
        <v>273</v>
      </c>
      <c r="K577" s="92" t="s">
        <v>273</v>
      </c>
      <c r="L577" s="92" t="s">
        <v>274</v>
      </c>
      <c r="M577" s="92" t="s">
        <v>192</v>
      </c>
      <c r="N577" s="92" t="s">
        <v>192</v>
      </c>
      <c r="O577" s="92" t="s">
        <v>193</v>
      </c>
      <c r="P577" s="92" t="s">
        <v>1758</v>
      </c>
      <c r="Q577" s="92" t="s">
        <v>1759</v>
      </c>
      <c r="R577" s="92">
        <v>3</v>
      </c>
      <c r="S577" s="92">
        <v>311</v>
      </c>
      <c r="T577" s="9">
        <v>44138</v>
      </c>
      <c r="U577" s="9">
        <v>44165</v>
      </c>
    </row>
    <row r="578" spans="1:21" x14ac:dyDescent="0.2">
      <c r="A578" s="10" t="str">
        <f>HYPERLINK("http://www.ofsted.gov.uk/inspection-reports/find-inspection-report/provider/ELS/116686 ","Ofsted School Webpage")</f>
        <v>Ofsted School Webpage</v>
      </c>
      <c r="B578" s="92">
        <v>116686</v>
      </c>
      <c r="C578" s="92">
        <v>8842071</v>
      </c>
      <c r="D578" s="92" t="s">
        <v>1760</v>
      </c>
      <c r="E578" s="92" t="s">
        <v>94</v>
      </c>
      <c r="F578" s="92" t="s">
        <v>269</v>
      </c>
      <c r="G578" s="9" t="s">
        <v>270</v>
      </c>
      <c r="H578" s="92" t="s">
        <v>271</v>
      </c>
      <c r="I578" s="92" t="s">
        <v>272</v>
      </c>
      <c r="J578" s="92" t="s">
        <v>273</v>
      </c>
      <c r="K578" s="92" t="s">
        <v>273</v>
      </c>
      <c r="L578" s="92" t="s">
        <v>274</v>
      </c>
      <c r="M578" s="92" t="s">
        <v>226</v>
      </c>
      <c r="N578" s="92" t="s">
        <v>226</v>
      </c>
      <c r="O578" s="92" t="s">
        <v>227</v>
      </c>
      <c r="P578" s="92" t="s">
        <v>348</v>
      </c>
      <c r="Q578" s="92" t="s">
        <v>1761</v>
      </c>
      <c r="R578" s="92">
        <v>3</v>
      </c>
      <c r="S578" s="92">
        <v>615</v>
      </c>
      <c r="T578" s="9">
        <v>44138</v>
      </c>
      <c r="U578" s="9">
        <v>44167</v>
      </c>
    </row>
    <row r="579" spans="1:21" x14ac:dyDescent="0.2">
      <c r="A579" s="10" t="str">
        <f>HYPERLINK("http://www.ofsted.gov.uk/inspection-reports/find-inspection-report/provider/ELS/103500 ","Ofsted School Webpage")</f>
        <v>Ofsted School Webpage</v>
      </c>
      <c r="B579" s="92">
        <v>103500</v>
      </c>
      <c r="C579" s="92">
        <v>3304188</v>
      </c>
      <c r="D579" s="92" t="s">
        <v>1762</v>
      </c>
      <c r="E579" s="92" t="s">
        <v>95</v>
      </c>
      <c r="F579" s="92" t="s">
        <v>269</v>
      </c>
      <c r="G579" s="9" t="s">
        <v>270</v>
      </c>
      <c r="H579" s="92" t="s">
        <v>299</v>
      </c>
      <c r="I579" s="92" t="s">
        <v>271</v>
      </c>
      <c r="J579" s="92" t="s">
        <v>273</v>
      </c>
      <c r="K579" s="92" t="s">
        <v>273</v>
      </c>
      <c r="L579" s="92" t="s">
        <v>274</v>
      </c>
      <c r="M579" s="92" t="s">
        <v>226</v>
      </c>
      <c r="N579" s="92" t="s">
        <v>226</v>
      </c>
      <c r="O579" s="92" t="s">
        <v>232</v>
      </c>
      <c r="P579" s="92" t="s">
        <v>1763</v>
      </c>
      <c r="Q579" s="92" t="s">
        <v>1764</v>
      </c>
      <c r="R579" s="92">
        <v>5</v>
      </c>
      <c r="S579" s="92">
        <v>648</v>
      </c>
      <c r="T579" s="9">
        <v>44138</v>
      </c>
      <c r="U579" s="9">
        <v>44172</v>
      </c>
    </row>
    <row r="580" spans="1:21" x14ac:dyDescent="0.2">
      <c r="A580" s="10" t="str">
        <f>HYPERLINK("http://www.ofsted.gov.uk/inspection-reports/find-inspection-report/provider/ELS/130352 ","Ofsted School Webpage")</f>
        <v>Ofsted School Webpage</v>
      </c>
      <c r="B580" s="92">
        <v>130352</v>
      </c>
      <c r="C580" s="92">
        <v>2112922</v>
      </c>
      <c r="D580" s="92" t="s">
        <v>1765</v>
      </c>
      <c r="E580" s="92" t="s">
        <v>94</v>
      </c>
      <c r="F580" s="92" t="s">
        <v>269</v>
      </c>
      <c r="G580" s="9">
        <v>35067</v>
      </c>
      <c r="H580" s="92" t="s">
        <v>271</v>
      </c>
      <c r="I580" s="92" t="s">
        <v>272</v>
      </c>
      <c r="J580" s="92" t="s">
        <v>273</v>
      </c>
      <c r="K580" s="92" t="s">
        <v>273</v>
      </c>
      <c r="L580" s="92" t="s">
        <v>274</v>
      </c>
      <c r="M580" s="92" t="s">
        <v>122</v>
      </c>
      <c r="N580" s="92" t="s">
        <v>122</v>
      </c>
      <c r="O580" s="92" t="s">
        <v>141</v>
      </c>
      <c r="P580" s="92" t="s">
        <v>1766</v>
      </c>
      <c r="Q580" s="92" t="s">
        <v>1767</v>
      </c>
      <c r="R580" s="92">
        <v>5</v>
      </c>
      <c r="S580" s="92">
        <v>611</v>
      </c>
      <c r="T580" s="9">
        <v>44138</v>
      </c>
      <c r="U580" s="9">
        <v>44174</v>
      </c>
    </row>
    <row r="581" spans="1:21" x14ac:dyDescent="0.2">
      <c r="A581" s="10" t="str">
        <f>HYPERLINK("http://www.ofsted.gov.uk/inspection-reports/find-inspection-report/provider/ELS/131843 ","Ofsted School Webpage")</f>
        <v>Ofsted School Webpage</v>
      </c>
      <c r="B581" s="92">
        <v>131843</v>
      </c>
      <c r="C581" s="92">
        <v>2102858</v>
      </c>
      <c r="D581" s="92" t="s">
        <v>1768</v>
      </c>
      <c r="E581" s="92" t="s">
        <v>94</v>
      </c>
      <c r="F581" s="92" t="s">
        <v>269</v>
      </c>
      <c r="G581" s="9">
        <v>36039</v>
      </c>
      <c r="H581" s="92" t="s">
        <v>271</v>
      </c>
      <c r="I581" s="92" t="s">
        <v>272</v>
      </c>
      <c r="J581" s="92" t="s">
        <v>273</v>
      </c>
      <c r="K581" s="92" t="s">
        <v>273</v>
      </c>
      <c r="L581" s="92" t="s">
        <v>274</v>
      </c>
      <c r="M581" s="92" t="s">
        <v>122</v>
      </c>
      <c r="N581" s="92" t="s">
        <v>122</v>
      </c>
      <c r="O581" s="92" t="s">
        <v>148</v>
      </c>
      <c r="P581" s="92" t="s">
        <v>1769</v>
      </c>
      <c r="Q581" s="92" t="s">
        <v>1770</v>
      </c>
      <c r="R581" s="92">
        <v>5</v>
      </c>
      <c r="S581" s="92">
        <v>402</v>
      </c>
      <c r="T581" s="9">
        <v>44138</v>
      </c>
      <c r="U581" s="9">
        <v>44175</v>
      </c>
    </row>
    <row r="582" spans="1:21" x14ac:dyDescent="0.2">
      <c r="A582" s="10" t="str">
        <f>HYPERLINK("http://www.ofsted.gov.uk/inspection-reports/find-inspection-report/provider/ELS/118357 ","Ofsted School Webpage")</f>
        <v>Ofsted School Webpage</v>
      </c>
      <c r="B582" s="92">
        <v>118357</v>
      </c>
      <c r="C582" s="92">
        <v>8862259</v>
      </c>
      <c r="D582" s="92" t="s">
        <v>1771</v>
      </c>
      <c r="E582" s="92" t="s">
        <v>94</v>
      </c>
      <c r="F582" s="92" t="s">
        <v>269</v>
      </c>
      <c r="G582" s="9" t="s">
        <v>270</v>
      </c>
      <c r="H582" s="92" t="s">
        <v>271</v>
      </c>
      <c r="I582" s="92" t="s">
        <v>272</v>
      </c>
      <c r="J582" s="92" t="s">
        <v>273</v>
      </c>
      <c r="K582" s="92" t="s">
        <v>273</v>
      </c>
      <c r="L582" s="92" t="s">
        <v>274</v>
      </c>
      <c r="M582" s="92" t="s">
        <v>192</v>
      </c>
      <c r="N582" s="92" t="s">
        <v>192</v>
      </c>
      <c r="O582" s="92" t="s">
        <v>194</v>
      </c>
      <c r="P582" s="92" t="s">
        <v>385</v>
      </c>
      <c r="Q582" s="92" t="s">
        <v>1772</v>
      </c>
      <c r="R582" s="92">
        <v>2</v>
      </c>
      <c r="S582" s="92">
        <v>356</v>
      </c>
      <c r="T582" s="9">
        <v>44138</v>
      </c>
      <c r="U582" s="9">
        <v>44168</v>
      </c>
    </row>
    <row r="583" spans="1:21" x14ac:dyDescent="0.2">
      <c r="A583" s="10" t="str">
        <f>HYPERLINK("http://www.ofsted.gov.uk/inspection-reports/find-inspection-report/provider/ELS/136809 ","Ofsted School Webpage")</f>
        <v>Ofsted School Webpage</v>
      </c>
      <c r="B583" s="92">
        <v>136809</v>
      </c>
      <c r="C583" s="92">
        <v>3132004</v>
      </c>
      <c r="D583" s="92" t="s">
        <v>1773</v>
      </c>
      <c r="E583" s="92" t="s">
        <v>94</v>
      </c>
      <c r="F583" s="92" t="s">
        <v>269</v>
      </c>
      <c r="G583" s="9">
        <v>40787</v>
      </c>
      <c r="H583" s="92" t="s">
        <v>271</v>
      </c>
      <c r="I583" s="92" t="s">
        <v>272</v>
      </c>
      <c r="J583" s="92" t="s">
        <v>273</v>
      </c>
      <c r="K583" s="92" t="s">
        <v>273</v>
      </c>
      <c r="L583" s="92" t="s">
        <v>274</v>
      </c>
      <c r="M583" s="92" t="s">
        <v>122</v>
      </c>
      <c r="N583" s="92" t="s">
        <v>122</v>
      </c>
      <c r="O583" s="92" t="s">
        <v>129</v>
      </c>
      <c r="P583" s="92" t="s">
        <v>423</v>
      </c>
      <c r="Q583" s="92" t="s">
        <v>1774</v>
      </c>
      <c r="R583" s="92">
        <v>3</v>
      </c>
      <c r="S583" s="92">
        <v>682</v>
      </c>
      <c r="T583" s="9">
        <v>44138</v>
      </c>
      <c r="U583" s="9">
        <v>44166</v>
      </c>
    </row>
    <row r="584" spans="1:21" x14ac:dyDescent="0.2">
      <c r="A584" s="10" t="str">
        <f>HYPERLINK("http://www.ofsted.gov.uk/inspection-reports/find-inspection-report/provider/ELS/119161 ","Ofsted School Webpage")</f>
        <v>Ofsted School Webpage</v>
      </c>
      <c r="B584" s="92">
        <v>119161</v>
      </c>
      <c r="C584" s="92">
        <v>8882064</v>
      </c>
      <c r="D584" s="92" t="s">
        <v>1775</v>
      </c>
      <c r="E584" s="92" t="s">
        <v>94</v>
      </c>
      <c r="F584" s="92" t="s">
        <v>269</v>
      </c>
      <c r="G584" s="9" t="s">
        <v>270</v>
      </c>
      <c r="H584" s="92" t="s">
        <v>271</v>
      </c>
      <c r="I584" s="92" t="s">
        <v>272</v>
      </c>
      <c r="J584" s="92" t="s">
        <v>273</v>
      </c>
      <c r="K584" s="92" t="s">
        <v>273</v>
      </c>
      <c r="L584" s="92" t="s">
        <v>274</v>
      </c>
      <c r="M584" s="92" t="s">
        <v>168</v>
      </c>
      <c r="N584" s="92" t="s">
        <v>168</v>
      </c>
      <c r="O584" s="92" t="s">
        <v>169</v>
      </c>
      <c r="P584" s="92" t="s">
        <v>1720</v>
      </c>
      <c r="Q584" s="92" t="s">
        <v>1776</v>
      </c>
      <c r="R584" s="92">
        <v>1</v>
      </c>
      <c r="S584" s="92">
        <v>349</v>
      </c>
      <c r="T584" s="9">
        <v>44138</v>
      </c>
      <c r="U584" s="9">
        <v>44171</v>
      </c>
    </row>
    <row r="585" spans="1:21" x14ac:dyDescent="0.2">
      <c r="A585" s="10" t="str">
        <f>HYPERLINK("http://www.ofsted.gov.uk/inspection-reports/find-inspection-report/provider/ELS/138167 ","Ofsted School Webpage")</f>
        <v>Ofsted School Webpage</v>
      </c>
      <c r="B585" s="92">
        <v>138167</v>
      </c>
      <c r="C585" s="92">
        <v>8864113</v>
      </c>
      <c r="D585" s="92" t="s">
        <v>1777</v>
      </c>
      <c r="E585" s="92" t="s">
        <v>95</v>
      </c>
      <c r="F585" s="92" t="s">
        <v>429</v>
      </c>
      <c r="G585" s="9">
        <v>41062</v>
      </c>
      <c r="H585" s="92" t="s">
        <v>299</v>
      </c>
      <c r="I585" s="92" t="s">
        <v>300</v>
      </c>
      <c r="J585" s="92" t="s">
        <v>273</v>
      </c>
      <c r="K585" s="92" t="s">
        <v>273</v>
      </c>
      <c r="L585" s="92" t="s">
        <v>274</v>
      </c>
      <c r="M585" s="92" t="s">
        <v>192</v>
      </c>
      <c r="N585" s="92" t="s">
        <v>192</v>
      </c>
      <c r="O585" s="92" t="s">
        <v>194</v>
      </c>
      <c r="P585" s="92" t="s">
        <v>1778</v>
      </c>
      <c r="Q585" s="92" t="s">
        <v>1779</v>
      </c>
      <c r="R585" s="92">
        <v>4</v>
      </c>
      <c r="S585" s="92">
        <v>802</v>
      </c>
      <c r="T585" s="9">
        <v>44138</v>
      </c>
      <c r="U585" s="9">
        <v>44165</v>
      </c>
    </row>
    <row r="586" spans="1:21" x14ac:dyDescent="0.2">
      <c r="A586" s="10" t="str">
        <f>HYPERLINK("http://www.ofsted.gov.uk/inspection-reports/find-inspection-report/provider/ELS/136589 ","Ofsted School Webpage")</f>
        <v>Ofsted School Webpage</v>
      </c>
      <c r="B586" s="92">
        <v>136589</v>
      </c>
      <c r="C586" s="92">
        <v>3304108</v>
      </c>
      <c r="D586" s="92" t="s">
        <v>1780</v>
      </c>
      <c r="E586" s="92" t="s">
        <v>95</v>
      </c>
      <c r="F586" s="92" t="s">
        <v>429</v>
      </c>
      <c r="G586" s="9">
        <v>40634</v>
      </c>
      <c r="H586" s="92" t="s">
        <v>299</v>
      </c>
      <c r="I586" s="92" t="s">
        <v>272</v>
      </c>
      <c r="J586" s="92" t="s">
        <v>410</v>
      </c>
      <c r="K586" s="92" t="s">
        <v>273</v>
      </c>
      <c r="L586" s="92" t="s">
        <v>274</v>
      </c>
      <c r="M586" s="92" t="s">
        <v>226</v>
      </c>
      <c r="N586" s="92" t="s">
        <v>226</v>
      </c>
      <c r="O586" s="92" t="s">
        <v>232</v>
      </c>
      <c r="P586" s="92" t="s">
        <v>824</v>
      </c>
      <c r="Q586" s="92" t="s">
        <v>1781</v>
      </c>
      <c r="R586" s="92">
        <v>5</v>
      </c>
      <c r="S586" s="92">
        <v>926</v>
      </c>
      <c r="T586" s="9">
        <v>44138</v>
      </c>
      <c r="U586" s="9">
        <v>44164</v>
      </c>
    </row>
    <row r="587" spans="1:21" x14ac:dyDescent="0.2">
      <c r="A587" s="10" t="str">
        <f>HYPERLINK("http://www.ofsted.gov.uk/inspection-reports/find-inspection-report/provider/ELS/138331 ","Ofsted School Webpage")</f>
        <v>Ofsted School Webpage</v>
      </c>
      <c r="B587" s="92">
        <v>138331</v>
      </c>
      <c r="C587" s="92">
        <v>3942091</v>
      </c>
      <c r="D587" s="92" t="s">
        <v>1782</v>
      </c>
      <c r="E587" s="92" t="s">
        <v>94</v>
      </c>
      <c r="F587" s="92" t="s">
        <v>429</v>
      </c>
      <c r="G587" s="9">
        <v>41091</v>
      </c>
      <c r="H587" s="92" t="s">
        <v>271</v>
      </c>
      <c r="I587" s="92" t="s">
        <v>272</v>
      </c>
      <c r="J587" s="92" t="s">
        <v>273</v>
      </c>
      <c r="K587" s="92" t="s">
        <v>273</v>
      </c>
      <c r="L587" s="92" t="s">
        <v>274</v>
      </c>
      <c r="M587" s="92" t="s">
        <v>261</v>
      </c>
      <c r="N587" s="92" t="s">
        <v>155</v>
      </c>
      <c r="O587" s="92" t="s">
        <v>164</v>
      </c>
      <c r="P587" s="92" t="s">
        <v>845</v>
      </c>
      <c r="Q587" s="92" t="s">
        <v>1783</v>
      </c>
      <c r="R587" s="92">
        <v>4</v>
      </c>
      <c r="S587" s="92">
        <v>475</v>
      </c>
      <c r="T587" s="9">
        <v>44138</v>
      </c>
      <c r="U587" s="9">
        <v>44174</v>
      </c>
    </row>
    <row r="588" spans="1:21" x14ac:dyDescent="0.2">
      <c r="A588" s="10" t="str">
        <f>HYPERLINK("http://www.ofsted.gov.uk/inspection-reports/find-inspection-report/provider/ELS/138629 ","Ofsted School Webpage")</f>
        <v>Ofsted School Webpage</v>
      </c>
      <c r="B588" s="92">
        <v>138629</v>
      </c>
      <c r="C588" s="92">
        <v>8652040</v>
      </c>
      <c r="D588" s="92" t="s">
        <v>1784</v>
      </c>
      <c r="E588" s="92" t="s">
        <v>94</v>
      </c>
      <c r="F588" s="92" t="s">
        <v>429</v>
      </c>
      <c r="G588" s="9">
        <v>41153</v>
      </c>
      <c r="H588" s="92" t="s">
        <v>271</v>
      </c>
      <c r="I588" s="92" t="s">
        <v>272</v>
      </c>
      <c r="J588" s="92" t="s">
        <v>273</v>
      </c>
      <c r="K588" s="92" t="s">
        <v>273</v>
      </c>
      <c r="L588" s="92" t="s">
        <v>274</v>
      </c>
      <c r="M588" s="92" t="s">
        <v>211</v>
      </c>
      <c r="N588" s="92" t="s">
        <v>211</v>
      </c>
      <c r="O588" s="92" t="s">
        <v>225</v>
      </c>
      <c r="P588" s="92" t="s">
        <v>1785</v>
      </c>
      <c r="Q588" s="92" t="s">
        <v>1786</v>
      </c>
      <c r="R588" s="92">
        <v>1</v>
      </c>
      <c r="S588" s="92">
        <v>56</v>
      </c>
      <c r="T588" s="9">
        <v>44138</v>
      </c>
      <c r="U588" s="9">
        <v>44158</v>
      </c>
    </row>
    <row r="589" spans="1:21" x14ac:dyDescent="0.2">
      <c r="A589" s="10" t="str">
        <f>HYPERLINK("http://www.ofsted.gov.uk/inspection-reports/find-inspection-report/provider/ELS/136731 ","Ofsted School Webpage")</f>
        <v>Ofsted School Webpage</v>
      </c>
      <c r="B589" s="92">
        <v>136731</v>
      </c>
      <c r="C589" s="92">
        <v>8884689</v>
      </c>
      <c r="D589" s="92" t="s">
        <v>1787</v>
      </c>
      <c r="E589" s="92" t="s">
        <v>95</v>
      </c>
      <c r="F589" s="92" t="s">
        <v>429</v>
      </c>
      <c r="G589" s="9">
        <v>40664</v>
      </c>
      <c r="H589" s="92" t="s">
        <v>299</v>
      </c>
      <c r="I589" s="92" t="s">
        <v>300</v>
      </c>
      <c r="J589" s="92" t="s">
        <v>346</v>
      </c>
      <c r="K589" s="92" t="s">
        <v>273</v>
      </c>
      <c r="L589" s="92" t="s">
        <v>347</v>
      </c>
      <c r="M589" s="92" t="s">
        <v>168</v>
      </c>
      <c r="N589" s="92" t="s">
        <v>168</v>
      </c>
      <c r="O589" s="92" t="s">
        <v>169</v>
      </c>
      <c r="P589" s="92" t="s">
        <v>406</v>
      </c>
      <c r="Q589" s="92" t="s">
        <v>1788</v>
      </c>
      <c r="R589" s="92">
        <v>2</v>
      </c>
      <c r="S589" s="92">
        <v>1733</v>
      </c>
      <c r="T589" s="9">
        <v>44138</v>
      </c>
      <c r="U589" s="9">
        <v>44171</v>
      </c>
    </row>
    <row r="590" spans="1:21" x14ac:dyDescent="0.2">
      <c r="A590" s="10" t="str">
        <f>HYPERLINK("http://www.ofsted.gov.uk/inspection-reports/find-inspection-report/provider/ELS/138324 ","Ofsted School Webpage")</f>
        <v>Ofsted School Webpage</v>
      </c>
      <c r="B590" s="92">
        <v>138324</v>
      </c>
      <c r="C590" s="92">
        <v>9255226</v>
      </c>
      <c r="D590" s="92" t="s">
        <v>1789</v>
      </c>
      <c r="E590" s="92" t="s">
        <v>94</v>
      </c>
      <c r="F590" s="92" t="s">
        <v>429</v>
      </c>
      <c r="G590" s="9">
        <v>41091</v>
      </c>
      <c r="H590" s="92" t="s">
        <v>271</v>
      </c>
      <c r="I590" s="92" t="s">
        <v>272</v>
      </c>
      <c r="J590" s="92" t="s">
        <v>346</v>
      </c>
      <c r="K590" s="92" t="s">
        <v>273</v>
      </c>
      <c r="L590" s="92" t="s">
        <v>347</v>
      </c>
      <c r="M590" s="92" t="s">
        <v>100</v>
      </c>
      <c r="N590" s="92" t="s">
        <v>100</v>
      </c>
      <c r="O590" s="92" t="s">
        <v>104</v>
      </c>
      <c r="P590" s="92" t="s">
        <v>1681</v>
      </c>
      <c r="Q590" s="92" t="s">
        <v>1790</v>
      </c>
      <c r="R590" s="92">
        <v>3</v>
      </c>
      <c r="S590" s="92">
        <v>204</v>
      </c>
      <c r="T590" s="9">
        <v>44138</v>
      </c>
      <c r="U590" s="9">
        <v>44165</v>
      </c>
    </row>
    <row r="591" spans="1:21" x14ac:dyDescent="0.2">
      <c r="A591" s="10" t="str">
        <f>HYPERLINK("http://www.ofsted.gov.uk/inspection-reports/find-inspection-report/provider/ELS/141847 ","Ofsted School Webpage")</f>
        <v>Ofsted School Webpage</v>
      </c>
      <c r="B591" s="92">
        <v>141847</v>
      </c>
      <c r="C591" s="92">
        <v>8782248</v>
      </c>
      <c r="D591" s="92" t="s">
        <v>1791</v>
      </c>
      <c r="E591" s="92" t="s">
        <v>94</v>
      </c>
      <c r="F591" s="92" t="s">
        <v>429</v>
      </c>
      <c r="G591" s="9">
        <v>42095</v>
      </c>
      <c r="H591" s="92" t="s">
        <v>271</v>
      </c>
      <c r="I591" s="92" t="s">
        <v>272</v>
      </c>
      <c r="J591" s="92" t="s">
        <v>273</v>
      </c>
      <c r="K591" s="92" t="s">
        <v>273</v>
      </c>
      <c r="L591" s="92" t="s">
        <v>274</v>
      </c>
      <c r="M591" s="92" t="s">
        <v>211</v>
      </c>
      <c r="N591" s="92" t="s">
        <v>211</v>
      </c>
      <c r="O591" s="92" t="s">
        <v>220</v>
      </c>
      <c r="P591" s="92" t="s">
        <v>1447</v>
      </c>
      <c r="Q591" s="92" t="s">
        <v>1792</v>
      </c>
      <c r="R591" s="92">
        <v>1</v>
      </c>
      <c r="S591" s="92">
        <v>47</v>
      </c>
      <c r="T591" s="9">
        <v>44138</v>
      </c>
      <c r="U591" s="9">
        <v>44161</v>
      </c>
    </row>
    <row r="592" spans="1:21" x14ac:dyDescent="0.2">
      <c r="A592" s="10" t="str">
        <f>HYPERLINK("http://www.ofsted.gov.uk/inspection-reports/find-inspection-report/provider/ELS/141985 ","Ofsted School Webpage")</f>
        <v>Ofsted School Webpage</v>
      </c>
      <c r="B592" s="92">
        <v>141985</v>
      </c>
      <c r="C592" s="92">
        <v>9352059</v>
      </c>
      <c r="D592" s="92" t="s">
        <v>1793</v>
      </c>
      <c r="E592" s="92" t="s">
        <v>94</v>
      </c>
      <c r="F592" s="92" t="s">
        <v>409</v>
      </c>
      <c r="G592" s="9">
        <v>42186</v>
      </c>
      <c r="H592" s="92" t="s">
        <v>271</v>
      </c>
      <c r="I592" s="92" t="s">
        <v>272</v>
      </c>
      <c r="J592" s="92" t="s">
        <v>273</v>
      </c>
      <c r="K592" s="92" t="s">
        <v>410</v>
      </c>
      <c r="L592" s="92" t="s">
        <v>274</v>
      </c>
      <c r="M592" s="92" t="s">
        <v>110</v>
      </c>
      <c r="N592" s="92" t="s">
        <v>110</v>
      </c>
      <c r="O592" s="92" t="s">
        <v>114</v>
      </c>
      <c r="P592" s="92" t="s">
        <v>328</v>
      </c>
      <c r="Q592" s="92" t="s">
        <v>1794</v>
      </c>
      <c r="R592" s="92">
        <v>4</v>
      </c>
      <c r="S592" s="92">
        <v>390</v>
      </c>
      <c r="T592" s="9">
        <v>44138</v>
      </c>
      <c r="U592" s="9">
        <v>44168</v>
      </c>
    </row>
    <row r="593" spans="1:21" x14ac:dyDescent="0.2">
      <c r="A593" s="10" t="str">
        <f>HYPERLINK("http://www.ofsted.gov.uk/inspection-reports/find-inspection-report/provider/ELS/139269 ","Ofsted School Webpage")</f>
        <v>Ofsted School Webpage</v>
      </c>
      <c r="B593" s="92">
        <v>139269</v>
      </c>
      <c r="C593" s="92">
        <v>3302121</v>
      </c>
      <c r="D593" s="92" t="s">
        <v>1795</v>
      </c>
      <c r="E593" s="92" t="s">
        <v>94</v>
      </c>
      <c r="F593" s="92" t="s">
        <v>409</v>
      </c>
      <c r="G593" s="9">
        <v>41426</v>
      </c>
      <c r="H593" s="92" t="s">
        <v>271</v>
      </c>
      <c r="I593" s="92" t="s">
        <v>272</v>
      </c>
      <c r="J593" s="92" t="s">
        <v>1796</v>
      </c>
      <c r="K593" s="92" t="s">
        <v>410</v>
      </c>
      <c r="L593" s="92" t="s">
        <v>347</v>
      </c>
      <c r="M593" s="92" t="s">
        <v>226</v>
      </c>
      <c r="N593" s="92" t="s">
        <v>226</v>
      </c>
      <c r="O593" s="92" t="s">
        <v>232</v>
      </c>
      <c r="P593" s="92" t="s">
        <v>1763</v>
      </c>
      <c r="Q593" s="92" t="s">
        <v>1797</v>
      </c>
      <c r="R593" s="92">
        <v>5</v>
      </c>
      <c r="S593" s="92">
        <v>223</v>
      </c>
      <c r="T593" s="9">
        <v>44138</v>
      </c>
      <c r="U593" s="9">
        <v>44160</v>
      </c>
    </row>
    <row r="594" spans="1:21" x14ac:dyDescent="0.2">
      <c r="A594" s="10" t="str">
        <f>HYPERLINK("http://www.ofsted.gov.uk/inspection-reports/find-inspection-report/provider/ELS/138357 ","Ofsted School Webpage")</f>
        <v>Ofsted School Webpage</v>
      </c>
      <c r="B594" s="92">
        <v>138357</v>
      </c>
      <c r="C594" s="92">
        <v>3722000</v>
      </c>
      <c r="D594" s="92" t="s">
        <v>1798</v>
      </c>
      <c r="E594" s="92" t="s">
        <v>94</v>
      </c>
      <c r="F594" s="92" t="s">
        <v>409</v>
      </c>
      <c r="G594" s="9">
        <v>41091</v>
      </c>
      <c r="H594" s="92" t="s">
        <v>271</v>
      </c>
      <c r="I594" s="92" t="s">
        <v>271</v>
      </c>
      <c r="J594" s="92" t="s">
        <v>273</v>
      </c>
      <c r="K594" s="92" t="s">
        <v>410</v>
      </c>
      <c r="L594" s="92" t="s">
        <v>274</v>
      </c>
      <c r="M594" s="92" t="s">
        <v>261</v>
      </c>
      <c r="N594" s="92" t="s">
        <v>241</v>
      </c>
      <c r="O594" s="92" t="s">
        <v>242</v>
      </c>
      <c r="P594" s="92" t="s">
        <v>275</v>
      </c>
      <c r="Q594" s="92" t="s">
        <v>1799</v>
      </c>
      <c r="R594" s="92">
        <v>5</v>
      </c>
      <c r="S594" s="92">
        <v>270</v>
      </c>
      <c r="T594" s="9">
        <v>44138</v>
      </c>
      <c r="U594" s="9">
        <v>44166</v>
      </c>
    </row>
    <row r="595" spans="1:21" x14ac:dyDescent="0.2">
      <c r="A595" s="10" t="str">
        <f>HYPERLINK("http://www.ofsted.gov.uk/inspection-reports/find-inspection-report/provider/ELS/140173 ","Ofsted School Webpage")</f>
        <v>Ofsted School Webpage</v>
      </c>
      <c r="B595" s="92">
        <v>140173</v>
      </c>
      <c r="C595" s="92">
        <v>8732020</v>
      </c>
      <c r="D595" s="92" t="s">
        <v>1800</v>
      </c>
      <c r="E595" s="92" t="s">
        <v>94</v>
      </c>
      <c r="F595" s="92" t="s">
        <v>409</v>
      </c>
      <c r="G595" s="9">
        <v>41548</v>
      </c>
      <c r="H595" s="92" t="s">
        <v>271</v>
      </c>
      <c r="I595" s="92" t="s">
        <v>272</v>
      </c>
      <c r="J595" s="92" t="s">
        <v>273</v>
      </c>
      <c r="K595" s="92" t="s">
        <v>410</v>
      </c>
      <c r="L595" s="92" t="s">
        <v>274</v>
      </c>
      <c r="M595" s="92" t="s">
        <v>110</v>
      </c>
      <c r="N595" s="92" t="s">
        <v>110</v>
      </c>
      <c r="O595" s="92" t="s">
        <v>112</v>
      </c>
      <c r="P595" s="92" t="s">
        <v>1212</v>
      </c>
      <c r="Q595" s="92" t="s">
        <v>1801</v>
      </c>
      <c r="R595" s="92">
        <v>4</v>
      </c>
      <c r="S595" s="92">
        <v>266</v>
      </c>
      <c r="T595" s="9">
        <v>44138</v>
      </c>
      <c r="U595" s="9">
        <v>44168</v>
      </c>
    </row>
    <row r="596" spans="1:21" x14ac:dyDescent="0.2">
      <c r="A596" s="10" t="str">
        <f>HYPERLINK("http://www.ofsted.gov.uk/inspection-reports/find-inspection-report/provider/ELS/143827 ","Ofsted School Webpage")</f>
        <v>Ofsted School Webpage</v>
      </c>
      <c r="B596" s="92">
        <v>143827</v>
      </c>
      <c r="C596" s="92">
        <v>8792007</v>
      </c>
      <c r="D596" s="92" t="s">
        <v>1802</v>
      </c>
      <c r="E596" s="92" t="s">
        <v>94</v>
      </c>
      <c r="F596" s="92" t="s">
        <v>409</v>
      </c>
      <c r="G596" s="9">
        <v>42705</v>
      </c>
      <c r="H596" s="92" t="s">
        <v>271</v>
      </c>
      <c r="I596" s="92" t="s">
        <v>272</v>
      </c>
      <c r="J596" s="92" t="s">
        <v>273</v>
      </c>
      <c r="K596" s="92" t="s">
        <v>484</v>
      </c>
      <c r="L596" s="92" t="s">
        <v>274</v>
      </c>
      <c r="M596" s="92" t="s">
        <v>211</v>
      </c>
      <c r="N596" s="92" t="s">
        <v>211</v>
      </c>
      <c r="O596" s="92" t="s">
        <v>214</v>
      </c>
      <c r="P596" s="92" t="s">
        <v>1803</v>
      </c>
      <c r="Q596" s="92" t="s">
        <v>1804</v>
      </c>
      <c r="R596" s="92">
        <v>5</v>
      </c>
      <c r="S596" s="92">
        <v>141</v>
      </c>
      <c r="T596" s="9">
        <v>44138</v>
      </c>
      <c r="U596" s="9">
        <v>44161</v>
      </c>
    </row>
    <row r="597" spans="1:21" x14ac:dyDescent="0.2">
      <c r="A597" s="10" t="str">
        <f>HYPERLINK("http://www.ofsted.gov.uk/inspection-reports/find-inspection-report/provider/ELS/143853 ","Ofsted School Webpage")</f>
        <v>Ofsted School Webpage</v>
      </c>
      <c r="B597" s="92">
        <v>143853</v>
      </c>
      <c r="C597" s="92">
        <v>8314005</v>
      </c>
      <c r="D597" s="92" t="s">
        <v>1805</v>
      </c>
      <c r="E597" s="92" t="s">
        <v>95</v>
      </c>
      <c r="F597" s="92" t="s">
        <v>409</v>
      </c>
      <c r="G597" s="9">
        <v>42767</v>
      </c>
      <c r="H597" s="92" t="s">
        <v>271</v>
      </c>
      <c r="I597" s="92" t="s">
        <v>272</v>
      </c>
      <c r="J597" s="92" t="s">
        <v>273</v>
      </c>
      <c r="K597" s="92" t="s">
        <v>484</v>
      </c>
      <c r="L597" s="92" t="s">
        <v>274</v>
      </c>
      <c r="M597" s="92" t="s">
        <v>100</v>
      </c>
      <c r="N597" s="92" t="s">
        <v>100</v>
      </c>
      <c r="O597" s="92" t="s">
        <v>106</v>
      </c>
      <c r="P597" s="92" t="s">
        <v>548</v>
      </c>
      <c r="Q597" s="92" t="s">
        <v>1806</v>
      </c>
      <c r="R597" s="92">
        <v>5</v>
      </c>
      <c r="S597" s="92">
        <v>993</v>
      </c>
      <c r="T597" s="9">
        <v>44138</v>
      </c>
      <c r="U597" s="9">
        <v>44165</v>
      </c>
    </row>
    <row r="598" spans="1:21" x14ac:dyDescent="0.2">
      <c r="A598" s="10" t="str">
        <f>HYPERLINK("http://www.ofsted.gov.uk/inspection-reports/find-inspection-report/provider/ELS/142071 ","Ofsted School Webpage")</f>
        <v>Ofsted School Webpage</v>
      </c>
      <c r="B598" s="92">
        <v>142071</v>
      </c>
      <c r="C598" s="92">
        <v>3301111</v>
      </c>
      <c r="D598" s="92" t="s">
        <v>1807</v>
      </c>
      <c r="E598" s="92" t="s">
        <v>98</v>
      </c>
      <c r="F598" s="92" t="s">
        <v>1251</v>
      </c>
      <c r="G598" s="9">
        <v>42248</v>
      </c>
      <c r="H598" s="92" t="s">
        <v>484</v>
      </c>
      <c r="I598" s="92" t="s">
        <v>272</v>
      </c>
      <c r="J598" s="92" t="s">
        <v>410</v>
      </c>
      <c r="K598" s="92" t="s">
        <v>410</v>
      </c>
      <c r="L598" s="92" t="s">
        <v>274</v>
      </c>
      <c r="M598" s="92" t="s">
        <v>226</v>
      </c>
      <c r="N598" s="92" t="s">
        <v>226</v>
      </c>
      <c r="O598" s="92" t="s">
        <v>232</v>
      </c>
      <c r="P598" s="92" t="s">
        <v>1763</v>
      </c>
      <c r="Q598" s="92" t="s">
        <v>1808</v>
      </c>
      <c r="R598" s="92">
        <v>5</v>
      </c>
      <c r="S598" s="92">
        <v>6</v>
      </c>
      <c r="T598" s="9">
        <v>44138</v>
      </c>
      <c r="U598" s="9">
        <v>44167</v>
      </c>
    </row>
    <row r="599" spans="1:21" x14ac:dyDescent="0.2">
      <c r="A599" s="10" t="str">
        <f>HYPERLINK("http://www.ofsted.gov.uk/inspection-reports/find-inspection-report/provider/ELS/141487 ","Ofsted School Webpage")</f>
        <v>Ofsted School Webpage</v>
      </c>
      <c r="B599" s="92">
        <v>141487</v>
      </c>
      <c r="C599" s="92">
        <v>8847008</v>
      </c>
      <c r="D599" s="92" t="s">
        <v>1809</v>
      </c>
      <c r="E599" s="92" t="s">
        <v>96</v>
      </c>
      <c r="F599" s="92" t="s">
        <v>1095</v>
      </c>
      <c r="G599" s="9">
        <v>41913</v>
      </c>
      <c r="H599" s="92" t="s">
        <v>271</v>
      </c>
      <c r="I599" s="92" t="s">
        <v>271</v>
      </c>
      <c r="J599" s="92" t="s">
        <v>273</v>
      </c>
      <c r="K599" s="92" t="s">
        <v>410</v>
      </c>
      <c r="L599" s="92" t="s">
        <v>274</v>
      </c>
      <c r="M599" s="92" t="s">
        <v>226</v>
      </c>
      <c r="N599" s="92" t="s">
        <v>226</v>
      </c>
      <c r="O599" s="92" t="s">
        <v>227</v>
      </c>
      <c r="P599" s="92" t="s">
        <v>348</v>
      </c>
      <c r="Q599" s="92" t="s">
        <v>1810</v>
      </c>
      <c r="R599" s="92">
        <v>3</v>
      </c>
      <c r="S599" s="92">
        <v>88</v>
      </c>
      <c r="T599" s="9">
        <v>44138</v>
      </c>
      <c r="U599" s="9">
        <v>44165</v>
      </c>
    </row>
    <row r="600" spans="1:21" x14ac:dyDescent="0.2">
      <c r="A600" s="10" t="str">
        <f>HYPERLINK("http://www.ofsted.gov.uk/inspection-reports/find-inspection-report/provider/ELS/144648 ","Ofsted School Webpage")</f>
        <v>Ofsted School Webpage</v>
      </c>
      <c r="B600" s="92">
        <v>144648</v>
      </c>
      <c r="C600" s="92">
        <v>9372056</v>
      </c>
      <c r="D600" s="92" t="s">
        <v>1811</v>
      </c>
      <c r="E600" s="92" t="s">
        <v>94</v>
      </c>
      <c r="F600" s="92" t="s">
        <v>491</v>
      </c>
      <c r="G600" s="9">
        <v>42979</v>
      </c>
      <c r="H600" s="92" t="s">
        <v>484</v>
      </c>
      <c r="I600" s="92" t="s">
        <v>272</v>
      </c>
      <c r="J600" s="92" t="s">
        <v>410</v>
      </c>
      <c r="K600" s="92" t="s">
        <v>410</v>
      </c>
      <c r="L600" s="92" t="s">
        <v>274</v>
      </c>
      <c r="M600" s="92" t="s">
        <v>226</v>
      </c>
      <c r="N600" s="92" t="s">
        <v>226</v>
      </c>
      <c r="O600" s="92" t="s">
        <v>235</v>
      </c>
      <c r="P600" s="92" t="s">
        <v>764</v>
      </c>
      <c r="Q600" s="92" t="s">
        <v>1812</v>
      </c>
      <c r="R600" s="92">
        <v>1</v>
      </c>
      <c r="S600" s="92">
        <v>168</v>
      </c>
      <c r="T600" s="9">
        <v>44138</v>
      </c>
      <c r="U600" s="9">
        <v>44160</v>
      </c>
    </row>
    <row r="601" spans="1:21" x14ac:dyDescent="0.2">
      <c r="A601" s="10" t="str">
        <f>HYPERLINK("http://www.ofsted.gov.uk/inspection-reports/find-inspection-report/provider/ELS/144755 ","Ofsted School Webpage")</f>
        <v>Ofsted School Webpage</v>
      </c>
      <c r="B601" s="92">
        <v>144755</v>
      </c>
      <c r="C601" s="92">
        <v>3524013</v>
      </c>
      <c r="D601" s="92" t="s">
        <v>1813</v>
      </c>
      <c r="E601" s="92" t="s">
        <v>95</v>
      </c>
      <c r="F601" s="92" t="s">
        <v>491</v>
      </c>
      <c r="G601" s="9">
        <v>42979</v>
      </c>
      <c r="H601" s="92" t="s">
        <v>484</v>
      </c>
      <c r="I601" s="92" t="s">
        <v>272</v>
      </c>
      <c r="J601" s="92" t="s">
        <v>410</v>
      </c>
      <c r="K601" s="92" t="s">
        <v>410</v>
      </c>
      <c r="L601" s="92" t="s">
        <v>274</v>
      </c>
      <c r="M601" s="92" t="s">
        <v>168</v>
      </c>
      <c r="N601" s="92" t="s">
        <v>168</v>
      </c>
      <c r="O601" s="92" t="s">
        <v>171</v>
      </c>
      <c r="P601" s="92" t="s">
        <v>641</v>
      </c>
      <c r="Q601" s="92" t="s">
        <v>1814</v>
      </c>
      <c r="R601" s="92">
        <v>5</v>
      </c>
      <c r="S601" s="92">
        <v>635</v>
      </c>
      <c r="T601" s="9">
        <v>44138</v>
      </c>
      <c r="U601" s="9">
        <v>44161</v>
      </c>
    </row>
    <row r="602" spans="1:21" x14ac:dyDescent="0.2">
      <c r="A602" s="10" t="str">
        <f>HYPERLINK("http://www.ofsted.gov.uk/inspection-reports/find-inspection-report/provider/ELS/144962 ","Ofsted School Webpage")</f>
        <v>Ofsted School Webpage</v>
      </c>
      <c r="B602" s="92">
        <v>144962</v>
      </c>
      <c r="C602" s="92">
        <v>2064003</v>
      </c>
      <c r="D602" s="92" t="s">
        <v>1815</v>
      </c>
      <c r="E602" s="92" t="s">
        <v>95</v>
      </c>
      <c r="F602" s="92" t="s">
        <v>409</v>
      </c>
      <c r="G602" s="9">
        <v>43070</v>
      </c>
      <c r="H602" s="92" t="s">
        <v>299</v>
      </c>
      <c r="I602" s="92" t="s">
        <v>300</v>
      </c>
      <c r="J602" s="92" t="s">
        <v>273</v>
      </c>
      <c r="K602" s="92" t="s">
        <v>484</v>
      </c>
      <c r="L602" s="92" t="s">
        <v>274</v>
      </c>
      <c r="M602" s="92" t="s">
        <v>122</v>
      </c>
      <c r="N602" s="92" t="s">
        <v>122</v>
      </c>
      <c r="O602" s="92" t="s">
        <v>133</v>
      </c>
      <c r="P602" s="92" t="s">
        <v>1816</v>
      </c>
      <c r="Q602" s="92" t="s">
        <v>1817</v>
      </c>
      <c r="R602" s="92">
        <v>5</v>
      </c>
      <c r="S602" s="92">
        <v>1086</v>
      </c>
      <c r="T602" s="9">
        <v>44138</v>
      </c>
      <c r="U602" s="9">
        <v>44172</v>
      </c>
    </row>
    <row r="603" spans="1:21" x14ac:dyDescent="0.2">
      <c r="A603" s="10" t="str">
        <f>HYPERLINK("http://www.ofsted.gov.uk/inspection-reports/find-inspection-report/provider/ELS/139176 ","Ofsted School Webpage")</f>
        <v>Ofsted School Webpage</v>
      </c>
      <c r="B603" s="92">
        <v>139176</v>
      </c>
      <c r="C603" s="92">
        <v>3093300</v>
      </c>
      <c r="D603" s="92" t="s">
        <v>1818</v>
      </c>
      <c r="E603" s="92" t="s">
        <v>94</v>
      </c>
      <c r="F603" s="92" t="s">
        <v>429</v>
      </c>
      <c r="G603" s="9">
        <v>41275</v>
      </c>
      <c r="H603" s="92" t="s">
        <v>271</v>
      </c>
      <c r="I603" s="92" t="s">
        <v>272</v>
      </c>
      <c r="J603" s="92" t="s">
        <v>346</v>
      </c>
      <c r="K603" s="92" t="s">
        <v>273</v>
      </c>
      <c r="L603" s="92" t="s">
        <v>347</v>
      </c>
      <c r="M603" s="92" t="s">
        <v>122</v>
      </c>
      <c r="N603" s="92" t="s">
        <v>122</v>
      </c>
      <c r="O603" s="92" t="s">
        <v>128</v>
      </c>
      <c r="P603" s="92" t="s">
        <v>1819</v>
      </c>
      <c r="Q603" s="92" t="s">
        <v>1820</v>
      </c>
      <c r="R603" s="92">
        <v>5</v>
      </c>
      <c r="S603" s="92">
        <v>134</v>
      </c>
      <c r="T603" s="9">
        <v>44138</v>
      </c>
      <c r="U603" s="9">
        <v>44166</v>
      </c>
    </row>
    <row r="604" spans="1:21" x14ac:dyDescent="0.2">
      <c r="A604" s="10" t="str">
        <f>HYPERLINK("http://www.ofsted.gov.uk/inspection-reports/find-inspection-report/provider/ELS/141717 ","Ofsted School Webpage")</f>
        <v>Ofsted School Webpage</v>
      </c>
      <c r="B604" s="92">
        <v>141717</v>
      </c>
      <c r="C604" s="92">
        <v>8052237</v>
      </c>
      <c r="D604" s="92" t="s">
        <v>1821</v>
      </c>
      <c r="E604" s="92" t="s">
        <v>94</v>
      </c>
      <c r="F604" s="92" t="s">
        <v>429</v>
      </c>
      <c r="G604" s="9">
        <v>42064</v>
      </c>
      <c r="H604" s="92" t="s">
        <v>299</v>
      </c>
      <c r="I604" s="92" t="s">
        <v>272</v>
      </c>
      <c r="J604" s="92" t="s">
        <v>273</v>
      </c>
      <c r="K604" s="92" t="s">
        <v>273</v>
      </c>
      <c r="L604" s="92" t="s">
        <v>274</v>
      </c>
      <c r="M604" s="92" t="s">
        <v>261</v>
      </c>
      <c r="N604" s="92" t="s">
        <v>155</v>
      </c>
      <c r="O604" s="92" t="s">
        <v>167</v>
      </c>
      <c r="P604" s="92" t="s">
        <v>167</v>
      </c>
      <c r="Q604" s="92" t="s">
        <v>1822</v>
      </c>
      <c r="R604" s="92">
        <v>2</v>
      </c>
      <c r="S604" s="92">
        <v>336</v>
      </c>
      <c r="T604" s="9">
        <v>44138</v>
      </c>
      <c r="U604" s="9">
        <v>44167</v>
      </c>
    </row>
    <row r="605" spans="1:21" x14ac:dyDescent="0.2">
      <c r="A605" s="10" t="str">
        <f>HYPERLINK("http://www.ofsted.gov.uk/inspection-reports/find-inspection-report/provider/ELS/143196 ","Ofsted School Webpage")</f>
        <v>Ofsted School Webpage</v>
      </c>
      <c r="B605" s="92">
        <v>143196</v>
      </c>
      <c r="C605" s="92">
        <v>3322156</v>
      </c>
      <c r="D605" s="92" t="s">
        <v>1823</v>
      </c>
      <c r="E605" s="92" t="s">
        <v>94</v>
      </c>
      <c r="F605" s="92" t="s">
        <v>429</v>
      </c>
      <c r="G605" s="9">
        <v>42675</v>
      </c>
      <c r="H605" s="92" t="s">
        <v>271</v>
      </c>
      <c r="I605" s="92" t="s">
        <v>272</v>
      </c>
      <c r="J605" s="92" t="s">
        <v>273</v>
      </c>
      <c r="K605" s="92" t="s">
        <v>273</v>
      </c>
      <c r="L605" s="92" t="s">
        <v>274</v>
      </c>
      <c r="M605" s="92" t="s">
        <v>226</v>
      </c>
      <c r="N605" s="92" t="s">
        <v>226</v>
      </c>
      <c r="O605" s="92" t="s">
        <v>240</v>
      </c>
      <c r="P605" s="92" t="s">
        <v>1135</v>
      </c>
      <c r="Q605" s="92" t="s">
        <v>1824</v>
      </c>
      <c r="R605" s="92">
        <v>5</v>
      </c>
      <c r="S605" s="92">
        <v>268</v>
      </c>
      <c r="T605" s="9">
        <v>44138</v>
      </c>
      <c r="U605" s="9">
        <v>44166</v>
      </c>
    </row>
    <row r="606" spans="1:21" x14ac:dyDescent="0.2">
      <c r="A606" s="10" t="str">
        <f>HYPERLINK("http://www.ofsted.gov.uk/inspection-reports/find-inspection-report/provider/ELS/143204 ","Ofsted School Webpage")</f>
        <v>Ofsted School Webpage</v>
      </c>
      <c r="B606" s="92">
        <v>143204</v>
      </c>
      <c r="C606" s="92">
        <v>8812083</v>
      </c>
      <c r="D606" s="92" t="s">
        <v>1825</v>
      </c>
      <c r="E606" s="92" t="s">
        <v>94</v>
      </c>
      <c r="F606" s="92" t="s">
        <v>429</v>
      </c>
      <c r="G606" s="9">
        <v>42614</v>
      </c>
      <c r="H606" s="92" t="s">
        <v>271</v>
      </c>
      <c r="I606" s="92" t="s">
        <v>272</v>
      </c>
      <c r="J606" s="92" t="s">
        <v>273</v>
      </c>
      <c r="K606" s="92" t="s">
        <v>273</v>
      </c>
      <c r="L606" s="92" t="s">
        <v>274</v>
      </c>
      <c r="M606" s="92" t="s">
        <v>110</v>
      </c>
      <c r="N606" s="92" t="s">
        <v>110</v>
      </c>
      <c r="O606" s="92" t="s">
        <v>119</v>
      </c>
      <c r="P606" s="92" t="s">
        <v>837</v>
      </c>
      <c r="Q606" s="92" t="s">
        <v>1826</v>
      </c>
      <c r="R606" s="92">
        <v>3</v>
      </c>
      <c r="S606" s="92">
        <v>386</v>
      </c>
      <c r="T606" s="9">
        <v>44138</v>
      </c>
      <c r="U606" s="9">
        <v>44168</v>
      </c>
    </row>
    <row r="607" spans="1:21" x14ac:dyDescent="0.2">
      <c r="A607" s="10" t="str">
        <f>HYPERLINK("http://www.ofsted.gov.uk/inspection-reports/find-inspection-report/provider/ELS/137684 ","Ofsted School Webpage")</f>
        <v>Ofsted School Webpage</v>
      </c>
      <c r="B607" s="92">
        <v>137684</v>
      </c>
      <c r="C607" s="92">
        <v>8664060</v>
      </c>
      <c r="D607" s="92" t="s">
        <v>1827</v>
      </c>
      <c r="E607" s="92" t="s">
        <v>95</v>
      </c>
      <c r="F607" s="92" t="s">
        <v>429</v>
      </c>
      <c r="G607" s="9">
        <v>40878</v>
      </c>
      <c r="H607" s="92" t="s">
        <v>299</v>
      </c>
      <c r="I607" s="92" t="s">
        <v>272</v>
      </c>
      <c r="J607" s="92" t="s">
        <v>410</v>
      </c>
      <c r="K607" s="92" t="s">
        <v>273</v>
      </c>
      <c r="L607" s="92" t="s">
        <v>274</v>
      </c>
      <c r="M607" s="92" t="s">
        <v>211</v>
      </c>
      <c r="N607" s="92" t="s">
        <v>211</v>
      </c>
      <c r="O607" s="92" t="s">
        <v>224</v>
      </c>
      <c r="P607" s="92" t="s">
        <v>1828</v>
      </c>
      <c r="Q607" s="92" t="s">
        <v>1829</v>
      </c>
      <c r="R607" s="92">
        <v>4</v>
      </c>
      <c r="S607" s="92">
        <v>757</v>
      </c>
      <c r="T607" s="9">
        <v>44138</v>
      </c>
      <c r="U607" s="9">
        <v>44165</v>
      </c>
    </row>
    <row r="608" spans="1:21" x14ac:dyDescent="0.2">
      <c r="A608" s="10" t="str">
        <f>HYPERLINK("http://www.ofsted.gov.uk/inspection-reports/find-inspection-report/provider/ELS/108665 ","Ofsted School Webpage")</f>
        <v>Ofsted School Webpage</v>
      </c>
      <c r="B608" s="92">
        <v>108665</v>
      </c>
      <c r="C608" s="92">
        <v>3931018</v>
      </c>
      <c r="D608" s="92" t="s">
        <v>1830</v>
      </c>
      <c r="E608" s="92" t="s">
        <v>93</v>
      </c>
      <c r="F608" s="92" t="s">
        <v>592</v>
      </c>
      <c r="G608" s="92" t="s">
        <v>270</v>
      </c>
      <c r="H608" s="92" t="s">
        <v>271</v>
      </c>
      <c r="I608" s="92" t="s">
        <v>271</v>
      </c>
      <c r="J608" s="92" t="s">
        <v>273</v>
      </c>
      <c r="K608" s="92" t="s">
        <v>273</v>
      </c>
      <c r="L608" s="92" t="s">
        <v>274</v>
      </c>
      <c r="M608" s="92" t="s">
        <v>261</v>
      </c>
      <c r="N608" s="92" t="s">
        <v>155</v>
      </c>
      <c r="O608" s="92" t="s">
        <v>157</v>
      </c>
      <c r="P608" s="92" t="s">
        <v>337</v>
      </c>
      <c r="Q608" s="92" t="s">
        <v>1831</v>
      </c>
      <c r="R608" s="92">
        <v>3</v>
      </c>
      <c r="S608" s="92">
        <v>86</v>
      </c>
      <c r="T608" s="9">
        <v>44138</v>
      </c>
      <c r="U608" s="9">
        <v>44171</v>
      </c>
    </row>
    <row r="609" spans="1:21" x14ac:dyDescent="0.2">
      <c r="A609" s="10" t="str">
        <f>HYPERLINK("http://www.ofsted.gov.uk/inspection-reports/find-inspection-report/provider/ELS/140251 ","Ofsted School Webpage")</f>
        <v>Ofsted School Webpage</v>
      </c>
      <c r="B609" s="92">
        <v>140251</v>
      </c>
      <c r="C609" s="92">
        <v>8552070</v>
      </c>
      <c r="D609" s="92" t="s">
        <v>1832</v>
      </c>
      <c r="E609" s="92" t="s">
        <v>94</v>
      </c>
      <c r="F609" s="92" t="s">
        <v>429</v>
      </c>
      <c r="G609" s="9">
        <v>41548</v>
      </c>
      <c r="H609" s="92" t="s">
        <v>271</v>
      </c>
      <c r="I609" s="92" t="s">
        <v>272</v>
      </c>
      <c r="J609" s="92" t="s">
        <v>273</v>
      </c>
      <c r="K609" s="92" t="s">
        <v>273</v>
      </c>
      <c r="L609" s="92" t="s">
        <v>274</v>
      </c>
      <c r="M609" s="92" t="s">
        <v>100</v>
      </c>
      <c r="N609" s="92" t="s">
        <v>100</v>
      </c>
      <c r="O609" s="92" t="s">
        <v>108</v>
      </c>
      <c r="P609" s="92" t="s">
        <v>1226</v>
      </c>
      <c r="Q609" s="92" t="s">
        <v>1833</v>
      </c>
      <c r="R609" s="92">
        <v>3</v>
      </c>
      <c r="S609" s="92">
        <v>106</v>
      </c>
      <c r="T609" s="9">
        <v>44138</v>
      </c>
      <c r="U609" s="9">
        <v>44166</v>
      </c>
    </row>
    <row r="610" spans="1:21" x14ac:dyDescent="0.2">
      <c r="A610" s="10" t="str">
        <f>HYPERLINK("http://www.ofsted.gov.uk/inspection-reports/find-inspection-report/provider/ELS/139983 ","Ofsted School Webpage")</f>
        <v>Ofsted School Webpage</v>
      </c>
      <c r="B610" s="92">
        <v>139983</v>
      </c>
      <c r="C610" s="92">
        <v>8562237</v>
      </c>
      <c r="D610" s="92" t="s">
        <v>1834</v>
      </c>
      <c r="E610" s="92" t="s">
        <v>94</v>
      </c>
      <c r="F610" s="92" t="s">
        <v>429</v>
      </c>
      <c r="G610" s="9">
        <v>41487</v>
      </c>
      <c r="H610" s="92" t="s">
        <v>271</v>
      </c>
      <c r="I610" s="92" t="s">
        <v>272</v>
      </c>
      <c r="J610" s="92" t="s">
        <v>273</v>
      </c>
      <c r="K610" s="92" t="s">
        <v>273</v>
      </c>
      <c r="L610" s="92" t="s">
        <v>274</v>
      </c>
      <c r="M610" s="92" t="s">
        <v>100</v>
      </c>
      <c r="N610" s="92" t="s">
        <v>100</v>
      </c>
      <c r="O610" s="92" t="s">
        <v>102</v>
      </c>
      <c r="P610" s="92" t="s">
        <v>1835</v>
      </c>
      <c r="Q610" s="92" t="s">
        <v>1836</v>
      </c>
      <c r="R610" s="92">
        <v>4</v>
      </c>
      <c r="S610" s="92">
        <v>359</v>
      </c>
      <c r="T610" s="9">
        <v>44138</v>
      </c>
      <c r="U610" s="9">
        <v>44164</v>
      </c>
    </row>
    <row r="611" spans="1:21" x14ac:dyDescent="0.2">
      <c r="A611" s="10" t="str">
        <f>HYPERLINK("http://www.ofsted.gov.uk/inspection-reports/find-inspection-report/provider/ELS/136175 ","Ofsted School Webpage")</f>
        <v>Ofsted School Webpage</v>
      </c>
      <c r="B611" s="92">
        <v>136175</v>
      </c>
      <c r="C611" s="92">
        <v>8866917</v>
      </c>
      <c r="D611" s="92" t="s">
        <v>1837</v>
      </c>
      <c r="E611" s="92" t="s">
        <v>95</v>
      </c>
      <c r="F611" s="92" t="s">
        <v>409</v>
      </c>
      <c r="G611" s="9">
        <v>40422</v>
      </c>
      <c r="H611" s="92" t="s">
        <v>299</v>
      </c>
      <c r="I611" s="92" t="s">
        <v>300</v>
      </c>
      <c r="J611" s="92" t="s">
        <v>273</v>
      </c>
      <c r="K611" s="92" t="s">
        <v>410</v>
      </c>
      <c r="L611" s="92" t="s">
        <v>274</v>
      </c>
      <c r="M611" s="92" t="s">
        <v>192</v>
      </c>
      <c r="N611" s="92" t="s">
        <v>192</v>
      </c>
      <c r="O611" s="92" t="s">
        <v>194</v>
      </c>
      <c r="P611" s="92" t="s">
        <v>1778</v>
      </c>
      <c r="Q611" s="92" t="s">
        <v>1838</v>
      </c>
      <c r="R611" s="92">
        <v>4</v>
      </c>
      <c r="S611" s="92">
        <v>809</v>
      </c>
      <c r="T611" s="9">
        <v>44138</v>
      </c>
      <c r="U611" s="9">
        <v>44175</v>
      </c>
    </row>
    <row r="612" spans="1:21" x14ac:dyDescent="0.2">
      <c r="A612" s="10" t="str">
        <f>HYPERLINK("http://www.ofsted.gov.uk/inspection-reports/find-inspection-report/provider/ELS/138391 ","Ofsted School Webpage")</f>
        <v>Ofsted School Webpage</v>
      </c>
      <c r="B612" s="92">
        <v>138391</v>
      </c>
      <c r="C612" s="92">
        <v>8452002</v>
      </c>
      <c r="D612" s="92" t="s">
        <v>1839</v>
      </c>
      <c r="E612" s="92" t="s">
        <v>94</v>
      </c>
      <c r="F612" s="92" t="s">
        <v>409</v>
      </c>
      <c r="G612" s="9">
        <v>41153</v>
      </c>
      <c r="H612" s="92" t="s">
        <v>271</v>
      </c>
      <c r="I612" s="92" t="s">
        <v>271</v>
      </c>
      <c r="J612" s="92" t="s">
        <v>273</v>
      </c>
      <c r="K612" s="92" t="s">
        <v>410</v>
      </c>
      <c r="L612" s="92" t="s">
        <v>274</v>
      </c>
      <c r="M612" s="92" t="s">
        <v>192</v>
      </c>
      <c r="N612" s="92" t="s">
        <v>192</v>
      </c>
      <c r="O612" s="92" t="s">
        <v>203</v>
      </c>
      <c r="P612" s="92" t="s">
        <v>804</v>
      </c>
      <c r="Q612" s="92" t="s">
        <v>1840</v>
      </c>
      <c r="R612" s="92">
        <v>4</v>
      </c>
      <c r="S612" s="92">
        <v>404</v>
      </c>
      <c r="T612" s="9">
        <v>44138</v>
      </c>
      <c r="U612" s="9">
        <v>44165</v>
      </c>
    </row>
    <row r="613" spans="1:21" x14ac:dyDescent="0.2">
      <c r="A613" s="10" t="str">
        <f>HYPERLINK("http://www.ofsted.gov.uk/inspection-reports/find-inspection-report/provider/ELS/139005 ","Ofsted School Webpage")</f>
        <v>Ofsted School Webpage</v>
      </c>
      <c r="B613" s="92">
        <v>139005</v>
      </c>
      <c r="C613" s="92">
        <v>8552008</v>
      </c>
      <c r="D613" s="92" t="s">
        <v>1841</v>
      </c>
      <c r="E613" s="92" t="s">
        <v>94</v>
      </c>
      <c r="F613" s="92" t="s">
        <v>409</v>
      </c>
      <c r="G613" s="9">
        <v>41244</v>
      </c>
      <c r="H613" s="92" t="s">
        <v>271</v>
      </c>
      <c r="I613" s="92" t="s">
        <v>272</v>
      </c>
      <c r="J613" s="92" t="s">
        <v>273</v>
      </c>
      <c r="K613" s="92" t="s">
        <v>410</v>
      </c>
      <c r="L613" s="92" t="s">
        <v>274</v>
      </c>
      <c r="M613" s="92" t="s">
        <v>100</v>
      </c>
      <c r="N613" s="92" t="s">
        <v>100</v>
      </c>
      <c r="O613" s="92" t="s">
        <v>108</v>
      </c>
      <c r="P613" s="92" t="s">
        <v>1229</v>
      </c>
      <c r="Q613" s="92" t="s">
        <v>1842</v>
      </c>
      <c r="R613" s="92">
        <v>4</v>
      </c>
      <c r="S613" s="92">
        <v>318</v>
      </c>
      <c r="T613" s="9">
        <v>44138</v>
      </c>
      <c r="U613" s="9">
        <v>44165</v>
      </c>
    </row>
    <row r="614" spans="1:21" x14ac:dyDescent="0.2">
      <c r="A614" s="10" t="str">
        <f>HYPERLINK("http://www.ofsted.gov.uk/inspection-reports/find-inspection-report/provider/ELS/113652 ","Ofsted School Webpage")</f>
        <v>Ofsted School Webpage</v>
      </c>
      <c r="B614" s="92">
        <v>113652</v>
      </c>
      <c r="C614" s="92">
        <v>8787081</v>
      </c>
      <c r="D614" s="92" t="s">
        <v>1843</v>
      </c>
      <c r="E614" s="92" t="s">
        <v>96</v>
      </c>
      <c r="F614" s="92" t="s">
        <v>1844</v>
      </c>
      <c r="G614" s="92" t="s">
        <v>270</v>
      </c>
      <c r="H614" s="92" t="s">
        <v>271</v>
      </c>
      <c r="I614" s="92" t="s">
        <v>272</v>
      </c>
      <c r="J614" s="92" t="s">
        <v>273</v>
      </c>
      <c r="K614" s="92" t="s">
        <v>273</v>
      </c>
      <c r="L614" s="92" t="s">
        <v>274</v>
      </c>
      <c r="M614" s="92" t="s">
        <v>211</v>
      </c>
      <c r="N614" s="92" t="s">
        <v>211</v>
      </c>
      <c r="O614" s="92" t="s">
        <v>220</v>
      </c>
      <c r="P614" s="92" t="s">
        <v>1414</v>
      </c>
      <c r="Q614" s="92" t="s">
        <v>1845</v>
      </c>
      <c r="R614" s="92">
        <v>2</v>
      </c>
      <c r="S614" s="92">
        <v>9</v>
      </c>
      <c r="T614" s="9">
        <v>44138</v>
      </c>
      <c r="U614" s="9">
        <v>44167</v>
      </c>
    </row>
    <row r="615" spans="1:21" x14ac:dyDescent="0.2">
      <c r="A615" s="10" t="str">
        <f>HYPERLINK("http://www.ofsted.gov.uk/inspection-reports/find-inspection-report/provider/ELS/130344 ","Ofsted School Webpage")</f>
        <v>Ofsted School Webpage</v>
      </c>
      <c r="B615" s="92">
        <v>130344</v>
      </c>
      <c r="C615" s="92">
        <v>9191101</v>
      </c>
      <c r="D615" s="92" t="s">
        <v>1846</v>
      </c>
      <c r="E615" s="92" t="s">
        <v>98</v>
      </c>
      <c r="F615" s="92" t="s">
        <v>405</v>
      </c>
      <c r="G615" s="9">
        <v>34943</v>
      </c>
      <c r="H615" s="92" t="s">
        <v>271</v>
      </c>
      <c r="I615" s="92" t="s">
        <v>271</v>
      </c>
      <c r="J615" s="92" t="s">
        <v>273</v>
      </c>
      <c r="K615" s="92" t="s">
        <v>273</v>
      </c>
      <c r="L615" s="92" t="s">
        <v>274</v>
      </c>
      <c r="M615" s="92" t="s">
        <v>110</v>
      </c>
      <c r="N615" s="92" t="s">
        <v>110</v>
      </c>
      <c r="O615" s="92" t="s">
        <v>117</v>
      </c>
      <c r="P615" s="92" t="s">
        <v>777</v>
      </c>
      <c r="Q615" s="92" t="s">
        <v>1847</v>
      </c>
      <c r="R615" s="92">
        <v>1</v>
      </c>
      <c r="S615" s="92">
        <v>10</v>
      </c>
      <c r="T615" s="9">
        <v>44138</v>
      </c>
      <c r="U615" s="9">
        <v>44172</v>
      </c>
    </row>
    <row r="616" spans="1:21" x14ac:dyDescent="0.2">
      <c r="A616" s="10" t="str">
        <f>HYPERLINK("http://www.ofsted.gov.uk/inspection-reports/find-inspection-report/provider/ELS/119771 ","Ofsted School Webpage")</f>
        <v>Ofsted School Webpage</v>
      </c>
      <c r="B616" s="92">
        <v>119771</v>
      </c>
      <c r="C616" s="92">
        <v>8884408</v>
      </c>
      <c r="D616" s="92" t="s">
        <v>1848</v>
      </c>
      <c r="E616" s="92" t="s">
        <v>95</v>
      </c>
      <c r="F616" s="92" t="s">
        <v>397</v>
      </c>
      <c r="G616" s="92" t="s">
        <v>270</v>
      </c>
      <c r="H616" s="92" t="s">
        <v>299</v>
      </c>
      <c r="I616" s="92" t="s">
        <v>272</v>
      </c>
      <c r="J616" s="92" t="s">
        <v>410</v>
      </c>
      <c r="K616" s="92" t="s">
        <v>273</v>
      </c>
      <c r="L616" s="92" t="s">
        <v>274</v>
      </c>
      <c r="M616" s="92" t="s">
        <v>168</v>
      </c>
      <c r="N616" s="92" t="s">
        <v>168</v>
      </c>
      <c r="O616" s="92" t="s">
        <v>169</v>
      </c>
      <c r="P616" s="92" t="s">
        <v>406</v>
      </c>
      <c r="Q616" s="92" t="s">
        <v>1849</v>
      </c>
      <c r="R616" s="92">
        <v>5</v>
      </c>
      <c r="S616" s="92">
        <v>935</v>
      </c>
      <c r="T616" s="9">
        <v>44138</v>
      </c>
      <c r="U616" s="9">
        <v>44161</v>
      </c>
    </row>
    <row r="617" spans="1:21" x14ac:dyDescent="0.2">
      <c r="A617" s="10" t="str">
        <f>HYPERLINK("http://www.ofsted.gov.uk/inspection-reports/find-inspection-report/provider/ELS/139968 ","Ofsted School Webpage")</f>
        <v>Ofsted School Webpage</v>
      </c>
      <c r="B617" s="92">
        <v>139968</v>
      </c>
      <c r="C617" s="92">
        <v>8102013</v>
      </c>
      <c r="D617" s="92" t="s">
        <v>1850</v>
      </c>
      <c r="E617" s="92" t="s">
        <v>94</v>
      </c>
      <c r="F617" s="92" t="s">
        <v>409</v>
      </c>
      <c r="G617" s="9">
        <v>41548</v>
      </c>
      <c r="H617" s="92" t="s">
        <v>299</v>
      </c>
      <c r="I617" s="92" t="s">
        <v>272</v>
      </c>
      <c r="J617" s="92" t="s">
        <v>273</v>
      </c>
      <c r="K617" s="92" t="s">
        <v>410</v>
      </c>
      <c r="L617" s="92" t="s">
        <v>274</v>
      </c>
      <c r="M617" s="92" t="s">
        <v>261</v>
      </c>
      <c r="N617" s="92" t="s">
        <v>241</v>
      </c>
      <c r="O617" s="92" t="s">
        <v>253</v>
      </c>
      <c r="P617" s="92" t="s">
        <v>1851</v>
      </c>
      <c r="Q617" s="92" t="s">
        <v>1852</v>
      </c>
      <c r="R617" s="92">
        <v>4</v>
      </c>
      <c r="S617" s="92">
        <v>564</v>
      </c>
      <c r="T617" s="9">
        <v>44138</v>
      </c>
      <c r="U617" s="9">
        <v>44168</v>
      </c>
    </row>
    <row r="618" spans="1:21" x14ac:dyDescent="0.2">
      <c r="A618" s="10" t="str">
        <f>HYPERLINK("http://www.ofsted.gov.uk/inspection-reports/find-inspection-report/provider/ELS/105535 ","Ofsted School Webpage")</f>
        <v>Ofsted School Webpage</v>
      </c>
      <c r="B618" s="92">
        <v>105535</v>
      </c>
      <c r="C618" s="92">
        <v>3523460</v>
      </c>
      <c r="D618" s="92" t="s">
        <v>1853</v>
      </c>
      <c r="E618" s="92" t="s">
        <v>94</v>
      </c>
      <c r="F618" s="92" t="s">
        <v>351</v>
      </c>
      <c r="G618" s="92" t="s">
        <v>270</v>
      </c>
      <c r="H618" s="92" t="s">
        <v>271</v>
      </c>
      <c r="I618" s="92" t="s">
        <v>272</v>
      </c>
      <c r="J618" s="92" t="s">
        <v>352</v>
      </c>
      <c r="K618" s="92" t="s">
        <v>273</v>
      </c>
      <c r="L618" s="92" t="s">
        <v>347</v>
      </c>
      <c r="M618" s="92" t="s">
        <v>168</v>
      </c>
      <c r="N618" s="92" t="s">
        <v>168</v>
      </c>
      <c r="O618" s="92" t="s">
        <v>171</v>
      </c>
      <c r="P618" s="92" t="s">
        <v>653</v>
      </c>
      <c r="Q618" s="92" t="s">
        <v>1854</v>
      </c>
      <c r="R618" s="92">
        <v>5</v>
      </c>
      <c r="S618" s="92">
        <v>206</v>
      </c>
      <c r="T618" s="9">
        <v>44138</v>
      </c>
      <c r="U618" s="9">
        <v>44172</v>
      </c>
    </row>
    <row r="619" spans="1:21" x14ac:dyDescent="0.2">
      <c r="A619" s="10" t="str">
        <f>HYPERLINK("http://www.ofsted.gov.uk/inspection-reports/find-inspection-report/provider/ELS/142633 ","Ofsted School Webpage")</f>
        <v>Ofsted School Webpage</v>
      </c>
      <c r="B619" s="92">
        <v>142633</v>
      </c>
      <c r="C619" s="92">
        <v>9262118</v>
      </c>
      <c r="D619" s="92" t="s">
        <v>1855</v>
      </c>
      <c r="E619" s="92" t="s">
        <v>94</v>
      </c>
      <c r="F619" s="92" t="s">
        <v>409</v>
      </c>
      <c r="G619" s="9">
        <v>42675</v>
      </c>
      <c r="H619" s="92" t="s">
        <v>271</v>
      </c>
      <c r="I619" s="92" t="s">
        <v>272</v>
      </c>
      <c r="J619" s="92" t="s">
        <v>346</v>
      </c>
      <c r="K619" s="92" t="s">
        <v>484</v>
      </c>
      <c r="L619" s="92" t="s">
        <v>347</v>
      </c>
      <c r="M619" s="92" t="s">
        <v>110</v>
      </c>
      <c r="N619" s="92" t="s">
        <v>110</v>
      </c>
      <c r="O619" s="92" t="s">
        <v>118</v>
      </c>
      <c r="P619" s="92" t="s">
        <v>780</v>
      </c>
      <c r="Q619" s="92" t="s">
        <v>1856</v>
      </c>
      <c r="R619" s="92">
        <v>4</v>
      </c>
      <c r="S619" s="92">
        <v>421</v>
      </c>
      <c r="T619" s="9">
        <v>44138</v>
      </c>
      <c r="U619" s="9">
        <v>44168</v>
      </c>
    </row>
    <row r="620" spans="1:21" x14ac:dyDescent="0.2">
      <c r="A620" s="10" t="str">
        <f>HYPERLINK("http://www.ofsted.gov.uk/inspection-reports/find-inspection-report/provider/ELS/142881 ","Ofsted School Webpage")</f>
        <v>Ofsted School Webpage</v>
      </c>
      <c r="B620" s="92">
        <v>142881</v>
      </c>
      <c r="C620" s="92">
        <v>9374009</v>
      </c>
      <c r="D620" s="92" t="s">
        <v>1857</v>
      </c>
      <c r="E620" s="92" t="s">
        <v>95</v>
      </c>
      <c r="F620" s="92" t="s">
        <v>491</v>
      </c>
      <c r="G620" s="9">
        <v>42618</v>
      </c>
      <c r="H620" s="92" t="s">
        <v>484</v>
      </c>
      <c r="I620" s="92" t="s">
        <v>272</v>
      </c>
      <c r="J620" s="92" t="s">
        <v>410</v>
      </c>
      <c r="K620" s="92" t="s">
        <v>410</v>
      </c>
      <c r="L620" s="92" t="s">
        <v>274</v>
      </c>
      <c r="M620" s="92" t="s">
        <v>226</v>
      </c>
      <c r="N620" s="92" t="s">
        <v>226</v>
      </c>
      <c r="O620" s="92" t="s">
        <v>235</v>
      </c>
      <c r="P620" s="92" t="s">
        <v>1426</v>
      </c>
      <c r="Q620" s="92" t="s">
        <v>1858</v>
      </c>
      <c r="R620" s="92">
        <v>2</v>
      </c>
      <c r="S620" s="92">
        <v>682</v>
      </c>
      <c r="T620" s="9">
        <v>44138</v>
      </c>
      <c r="U620" s="9">
        <v>44167</v>
      </c>
    </row>
    <row r="621" spans="1:21" x14ac:dyDescent="0.2">
      <c r="A621" s="10" t="str">
        <f>HYPERLINK("http://www.ofsted.gov.uk/inspection-reports/find-inspection-report/provider/ELS/142962 ","Ofsted School Webpage")</f>
        <v>Ofsted School Webpage</v>
      </c>
      <c r="B621" s="92">
        <v>142962</v>
      </c>
      <c r="C621" s="92">
        <v>8413002</v>
      </c>
      <c r="D621" s="92" t="s">
        <v>1859</v>
      </c>
      <c r="E621" s="92" t="s">
        <v>94</v>
      </c>
      <c r="F621" s="92" t="s">
        <v>429</v>
      </c>
      <c r="G621" s="9">
        <v>42644</v>
      </c>
      <c r="H621" s="92" t="s">
        <v>271</v>
      </c>
      <c r="I621" s="92" t="s">
        <v>272</v>
      </c>
      <c r="J621" s="92" t="s">
        <v>346</v>
      </c>
      <c r="K621" s="92" t="s">
        <v>273</v>
      </c>
      <c r="L621" s="92" t="s">
        <v>347</v>
      </c>
      <c r="M621" s="92" t="s">
        <v>261</v>
      </c>
      <c r="N621" s="92" t="s">
        <v>155</v>
      </c>
      <c r="O621" s="92" t="s">
        <v>160</v>
      </c>
      <c r="P621" s="92" t="s">
        <v>160</v>
      </c>
      <c r="Q621" s="92" t="s">
        <v>1860</v>
      </c>
      <c r="R621" s="92">
        <v>5</v>
      </c>
      <c r="S621" s="92">
        <v>198</v>
      </c>
      <c r="T621" s="9">
        <v>44138</v>
      </c>
      <c r="U621" s="9">
        <v>44165</v>
      </c>
    </row>
    <row r="622" spans="1:21" x14ac:dyDescent="0.2">
      <c r="A622" s="10" t="str">
        <f>HYPERLINK("http://www.ofsted.gov.uk/inspection-reports/find-inspection-report/provider/ELS/145414 ","Ofsted School Webpage")</f>
        <v>Ofsted School Webpage</v>
      </c>
      <c r="B622" s="92">
        <v>145414</v>
      </c>
      <c r="C622" s="92">
        <v>8602031</v>
      </c>
      <c r="D622" s="92" t="s">
        <v>1861</v>
      </c>
      <c r="E622" s="92" t="s">
        <v>94</v>
      </c>
      <c r="F622" s="92" t="s">
        <v>409</v>
      </c>
      <c r="G622" s="9">
        <v>43101</v>
      </c>
      <c r="H622" s="92" t="s">
        <v>271</v>
      </c>
      <c r="I622" s="92" t="s">
        <v>272</v>
      </c>
      <c r="J622" s="92" t="s">
        <v>273</v>
      </c>
      <c r="K622" s="92" t="s">
        <v>273</v>
      </c>
      <c r="L622" s="92" t="s">
        <v>274</v>
      </c>
      <c r="M622" s="92" t="s">
        <v>226</v>
      </c>
      <c r="N622" s="92" t="s">
        <v>226</v>
      </c>
      <c r="O622" s="92" t="s">
        <v>229</v>
      </c>
      <c r="P622" s="92" t="s">
        <v>1862</v>
      </c>
      <c r="Q622" s="92" t="s">
        <v>1863</v>
      </c>
      <c r="R622" s="92">
        <v>2</v>
      </c>
      <c r="S622" s="92">
        <v>560</v>
      </c>
      <c r="T622" s="9">
        <v>44138</v>
      </c>
      <c r="U622" s="9">
        <v>44165</v>
      </c>
    </row>
    <row r="623" spans="1:21" x14ac:dyDescent="0.2">
      <c r="A623" s="10" t="str">
        <f>HYPERLINK("http://www.ofsted.gov.uk/inspection-reports/find-inspection-report/provider/ELS/145313 ","Ofsted School Webpage")</f>
        <v>Ofsted School Webpage</v>
      </c>
      <c r="B623" s="92">
        <v>145313</v>
      </c>
      <c r="C623" s="92">
        <v>2104005</v>
      </c>
      <c r="D623" s="92" t="s">
        <v>1864</v>
      </c>
      <c r="E623" s="92" t="s">
        <v>95</v>
      </c>
      <c r="F623" s="92" t="s">
        <v>409</v>
      </c>
      <c r="G623" s="9">
        <v>43160</v>
      </c>
      <c r="H623" s="92" t="s">
        <v>299</v>
      </c>
      <c r="I623" s="92" t="s">
        <v>300</v>
      </c>
      <c r="J623" s="92" t="s">
        <v>346</v>
      </c>
      <c r="K623" s="92" t="s">
        <v>410</v>
      </c>
      <c r="L623" s="92" t="s">
        <v>347</v>
      </c>
      <c r="M623" s="92" t="s">
        <v>122</v>
      </c>
      <c r="N623" s="92" t="s">
        <v>122</v>
      </c>
      <c r="O623" s="92" t="s">
        <v>148</v>
      </c>
      <c r="P623" s="92" t="s">
        <v>1865</v>
      </c>
      <c r="Q623" s="92" t="s">
        <v>1866</v>
      </c>
      <c r="R623" s="92">
        <v>5</v>
      </c>
      <c r="S623" s="92">
        <v>980</v>
      </c>
      <c r="T623" s="9">
        <v>44138</v>
      </c>
      <c r="U623" s="9">
        <v>44171</v>
      </c>
    </row>
    <row r="624" spans="1:21" x14ac:dyDescent="0.2">
      <c r="A624" s="10" t="str">
        <f>HYPERLINK("http://www.ofsted.gov.uk/inspection-reports/find-inspection-report/provider/ELS/147627 ","Ofsted School Webpage")</f>
        <v>Ofsted School Webpage</v>
      </c>
      <c r="B624" s="92">
        <v>147627</v>
      </c>
      <c r="C624" s="92">
        <v>8307012</v>
      </c>
      <c r="D624" s="92" t="s">
        <v>1867</v>
      </c>
      <c r="E624" s="92" t="s">
        <v>96</v>
      </c>
      <c r="F624" s="92" t="s">
        <v>1095</v>
      </c>
      <c r="G624" s="9">
        <v>43983</v>
      </c>
      <c r="H624" s="92" t="s">
        <v>271</v>
      </c>
      <c r="I624" s="92" t="s">
        <v>300</v>
      </c>
      <c r="J624" s="92" t="s">
        <v>273</v>
      </c>
      <c r="K624" s="92" t="s">
        <v>273</v>
      </c>
      <c r="L624" s="92" t="s">
        <v>274</v>
      </c>
      <c r="M624" s="92" t="s">
        <v>100</v>
      </c>
      <c r="N624" s="92" t="s">
        <v>100</v>
      </c>
      <c r="O624" s="92" t="s">
        <v>101</v>
      </c>
      <c r="P624" s="92" t="s">
        <v>622</v>
      </c>
      <c r="Q624" s="92" t="s">
        <v>1868</v>
      </c>
      <c r="R624" s="92">
        <v>4</v>
      </c>
      <c r="S624" s="92" t="s">
        <v>270</v>
      </c>
      <c r="T624" s="9">
        <v>44138</v>
      </c>
      <c r="U624" s="9">
        <v>44167</v>
      </c>
    </row>
    <row r="625" spans="1:21" x14ac:dyDescent="0.2">
      <c r="A625" s="10" t="str">
        <f>HYPERLINK("http://www.ofsted.gov.uk/inspection-reports/find-inspection-report/provider/ELS/143448 ","Ofsted School Webpage")</f>
        <v>Ofsted School Webpage</v>
      </c>
      <c r="B625" s="92">
        <v>143448</v>
      </c>
      <c r="C625" s="92">
        <v>9082240</v>
      </c>
      <c r="D625" s="92" t="s">
        <v>1869</v>
      </c>
      <c r="E625" s="92" t="s">
        <v>94</v>
      </c>
      <c r="F625" s="92" t="s">
        <v>429</v>
      </c>
      <c r="G625" s="9">
        <v>42644</v>
      </c>
      <c r="H625" s="92" t="s">
        <v>271</v>
      </c>
      <c r="I625" s="92" t="s">
        <v>272</v>
      </c>
      <c r="J625" s="92" t="s">
        <v>273</v>
      </c>
      <c r="K625" s="92" t="s">
        <v>273</v>
      </c>
      <c r="L625" s="92" t="s">
        <v>274</v>
      </c>
      <c r="M625" s="92" t="s">
        <v>211</v>
      </c>
      <c r="N625" s="92" t="s">
        <v>211</v>
      </c>
      <c r="O625" s="92" t="s">
        <v>219</v>
      </c>
      <c r="P625" s="92" t="s">
        <v>877</v>
      </c>
      <c r="Q625" s="92" t="s">
        <v>1870</v>
      </c>
      <c r="R625" s="92">
        <v>4</v>
      </c>
      <c r="S625" s="92">
        <v>216</v>
      </c>
      <c r="T625" s="9">
        <v>44138</v>
      </c>
      <c r="U625" s="9">
        <v>44168</v>
      </c>
    </row>
    <row r="626" spans="1:21" x14ac:dyDescent="0.2">
      <c r="A626" s="10" t="str">
        <f>HYPERLINK("http://www.ofsted.gov.uk/inspection-reports/find-inspection-report/provider/ELS/112831 ","Ofsted School Webpage")</f>
        <v>Ofsted School Webpage</v>
      </c>
      <c r="B626" s="92">
        <v>112831</v>
      </c>
      <c r="C626" s="92">
        <v>8303056</v>
      </c>
      <c r="D626" s="92" t="s">
        <v>1871</v>
      </c>
      <c r="E626" s="92" t="s">
        <v>94</v>
      </c>
      <c r="F626" s="92" t="s">
        <v>345</v>
      </c>
      <c r="G626" s="9" t="s">
        <v>270</v>
      </c>
      <c r="H626" s="92" t="s">
        <v>271</v>
      </c>
      <c r="I626" s="92" t="s">
        <v>272</v>
      </c>
      <c r="J626" s="92" t="s">
        <v>346</v>
      </c>
      <c r="K626" s="92" t="s">
        <v>273</v>
      </c>
      <c r="L626" s="92" t="s">
        <v>347</v>
      </c>
      <c r="M626" s="92" t="s">
        <v>100</v>
      </c>
      <c r="N626" s="92" t="s">
        <v>100</v>
      </c>
      <c r="O626" s="92" t="s">
        <v>101</v>
      </c>
      <c r="P626" s="92" t="s">
        <v>1872</v>
      </c>
      <c r="Q626" s="92" t="s">
        <v>1873</v>
      </c>
      <c r="R626" s="92">
        <v>1</v>
      </c>
      <c r="S626" s="92">
        <v>54</v>
      </c>
      <c r="T626" s="9">
        <v>44139</v>
      </c>
      <c r="U626" s="9">
        <v>44167</v>
      </c>
    </row>
    <row r="627" spans="1:21" x14ac:dyDescent="0.2">
      <c r="A627" s="10" t="str">
        <f>HYPERLINK("http://www.ofsted.gov.uk/inspection-reports/find-inspection-report/provider/ELS/102449 ","Ofsted School Webpage")</f>
        <v>Ofsted School Webpage</v>
      </c>
      <c r="B627" s="92">
        <v>102449</v>
      </c>
      <c r="C627" s="92">
        <v>3125409</v>
      </c>
      <c r="D627" s="92" t="s">
        <v>1874</v>
      </c>
      <c r="E627" s="92" t="s">
        <v>95</v>
      </c>
      <c r="F627" s="92" t="s">
        <v>397</v>
      </c>
      <c r="G627" s="92" t="s">
        <v>270</v>
      </c>
      <c r="H627" s="92" t="s">
        <v>299</v>
      </c>
      <c r="I627" s="92" t="s">
        <v>300</v>
      </c>
      <c r="J627" s="92" t="s">
        <v>410</v>
      </c>
      <c r="K627" s="92" t="s">
        <v>273</v>
      </c>
      <c r="L627" s="92" t="s">
        <v>274</v>
      </c>
      <c r="M627" s="92" t="s">
        <v>122</v>
      </c>
      <c r="N627" s="92" t="s">
        <v>122</v>
      </c>
      <c r="O627" s="92" t="s">
        <v>146</v>
      </c>
      <c r="P627" s="92" t="s">
        <v>1875</v>
      </c>
      <c r="Q627" s="92" t="s">
        <v>1876</v>
      </c>
      <c r="R627" s="92">
        <v>4</v>
      </c>
      <c r="S627" s="92">
        <v>912</v>
      </c>
      <c r="T627" s="9">
        <v>44139</v>
      </c>
      <c r="U627" s="9">
        <v>44164</v>
      </c>
    </row>
    <row r="628" spans="1:21" x14ac:dyDescent="0.2">
      <c r="A628" s="10" t="str">
        <f>HYPERLINK("http://www.ofsted.gov.uk/inspection-reports/find-inspection-report/provider/ELS/104664 ","Ofsted School Webpage")</f>
        <v>Ofsted School Webpage</v>
      </c>
      <c r="B628" s="92">
        <v>104664</v>
      </c>
      <c r="C628" s="92">
        <v>3413588</v>
      </c>
      <c r="D628" s="92" t="s">
        <v>1877</v>
      </c>
      <c r="E628" s="92" t="s">
        <v>94</v>
      </c>
      <c r="F628" s="92" t="s">
        <v>351</v>
      </c>
      <c r="G628" s="92" t="s">
        <v>270</v>
      </c>
      <c r="H628" s="92" t="s">
        <v>271</v>
      </c>
      <c r="I628" s="92" t="s">
        <v>272</v>
      </c>
      <c r="J628" s="92" t="s">
        <v>352</v>
      </c>
      <c r="K628" s="92" t="s">
        <v>273</v>
      </c>
      <c r="L628" s="92" t="s">
        <v>347</v>
      </c>
      <c r="M628" s="92" t="s">
        <v>168</v>
      </c>
      <c r="N628" s="92" t="s">
        <v>168</v>
      </c>
      <c r="O628" s="92" t="s">
        <v>170</v>
      </c>
      <c r="P628" s="92" t="s">
        <v>1878</v>
      </c>
      <c r="Q628" s="92" t="s">
        <v>1879</v>
      </c>
      <c r="R628" s="92">
        <v>5</v>
      </c>
      <c r="S628" s="92">
        <v>265</v>
      </c>
      <c r="T628" s="9">
        <v>44139</v>
      </c>
      <c r="U628" s="9">
        <v>44175</v>
      </c>
    </row>
    <row r="629" spans="1:21" x14ac:dyDescent="0.2">
      <c r="A629" s="10" t="str">
        <f>HYPERLINK("http://www.ofsted.gov.uk/inspection-reports/find-inspection-report/provider/ELS/104910 ","Ofsted School Webpage")</f>
        <v>Ofsted School Webpage</v>
      </c>
      <c r="B629" s="92">
        <v>104910</v>
      </c>
      <c r="C629" s="92">
        <v>3433322</v>
      </c>
      <c r="D629" s="92" t="s">
        <v>1880</v>
      </c>
      <c r="E629" s="92" t="s">
        <v>94</v>
      </c>
      <c r="F629" s="92" t="s">
        <v>351</v>
      </c>
      <c r="G629" s="9" t="s">
        <v>270</v>
      </c>
      <c r="H629" s="92" t="s">
        <v>271</v>
      </c>
      <c r="I629" s="92" t="s">
        <v>272</v>
      </c>
      <c r="J629" s="92" t="s">
        <v>352</v>
      </c>
      <c r="K629" s="92" t="s">
        <v>273</v>
      </c>
      <c r="L629" s="92" t="s">
        <v>347</v>
      </c>
      <c r="M629" s="92" t="s">
        <v>168</v>
      </c>
      <c r="N629" s="92" t="s">
        <v>168</v>
      </c>
      <c r="O629" s="92" t="s">
        <v>183</v>
      </c>
      <c r="P629" s="92" t="s">
        <v>793</v>
      </c>
      <c r="Q629" s="92" t="s">
        <v>1881</v>
      </c>
      <c r="R629" s="92">
        <v>5</v>
      </c>
      <c r="S629" s="92">
        <v>213</v>
      </c>
      <c r="T629" s="9">
        <v>44139</v>
      </c>
      <c r="U629" s="9">
        <v>44161</v>
      </c>
    </row>
    <row r="630" spans="1:21" x14ac:dyDescent="0.2">
      <c r="A630" s="10" t="str">
        <f>HYPERLINK("http://www.ofsted.gov.uk/inspection-reports/find-inspection-report/provider/ELS/100633 ","Ofsted School Webpage")</f>
        <v>Ofsted School Webpage</v>
      </c>
      <c r="B630" s="92">
        <v>100633</v>
      </c>
      <c r="C630" s="92">
        <v>2085205</v>
      </c>
      <c r="D630" s="92" t="s">
        <v>1882</v>
      </c>
      <c r="E630" s="92" t="s">
        <v>94</v>
      </c>
      <c r="F630" s="92" t="s">
        <v>351</v>
      </c>
      <c r="G630" s="9" t="s">
        <v>270</v>
      </c>
      <c r="H630" s="92" t="s">
        <v>271</v>
      </c>
      <c r="I630" s="92" t="s">
        <v>272</v>
      </c>
      <c r="J630" s="92" t="s">
        <v>346</v>
      </c>
      <c r="K630" s="92" t="s">
        <v>273</v>
      </c>
      <c r="L630" s="92" t="s">
        <v>347</v>
      </c>
      <c r="M630" s="92" t="s">
        <v>122</v>
      </c>
      <c r="N630" s="92" t="s">
        <v>122</v>
      </c>
      <c r="O630" s="92" t="s">
        <v>149</v>
      </c>
      <c r="P630" s="92" t="s">
        <v>1883</v>
      </c>
      <c r="Q630" s="92" t="s">
        <v>1884</v>
      </c>
      <c r="R630" s="92">
        <v>3</v>
      </c>
      <c r="S630" s="92">
        <v>428</v>
      </c>
      <c r="T630" s="9">
        <v>44140</v>
      </c>
      <c r="U630" s="9">
        <v>44171</v>
      </c>
    </row>
    <row r="631" spans="1:21" x14ac:dyDescent="0.2">
      <c r="A631" s="10" t="str">
        <f>HYPERLINK("http://www.ofsted.gov.uk/inspection-reports/find-inspection-report/provider/ELS/121558 ","Ofsted School Webpage")</f>
        <v>Ofsted School Webpage</v>
      </c>
      <c r="B631" s="92">
        <v>121558</v>
      </c>
      <c r="C631" s="92">
        <v>8153235</v>
      </c>
      <c r="D631" s="92" t="s">
        <v>1885</v>
      </c>
      <c r="E631" s="92" t="s">
        <v>94</v>
      </c>
      <c r="F631" s="92" t="s">
        <v>345</v>
      </c>
      <c r="G631" s="92" t="s">
        <v>270</v>
      </c>
      <c r="H631" s="92" t="s">
        <v>271</v>
      </c>
      <c r="I631" s="92" t="s">
        <v>272</v>
      </c>
      <c r="J631" s="92" t="s">
        <v>346</v>
      </c>
      <c r="K631" s="92" t="s">
        <v>273</v>
      </c>
      <c r="L631" s="92" t="s">
        <v>347</v>
      </c>
      <c r="M631" s="92" t="s">
        <v>261</v>
      </c>
      <c r="N631" s="92" t="s">
        <v>241</v>
      </c>
      <c r="O631" s="92" t="s">
        <v>247</v>
      </c>
      <c r="P631" s="92" t="s">
        <v>1886</v>
      </c>
      <c r="Q631" s="92" t="s">
        <v>1887</v>
      </c>
      <c r="R631" s="92">
        <v>1</v>
      </c>
      <c r="S631" s="92">
        <v>35</v>
      </c>
      <c r="T631" s="9">
        <v>44140</v>
      </c>
      <c r="U631" s="9">
        <v>44166</v>
      </c>
    </row>
    <row r="632" spans="1:21" x14ac:dyDescent="0.2">
      <c r="A632" s="10" t="str">
        <f>HYPERLINK("http://www.ofsted.gov.uk/inspection-reports/find-inspection-report/provider/ELS/105693 ","Ofsted School Webpage")</f>
        <v>Ofsted School Webpage</v>
      </c>
      <c r="B632" s="92">
        <v>105693</v>
      </c>
      <c r="C632" s="92">
        <v>3533011</v>
      </c>
      <c r="D632" s="92" t="s">
        <v>1888</v>
      </c>
      <c r="E632" s="92" t="s">
        <v>94</v>
      </c>
      <c r="F632" s="92" t="s">
        <v>345</v>
      </c>
      <c r="G632" s="9" t="s">
        <v>270</v>
      </c>
      <c r="H632" s="92" t="s">
        <v>271</v>
      </c>
      <c r="I632" s="92" t="s">
        <v>272</v>
      </c>
      <c r="J632" s="92" t="s">
        <v>346</v>
      </c>
      <c r="K632" s="92" t="s">
        <v>273</v>
      </c>
      <c r="L632" s="92" t="s">
        <v>347</v>
      </c>
      <c r="M632" s="92" t="s">
        <v>168</v>
      </c>
      <c r="N632" s="92" t="s">
        <v>168</v>
      </c>
      <c r="O632" s="92" t="s">
        <v>172</v>
      </c>
      <c r="P632" s="92" t="s">
        <v>559</v>
      </c>
      <c r="Q632" s="92" t="s">
        <v>1889</v>
      </c>
      <c r="R632" s="92">
        <v>2</v>
      </c>
      <c r="S632" s="92">
        <v>99</v>
      </c>
      <c r="T632" s="9">
        <v>44140</v>
      </c>
      <c r="U632" s="9">
        <v>44166</v>
      </c>
    </row>
    <row r="633" spans="1:21" x14ac:dyDescent="0.2">
      <c r="A633" s="10" t="str">
        <f>HYPERLINK("http://www.ofsted.gov.uk/inspection-reports/find-inspection-report/provider/ELS/121580 ","Ofsted School Webpage")</f>
        <v>Ofsted School Webpage</v>
      </c>
      <c r="B633" s="92">
        <v>121580</v>
      </c>
      <c r="C633" s="92">
        <v>8153261</v>
      </c>
      <c r="D633" s="92" t="s">
        <v>1890</v>
      </c>
      <c r="E633" s="92" t="s">
        <v>94</v>
      </c>
      <c r="F633" s="92" t="s">
        <v>345</v>
      </c>
      <c r="G633" s="92" t="s">
        <v>270</v>
      </c>
      <c r="H633" s="92" t="s">
        <v>271</v>
      </c>
      <c r="I633" s="92" t="s">
        <v>272</v>
      </c>
      <c r="J633" s="92" t="s">
        <v>346</v>
      </c>
      <c r="K633" s="92" t="s">
        <v>273</v>
      </c>
      <c r="L633" s="92" t="s">
        <v>347</v>
      </c>
      <c r="M633" s="92" t="s">
        <v>261</v>
      </c>
      <c r="N633" s="92" t="s">
        <v>241</v>
      </c>
      <c r="O633" s="92" t="s">
        <v>247</v>
      </c>
      <c r="P633" s="92" t="s">
        <v>508</v>
      </c>
      <c r="Q633" s="92" t="s">
        <v>1891</v>
      </c>
      <c r="R633" s="92">
        <v>1</v>
      </c>
      <c r="S633" s="92">
        <v>52</v>
      </c>
      <c r="T633" s="9">
        <v>44140</v>
      </c>
      <c r="U633" s="9">
        <v>44174</v>
      </c>
    </row>
    <row r="634" spans="1:21" x14ac:dyDescent="0.2">
      <c r="A634" s="10" t="str">
        <f>HYPERLINK("http://www.ofsted.gov.uk/inspection-reports/find-inspection-report/provider/ELS/105222 ","Ofsted School Webpage")</f>
        <v>Ofsted School Webpage</v>
      </c>
      <c r="B634" s="92">
        <v>105222</v>
      </c>
      <c r="C634" s="92">
        <v>3503319</v>
      </c>
      <c r="D634" s="92" t="s">
        <v>1892</v>
      </c>
      <c r="E634" s="92" t="s">
        <v>94</v>
      </c>
      <c r="F634" s="92" t="s">
        <v>351</v>
      </c>
      <c r="G634" s="92" t="s">
        <v>270</v>
      </c>
      <c r="H634" s="92" t="s">
        <v>271</v>
      </c>
      <c r="I634" s="92" t="s">
        <v>272</v>
      </c>
      <c r="J634" s="92" t="s">
        <v>352</v>
      </c>
      <c r="K634" s="92" t="s">
        <v>273</v>
      </c>
      <c r="L634" s="92" t="s">
        <v>347</v>
      </c>
      <c r="M634" s="92" t="s">
        <v>168</v>
      </c>
      <c r="N634" s="92" t="s">
        <v>168</v>
      </c>
      <c r="O634" s="92" t="s">
        <v>187</v>
      </c>
      <c r="P634" s="92" t="s">
        <v>1111</v>
      </c>
      <c r="Q634" s="92" t="s">
        <v>1893</v>
      </c>
      <c r="R634" s="92">
        <v>5</v>
      </c>
      <c r="S634" s="92">
        <v>249</v>
      </c>
      <c r="T634" s="9">
        <v>44140</v>
      </c>
      <c r="U634" s="9">
        <v>44166</v>
      </c>
    </row>
    <row r="635" spans="1:21" x14ac:dyDescent="0.2">
      <c r="A635" s="10" t="str">
        <f>HYPERLINK("http://www.ofsted.gov.uk/inspection-reports/find-inspection-report/provider/ELS/102400 ","Ofsted School Webpage")</f>
        <v>Ofsted School Webpage</v>
      </c>
      <c r="B635" s="92">
        <v>102400</v>
      </c>
      <c r="C635" s="92">
        <v>3122054</v>
      </c>
      <c r="D635" s="92" t="s">
        <v>1894</v>
      </c>
      <c r="E635" s="92" t="s">
        <v>94</v>
      </c>
      <c r="F635" s="92" t="s">
        <v>269</v>
      </c>
      <c r="G635" s="92" t="s">
        <v>270</v>
      </c>
      <c r="H635" s="92" t="s">
        <v>271</v>
      </c>
      <c r="I635" s="92" t="s">
        <v>272</v>
      </c>
      <c r="J635" s="92" t="s">
        <v>273</v>
      </c>
      <c r="K635" s="92" t="s">
        <v>273</v>
      </c>
      <c r="L635" s="92" t="s">
        <v>274</v>
      </c>
      <c r="M635" s="92" t="s">
        <v>122</v>
      </c>
      <c r="N635" s="92" t="s">
        <v>122</v>
      </c>
      <c r="O635" s="92" t="s">
        <v>146</v>
      </c>
      <c r="P635" s="92" t="s">
        <v>1895</v>
      </c>
      <c r="Q635" s="92" t="s">
        <v>1896</v>
      </c>
      <c r="R635" s="92">
        <v>2</v>
      </c>
      <c r="S635" s="92">
        <v>353</v>
      </c>
      <c r="T635" s="9">
        <v>44140</v>
      </c>
      <c r="U635" s="9">
        <v>44166</v>
      </c>
    </row>
    <row r="636" spans="1:21" x14ac:dyDescent="0.2">
      <c r="A636" s="10" t="str">
        <f>HYPERLINK("http://www.ofsted.gov.uk/inspection-reports/find-inspection-report/provider/ELS/119401 ","Ofsted School Webpage")</f>
        <v>Ofsted School Webpage</v>
      </c>
      <c r="B636" s="92">
        <v>119401</v>
      </c>
      <c r="C636" s="92">
        <v>8883143</v>
      </c>
      <c r="D636" s="92" t="s">
        <v>1897</v>
      </c>
      <c r="E636" s="92" t="s">
        <v>94</v>
      </c>
      <c r="F636" s="92" t="s">
        <v>345</v>
      </c>
      <c r="G636" s="92" t="s">
        <v>270</v>
      </c>
      <c r="H636" s="92" t="s">
        <v>271</v>
      </c>
      <c r="I636" s="92" t="s">
        <v>272</v>
      </c>
      <c r="J636" s="92" t="s">
        <v>1898</v>
      </c>
      <c r="K636" s="92" t="s">
        <v>273</v>
      </c>
      <c r="L636" s="92" t="s">
        <v>347</v>
      </c>
      <c r="M636" s="92" t="s">
        <v>168</v>
      </c>
      <c r="N636" s="92" t="s">
        <v>168</v>
      </c>
      <c r="O636" s="92" t="s">
        <v>169</v>
      </c>
      <c r="P636" s="92" t="s">
        <v>1899</v>
      </c>
      <c r="Q636" s="92" t="s">
        <v>1900</v>
      </c>
      <c r="R636" s="92">
        <v>2</v>
      </c>
      <c r="S636" s="92">
        <v>207</v>
      </c>
      <c r="T636" s="9">
        <v>44140</v>
      </c>
      <c r="U636" s="9">
        <v>44168</v>
      </c>
    </row>
    <row r="637" spans="1:21" x14ac:dyDescent="0.2">
      <c r="A637" s="10" t="str">
        <f>HYPERLINK("http://www.ofsted.gov.uk/inspection-reports/find-inspection-report/provider/ELS/119676 ","Ofsted School Webpage")</f>
        <v>Ofsted School Webpage</v>
      </c>
      <c r="B637" s="92">
        <v>119676</v>
      </c>
      <c r="C637" s="92">
        <v>8883792</v>
      </c>
      <c r="D637" s="92" t="s">
        <v>1901</v>
      </c>
      <c r="E637" s="92" t="s">
        <v>94</v>
      </c>
      <c r="F637" s="92" t="s">
        <v>351</v>
      </c>
      <c r="G637" s="9" t="s">
        <v>270</v>
      </c>
      <c r="H637" s="92" t="s">
        <v>271</v>
      </c>
      <c r="I637" s="92" t="s">
        <v>272</v>
      </c>
      <c r="J637" s="92" t="s">
        <v>352</v>
      </c>
      <c r="K637" s="92" t="s">
        <v>273</v>
      </c>
      <c r="L637" s="92" t="s">
        <v>347</v>
      </c>
      <c r="M637" s="92" t="s">
        <v>168</v>
      </c>
      <c r="N637" s="92" t="s">
        <v>168</v>
      </c>
      <c r="O637" s="92" t="s">
        <v>169</v>
      </c>
      <c r="P637" s="92" t="s">
        <v>589</v>
      </c>
      <c r="Q637" s="92" t="s">
        <v>1902</v>
      </c>
      <c r="R637" s="92">
        <v>2</v>
      </c>
      <c r="S637" s="92">
        <v>206</v>
      </c>
      <c r="T637" s="9">
        <v>44140</v>
      </c>
      <c r="U637" s="9">
        <v>44167</v>
      </c>
    </row>
    <row r="638" spans="1:21" x14ac:dyDescent="0.2">
      <c r="A638" s="10" t="str">
        <f>HYPERLINK("http://www.ofsted.gov.uk/inspection-reports/find-inspection-report/provider/ELS/119743 ","Ofsted School Webpage")</f>
        <v>Ofsted School Webpage</v>
      </c>
      <c r="B638" s="92">
        <v>119743</v>
      </c>
      <c r="C638" s="92">
        <v>8884150</v>
      </c>
      <c r="D638" s="92" t="s">
        <v>1903</v>
      </c>
      <c r="E638" s="92" t="s">
        <v>95</v>
      </c>
      <c r="F638" s="92" t="s">
        <v>269</v>
      </c>
      <c r="G638" s="9" t="s">
        <v>270</v>
      </c>
      <c r="H638" s="92" t="s">
        <v>299</v>
      </c>
      <c r="I638" s="92" t="s">
        <v>272</v>
      </c>
      <c r="J638" s="92" t="s">
        <v>273</v>
      </c>
      <c r="K638" s="92" t="s">
        <v>273</v>
      </c>
      <c r="L638" s="92" t="s">
        <v>274</v>
      </c>
      <c r="M638" s="92" t="s">
        <v>168</v>
      </c>
      <c r="N638" s="92" t="s">
        <v>168</v>
      </c>
      <c r="O638" s="92" t="s">
        <v>169</v>
      </c>
      <c r="P638" s="92" t="s">
        <v>1720</v>
      </c>
      <c r="Q638" s="92" t="s">
        <v>1904</v>
      </c>
      <c r="R638" s="92">
        <v>4</v>
      </c>
      <c r="S638" s="92">
        <v>775</v>
      </c>
      <c r="T638" s="9">
        <v>44140</v>
      </c>
      <c r="U638" s="9">
        <v>44171</v>
      </c>
    </row>
    <row r="639" spans="1:21" x14ac:dyDescent="0.2">
      <c r="A639" s="10" t="str">
        <f>HYPERLINK("http://www.ofsted.gov.uk/inspection-reports/find-inspection-report/provider/ELS/116932 ","Ofsted School Webpage")</f>
        <v>Ofsted School Webpage</v>
      </c>
      <c r="B639" s="92">
        <v>116932</v>
      </c>
      <c r="C639" s="92">
        <v>8854006</v>
      </c>
      <c r="D639" s="92" t="s">
        <v>1905</v>
      </c>
      <c r="E639" s="92" t="s">
        <v>95</v>
      </c>
      <c r="F639" s="92" t="s">
        <v>269</v>
      </c>
      <c r="G639" s="9" t="s">
        <v>270</v>
      </c>
      <c r="H639" s="92" t="s">
        <v>299</v>
      </c>
      <c r="I639" s="92" t="s">
        <v>300</v>
      </c>
      <c r="J639" s="92" t="s">
        <v>273</v>
      </c>
      <c r="K639" s="92" t="s">
        <v>273</v>
      </c>
      <c r="L639" s="92" t="s">
        <v>274</v>
      </c>
      <c r="M639" s="92" t="s">
        <v>226</v>
      </c>
      <c r="N639" s="92" t="s">
        <v>226</v>
      </c>
      <c r="O639" s="92" t="s">
        <v>238</v>
      </c>
      <c r="P639" s="92" t="s">
        <v>1621</v>
      </c>
      <c r="Q639" s="92" t="s">
        <v>1906</v>
      </c>
      <c r="R639" s="92">
        <v>2</v>
      </c>
      <c r="S639" s="92">
        <v>926</v>
      </c>
      <c r="T639" s="9">
        <v>44140</v>
      </c>
      <c r="U639" s="9">
        <v>44164</v>
      </c>
    </row>
    <row r="640" spans="1:21" x14ac:dyDescent="0.2">
      <c r="A640" s="10" t="str">
        <f>HYPERLINK("http://www.ofsted.gov.uk/inspection-reports/find-inspection-report/provider/ELS/102746 ","Ofsted School Webpage")</f>
        <v>Ofsted School Webpage</v>
      </c>
      <c r="B640" s="92">
        <v>102746</v>
      </c>
      <c r="C640" s="92">
        <v>3162066</v>
      </c>
      <c r="D640" s="92" t="s">
        <v>1907</v>
      </c>
      <c r="E640" s="92" t="s">
        <v>94</v>
      </c>
      <c r="F640" s="92" t="s">
        <v>269</v>
      </c>
      <c r="G640" s="9" t="s">
        <v>270</v>
      </c>
      <c r="H640" s="92" t="s">
        <v>271</v>
      </c>
      <c r="I640" s="92" t="s">
        <v>272</v>
      </c>
      <c r="J640" s="92" t="s">
        <v>273</v>
      </c>
      <c r="K640" s="92" t="s">
        <v>273</v>
      </c>
      <c r="L640" s="92" t="s">
        <v>274</v>
      </c>
      <c r="M640" s="92" t="s">
        <v>122</v>
      </c>
      <c r="N640" s="92" t="s">
        <v>122</v>
      </c>
      <c r="O640" s="92" t="s">
        <v>138</v>
      </c>
      <c r="P640" s="92" t="s">
        <v>1377</v>
      </c>
      <c r="Q640" s="92" t="s">
        <v>1908</v>
      </c>
      <c r="R640" s="92">
        <v>5</v>
      </c>
      <c r="S640" s="92">
        <v>666</v>
      </c>
      <c r="T640" s="9">
        <v>44140</v>
      </c>
      <c r="U640" s="9">
        <v>44175</v>
      </c>
    </row>
    <row r="641" spans="1:21" x14ac:dyDescent="0.2">
      <c r="A641" s="10" t="str">
        <f>HYPERLINK("http://www.ofsted.gov.uk/inspection-reports/find-inspection-report/provider/ELS/122238 ","Ofsted School Webpage")</f>
        <v>Ofsted School Webpage</v>
      </c>
      <c r="B641" s="92">
        <v>122238</v>
      </c>
      <c r="C641" s="92">
        <v>9292281</v>
      </c>
      <c r="D641" s="92" t="s">
        <v>1909</v>
      </c>
      <c r="E641" s="92" t="s">
        <v>94</v>
      </c>
      <c r="F641" s="92" t="s">
        <v>269</v>
      </c>
      <c r="G641" s="9" t="s">
        <v>270</v>
      </c>
      <c r="H641" s="92" t="s">
        <v>271</v>
      </c>
      <c r="I641" s="92" t="s">
        <v>272</v>
      </c>
      <c r="J641" s="92" t="s">
        <v>273</v>
      </c>
      <c r="K641" s="92" t="s">
        <v>273</v>
      </c>
      <c r="L641" s="92" t="s">
        <v>274</v>
      </c>
      <c r="M641" s="92" t="s">
        <v>261</v>
      </c>
      <c r="N641" s="92" t="s">
        <v>155</v>
      </c>
      <c r="O641" s="92" t="s">
        <v>158</v>
      </c>
      <c r="P641" s="92" t="s">
        <v>430</v>
      </c>
      <c r="Q641" s="92" t="s">
        <v>1910</v>
      </c>
      <c r="R641" s="92">
        <v>3</v>
      </c>
      <c r="S641" s="92">
        <v>129</v>
      </c>
      <c r="T641" s="9">
        <v>44140</v>
      </c>
      <c r="U641" s="9">
        <v>44161</v>
      </c>
    </row>
    <row r="642" spans="1:21" x14ac:dyDescent="0.2">
      <c r="A642" s="10" t="str">
        <f>HYPERLINK("http://www.ofsted.gov.uk/inspection-reports/find-inspection-report/provider/ELS/116664 ","Ofsted School Webpage")</f>
        <v>Ofsted School Webpage</v>
      </c>
      <c r="B642" s="92">
        <v>116664</v>
      </c>
      <c r="C642" s="92">
        <v>8852021</v>
      </c>
      <c r="D642" s="92" t="s">
        <v>1911</v>
      </c>
      <c r="E642" s="92" t="s">
        <v>94</v>
      </c>
      <c r="F642" s="92" t="s">
        <v>269</v>
      </c>
      <c r="G642" s="9" t="s">
        <v>270</v>
      </c>
      <c r="H642" s="92" t="s">
        <v>271</v>
      </c>
      <c r="I642" s="92" t="s">
        <v>272</v>
      </c>
      <c r="J642" s="92" t="s">
        <v>273</v>
      </c>
      <c r="K642" s="92" t="s">
        <v>273</v>
      </c>
      <c r="L642" s="92" t="s">
        <v>274</v>
      </c>
      <c r="M642" s="92" t="s">
        <v>226</v>
      </c>
      <c r="N642" s="92" t="s">
        <v>226</v>
      </c>
      <c r="O642" s="92" t="s">
        <v>238</v>
      </c>
      <c r="P642" s="92" t="s">
        <v>1912</v>
      </c>
      <c r="Q642" s="92" t="s">
        <v>1913</v>
      </c>
      <c r="R642" s="92">
        <v>3</v>
      </c>
      <c r="S642" s="92">
        <v>288</v>
      </c>
      <c r="T642" s="9">
        <v>44140</v>
      </c>
      <c r="U642" s="9">
        <v>44172</v>
      </c>
    </row>
    <row r="643" spans="1:21" x14ac:dyDescent="0.2">
      <c r="A643" s="10" t="str">
        <f>HYPERLINK("http://www.ofsted.gov.uk/inspection-reports/find-inspection-report/provider/ELS/133488 ","Ofsted School Webpage")</f>
        <v>Ofsted School Webpage</v>
      </c>
      <c r="B643" s="92">
        <v>133488</v>
      </c>
      <c r="C643" s="92">
        <v>9192027</v>
      </c>
      <c r="D643" s="92" t="s">
        <v>1914</v>
      </c>
      <c r="E643" s="92" t="s">
        <v>94</v>
      </c>
      <c r="F643" s="92" t="s">
        <v>269</v>
      </c>
      <c r="G643" s="9">
        <v>37257</v>
      </c>
      <c r="H643" s="92" t="s">
        <v>271</v>
      </c>
      <c r="I643" s="92" t="s">
        <v>272</v>
      </c>
      <c r="J643" s="92" t="s">
        <v>273</v>
      </c>
      <c r="K643" s="92" t="s">
        <v>273</v>
      </c>
      <c r="L643" s="92" t="s">
        <v>274</v>
      </c>
      <c r="M643" s="92" t="s">
        <v>110</v>
      </c>
      <c r="N643" s="92" t="s">
        <v>110</v>
      </c>
      <c r="O643" s="92" t="s">
        <v>117</v>
      </c>
      <c r="P643" s="92" t="s">
        <v>709</v>
      </c>
      <c r="Q643" s="92" t="s">
        <v>1915</v>
      </c>
      <c r="R643" s="92">
        <v>4</v>
      </c>
      <c r="S643" s="92">
        <v>440</v>
      </c>
      <c r="T643" s="9">
        <v>44140</v>
      </c>
      <c r="U643" s="9">
        <v>44174</v>
      </c>
    </row>
    <row r="644" spans="1:21" x14ac:dyDescent="0.2">
      <c r="A644" s="10" t="str">
        <f>HYPERLINK("http://www.ofsted.gov.uk/inspection-reports/find-inspection-report/provider/ELS/104060 ","Ofsted School Webpage")</f>
        <v>Ofsted School Webpage</v>
      </c>
      <c r="B644" s="92">
        <v>104060</v>
      </c>
      <c r="C644" s="92">
        <v>3342051</v>
      </c>
      <c r="D644" s="92" t="s">
        <v>1916</v>
      </c>
      <c r="E644" s="92" t="s">
        <v>94</v>
      </c>
      <c r="F644" s="92" t="s">
        <v>269</v>
      </c>
      <c r="G644" s="9" t="s">
        <v>270</v>
      </c>
      <c r="H644" s="92" t="s">
        <v>271</v>
      </c>
      <c r="I644" s="92" t="s">
        <v>272</v>
      </c>
      <c r="J644" s="92" t="s">
        <v>273</v>
      </c>
      <c r="K644" s="92" t="s">
        <v>273</v>
      </c>
      <c r="L644" s="92" t="s">
        <v>274</v>
      </c>
      <c r="M644" s="92" t="s">
        <v>226</v>
      </c>
      <c r="N644" s="92" t="s">
        <v>226</v>
      </c>
      <c r="O644" s="92" t="s">
        <v>236</v>
      </c>
      <c r="P644" s="92" t="s">
        <v>1322</v>
      </c>
      <c r="Q644" s="92" t="s">
        <v>1917</v>
      </c>
      <c r="R644" s="92">
        <v>4</v>
      </c>
      <c r="S644" s="92">
        <v>353</v>
      </c>
      <c r="T644" s="9">
        <v>44140</v>
      </c>
      <c r="U644" s="9">
        <v>44165</v>
      </c>
    </row>
    <row r="645" spans="1:21" x14ac:dyDescent="0.2">
      <c r="A645" s="10" t="str">
        <f>HYPERLINK("http://www.ofsted.gov.uk/inspection-reports/find-inspection-report/provider/ELS/115948 ","Ofsted School Webpage")</f>
        <v>Ofsted School Webpage</v>
      </c>
      <c r="B645" s="92">
        <v>115948</v>
      </c>
      <c r="C645" s="92">
        <v>8502183</v>
      </c>
      <c r="D645" s="92" t="s">
        <v>1918</v>
      </c>
      <c r="E645" s="92" t="s">
        <v>94</v>
      </c>
      <c r="F645" s="92" t="s">
        <v>269</v>
      </c>
      <c r="G645" s="9" t="s">
        <v>270</v>
      </c>
      <c r="H645" s="92" t="s">
        <v>271</v>
      </c>
      <c r="I645" s="92" t="s">
        <v>272</v>
      </c>
      <c r="J645" s="92" t="s">
        <v>273</v>
      </c>
      <c r="K645" s="92" t="s">
        <v>273</v>
      </c>
      <c r="L645" s="92" t="s">
        <v>274</v>
      </c>
      <c r="M645" s="92" t="s">
        <v>192</v>
      </c>
      <c r="N645" s="92" t="s">
        <v>192</v>
      </c>
      <c r="O645" s="92" t="s">
        <v>193</v>
      </c>
      <c r="P645" s="92" t="s">
        <v>1919</v>
      </c>
      <c r="Q645" s="92" t="s">
        <v>1920</v>
      </c>
      <c r="R645" s="92">
        <v>2</v>
      </c>
      <c r="S645" s="92">
        <v>99</v>
      </c>
      <c r="T645" s="9">
        <v>44140</v>
      </c>
      <c r="U645" s="9">
        <v>44165</v>
      </c>
    </row>
    <row r="646" spans="1:21" x14ac:dyDescent="0.2">
      <c r="A646" s="10" t="str">
        <f>HYPERLINK("http://www.ofsted.gov.uk/inspection-reports/find-inspection-report/provider/ELS/121309 ","Ofsted School Webpage")</f>
        <v>Ofsted School Webpage</v>
      </c>
      <c r="B646" s="92">
        <v>121309</v>
      </c>
      <c r="C646" s="92">
        <v>8152081</v>
      </c>
      <c r="D646" s="92" t="s">
        <v>1921</v>
      </c>
      <c r="E646" s="92" t="s">
        <v>94</v>
      </c>
      <c r="F646" s="92" t="s">
        <v>269</v>
      </c>
      <c r="G646" s="9" t="s">
        <v>270</v>
      </c>
      <c r="H646" s="92" t="s">
        <v>271</v>
      </c>
      <c r="I646" s="92" t="s">
        <v>272</v>
      </c>
      <c r="J646" s="92" t="s">
        <v>273</v>
      </c>
      <c r="K646" s="92" t="s">
        <v>273</v>
      </c>
      <c r="L646" s="92" t="s">
        <v>274</v>
      </c>
      <c r="M646" s="92" t="s">
        <v>261</v>
      </c>
      <c r="N646" s="92" t="s">
        <v>241</v>
      </c>
      <c r="O646" s="92" t="s">
        <v>247</v>
      </c>
      <c r="P646" s="92" t="s">
        <v>638</v>
      </c>
      <c r="Q646" s="92" t="s">
        <v>1922</v>
      </c>
      <c r="R646" s="92">
        <v>1</v>
      </c>
      <c r="S646" s="92">
        <v>28</v>
      </c>
      <c r="T646" s="9">
        <v>44140</v>
      </c>
      <c r="U646" s="9">
        <v>44213</v>
      </c>
    </row>
    <row r="647" spans="1:21" x14ac:dyDescent="0.2">
      <c r="A647" s="10" t="str">
        <f>HYPERLINK("http://www.ofsted.gov.uk/inspection-reports/find-inspection-report/provider/ELS/118289 ","Ofsted School Webpage")</f>
        <v>Ofsted School Webpage</v>
      </c>
      <c r="B647" s="92">
        <v>118289</v>
      </c>
      <c r="C647" s="92">
        <v>8862163</v>
      </c>
      <c r="D647" s="92" t="s">
        <v>1923</v>
      </c>
      <c r="E647" s="92" t="s">
        <v>94</v>
      </c>
      <c r="F647" s="92" t="s">
        <v>269</v>
      </c>
      <c r="G647" s="9" t="s">
        <v>270</v>
      </c>
      <c r="H647" s="92" t="s">
        <v>271</v>
      </c>
      <c r="I647" s="92" t="s">
        <v>272</v>
      </c>
      <c r="J647" s="92" t="s">
        <v>273</v>
      </c>
      <c r="K647" s="92" t="s">
        <v>273</v>
      </c>
      <c r="L647" s="92" t="s">
        <v>274</v>
      </c>
      <c r="M647" s="92" t="s">
        <v>192</v>
      </c>
      <c r="N647" s="92" t="s">
        <v>192</v>
      </c>
      <c r="O647" s="92" t="s">
        <v>194</v>
      </c>
      <c r="P647" s="92" t="s">
        <v>325</v>
      </c>
      <c r="Q647" s="92" t="s">
        <v>1924</v>
      </c>
      <c r="R647" s="92">
        <v>2</v>
      </c>
      <c r="S647" s="92">
        <v>206</v>
      </c>
      <c r="T647" s="9">
        <v>44140</v>
      </c>
      <c r="U647" s="9">
        <v>44164</v>
      </c>
    </row>
    <row r="648" spans="1:21" x14ac:dyDescent="0.2">
      <c r="A648" s="10" t="str">
        <f>HYPERLINK("http://www.ofsted.gov.uk/inspection-reports/find-inspection-report/provider/ELS/107046 ","Ofsted School Webpage")</f>
        <v>Ofsted School Webpage</v>
      </c>
      <c r="B648" s="92">
        <v>107046</v>
      </c>
      <c r="C648" s="92">
        <v>3732279</v>
      </c>
      <c r="D648" s="92" t="s">
        <v>1925</v>
      </c>
      <c r="E648" s="92" t="s">
        <v>94</v>
      </c>
      <c r="F648" s="92" t="s">
        <v>269</v>
      </c>
      <c r="G648" s="9" t="s">
        <v>270</v>
      </c>
      <c r="H648" s="92" t="s">
        <v>271</v>
      </c>
      <c r="I648" s="92" t="s">
        <v>272</v>
      </c>
      <c r="J648" s="92" t="s">
        <v>273</v>
      </c>
      <c r="K648" s="92" t="s">
        <v>273</v>
      </c>
      <c r="L648" s="92" t="s">
        <v>274</v>
      </c>
      <c r="M648" s="92" t="s">
        <v>261</v>
      </c>
      <c r="N648" s="92" t="s">
        <v>241</v>
      </c>
      <c r="O648" s="92" t="s">
        <v>249</v>
      </c>
      <c r="P648" s="92" t="s">
        <v>1926</v>
      </c>
      <c r="Q648" s="92" t="s">
        <v>1927</v>
      </c>
      <c r="R648" s="92">
        <v>3</v>
      </c>
      <c r="S648" s="92">
        <v>196</v>
      </c>
      <c r="T648" s="9">
        <v>44140</v>
      </c>
      <c r="U648" s="9">
        <v>44161</v>
      </c>
    </row>
    <row r="649" spans="1:21" x14ac:dyDescent="0.2">
      <c r="A649" s="10" t="str">
        <f>HYPERLINK("http://www.ofsted.gov.uk/inspection-reports/find-inspection-report/provider/ELS/103078 ","Ofsted School Webpage")</f>
        <v>Ofsted School Webpage</v>
      </c>
      <c r="B649" s="92">
        <v>103078</v>
      </c>
      <c r="C649" s="92">
        <v>3202075</v>
      </c>
      <c r="D649" s="92" t="s">
        <v>1928</v>
      </c>
      <c r="E649" s="92" t="s">
        <v>94</v>
      </c>
      <c r="F649" s="92" t="s">
        <v>269</v>
      </c>
      <c r="G649" s="9" t="s">
        <v>270</v>
      </c>
      <c r="H649" s="92" t="s">
        <v>271</v>
      </c>
      <c r="I649" s="92" t="s">
        <v>272</v>
      </c>
      <c r="J649" s="92" t="s">
        <v>273</v>
      </c>
      <c r="K649" s="92" t="s">
        <v>273</v>
      </c>
      <c r="L649" s="92" t="s">
        <v>274</v>
      </c>
      <c r="M649" s="92" t="s">
        <v>122</v>
      </c>
      <c r="N649" s="92" t="s">
        <v>122</v>
      </c>
      <c r="O649" s="92" t="s">
        <v>143</v>
      </c>
      <c r="P649" s="92" t="s">
        <v>1305</v>
      </c>
      <c r="Q649" s="92" t="s">
        <v>1929</v>
      </c>
      <c r="R649" s="92">
        <v>3</v>
      </c>
      <c r="S649" s="92">
        <v>254</v>
      </c>
      <c r="T649" s="9">
        <v>44140</v>
      </c>
      <c r="U649" s="9">
        <v>44175</v>
      </c>
    </row>
    <row r="650" spans="1:21" x14ac:dyDescent="0.2">
      <c r="A650" s="10" t="str">
        <f>HYPERLINK("http://www.ofsted.gov.uk/inspection-reports/find-inspection-report/provider/ELS/115574 ","Ofsted School Webpage")</f>
        <v>Ofsted School Webpage</v>
      </c>
      <c r="B650" s="92">
        <v>115574</v>
      </c>
      <c r="C650" s="92">
        <v>9162138</v>
      </c>
      <c r="D650" s="92" t="s">
        <v>1930</v>
      </c>
      <c r="E650" s="92" t="s">
        <v>94</v>
      </c>
      <c r="F650" s="92" t="s">
        <v>269</v>
      </c>
      <c r="G650" s="9" t="s">
        <v>270</v>
      </c>
      <c r="H650" s="92" t="s">
        <v>271</v>
      </c>
      <c r="I650" s="92" t="s">
        <v>272</v>
      </c>
      <c r="J650" s="92" t="s">
        <v>273</v>
      </c>
      <c r="K650" s="92" t="s">
        <v>273</v>
      </c>
      <c r="L650" s="92" t="s">
        <v>274</v>
      </c>
      <c r="M650" s="92" t="s">
        <v>211</v>
      </c>
      <c r="N650" s="92" t="s">
        <v>211</v>
      </c>
      <c r="O650" s="92" t="s">
        <v>217</v>
      </c>
      <c r="P650" s="92" t="s">
        <v>1931</v>
      </c>
      <c r="Q650" s="92" t="s">
        <v>1932</v>
      </c>
      <c r="R650" s="92">
        <v>3</v>
      </c>
      <c r="S650" s="92">
        <v>131</v>
      </c>
      <c r="T650" s="9">
        <v>44140</v>
      </c>
      <c r="U650" s="9">
        <v>44171</v>
      </c>
    </row>
    <row r="651" spans="1:21" x14ac:dyDescent="0.2">
      <c r="A651" s="10" t="str">
        <f>HYPERLINK("http://www.ofsted.gov.uk/inspection-reports/find-inspection-report/provider/ELS/123364 ","Ofsted School Webpage")</f>
        <v>Ofsted School Webpage</v>
      </c>
      <c r="B651" s="92">
        <v>123364</v>
      </c>
      <c r="C651" s="92">
        <v>8942041</v>
      </c>
      <c r="D651" s="92" t="s">
        <v>1933</v>
      </c>
      <c r="E651" s="92" t="s">
        <v>94</v>
      </c>
      <c r="F651" s="92" t="s">
        <v>269</v>
      </c>
      <c r="G651" s="9" t="s">
        <v>270</v>
      </c>
      <c r="H651" s="92" t="s">
        <v>271</v>
      </c>
      <c r="I651" s="92" t="s">
        <v>272</v>
      </c>
      <c r="J651" s="92" t="s">
        <v>273</v>
      </c>
      <c r="K651" s="92" t="s">
        <v>273</v>
      </c>
      <c r="L651" s="92" t="s">
        <v>274</v>
      </c>
      <c r="M651" s="92" t="s">
        <v>226</v>
      </c>
      <c r="N651" s="92" t="s">
        <v>226</v>
      </c>
      <c r="O651" s="92" t="s">
        <v>239</v>
      </c>
      <c r="P651" s="92" t="s">
        <v>831</v>
      </c>
      <c r="Q651" s="92" t="s">
        <v>1934</v>
      </c>
      <c r="R651" s="92">
        <v>5</v>
      </c>
      <c r="S651" s="92">
        <v>205</v>
      </c>
      <c r="T651" s="9">
        <v>44140</v>
      </c>
      <c r="U651" s="9">
        <v>44164</v>
      </c>
    </row>
    <row r="652" spans="1:21" x14ac:dyDescent="0.2">
      <c r="A652" s="10" t="str">
        <f>HYPERLINK("http://www.ofsted.gov.uk/inspection-reports/find-inspection-report/provider/ELS/113249 ","Ofsted School Webpage")</f>
        <v>Ofsted School Webpage</v>
      </c>
      <c r="B652" s="92">
        <v>113249</v>
      </c>
      <c r="C652" s="92">
        <v>8782603</v>
      </c>
      <c r="D652" s="92" t="s">
        <v>1935</v>
      </c>
      <c r="E652" s="92" t="s">
        <v>94</v>
      </c>
      <c r="F652" s="92" t="s">
        <v>269</v>
      </c>
      <c r="G652" s="9" t="s">
        <v>270</v>
      </c>
      <c r="H652" s="92" t="s">
        <v>271</v>
      </c>
      <c r="I652" s="92" t="s">
        <v>272</v>
      </c>
      <c r="J652" s="92" t="s">
        <v>273</v>
      </c>
      <c r="K652" s="92" t="s">
        <v>273</v>
      </c>
      <c r="L652" s="92" t="s">
        <v>274</v>
      </c>
      <c r="M652" s="92" t="s">
        <v>211</v>
      </c>
      <c r="N652" s="92" t="s">
        <v>211</v>
      </c>
      <c r="O652" s="92" t="s">
        <v>220</v>
      </c>
      <c r="P652" s="92" t="s">
        <v>362</v>
      </c>
      <c r="Q652" s="92" t="s">
        <v>1936</v>
      </c>
      <c r="R652" s="92">
        <v>1</v>
      </c>
      <c r="S652" s="92">
        <v>146</v>
      </c>
      <c r="T652" s="9">
        <v>44140</v>
      </c>
      <c r="U652" s="9">
        <v>44160</v>
      </c>
    </row>
    <row r="653" spans="1:21" x14ac:dyDescent="0.2">
      <c r="A653" s="10" t="str">
        <f>HYPERLINK("http://www.ofsted.gov.uk/inspection-reports/find-inspection-report/provider/ELS/112720 ","Ofsted School Webpage")</f>
        <v>Ofsted School Webpage</v>
      </c>
      <c r="B653" s="92">
        <v>112720</v>
      </c>
      <c r="C653" s="92">
        <v>8312409</v>
      </c>
      <c r="D653" s="92" t="s">
        <v>1937</v>
      </c>
      <c r="E653" s="92" t="s">
        <v>94</v>
      </c>
      <c r="F653" s="92" t="s">
        <v>269</v>
      </c>
      <c r="G653" s="9" t="s">
        <v>270</v>
      </c>
      <c r="H653" s="92" t="s">
        <v>271</v>
      </c>
      <c r="I653" s="92" t="s">
        <v>272</v>
      </c>
      <c r="J653" s="92" t="s">
        <v>273</v>
      </c>
      <c r="K653" s="92" t="s">
        <v>273</v>
      </c>
      <c r="L653" s="92" t="s">
        <v>274</v>
      </c>
      <c r="M653" s="92" t="s">
        <v>100</v>
      </c>
      <c r="N653" s="92" t="s">
        <v>100</v>
      </c>
      <c r="O653" s="92" t="s">
        <v>106</v>
      </c>
      <c r="P653" s="92" t="s">
        <v>548</v>
      </c>
      <c r="Q653" s="92" t="s">
        <v>1938</v>
      </c>
      <c r="R653" s="92">
        <v>4</v>
      </c>
      <c r="S653" s="92">
        <v>544</v>
      </c>
      <c r="T653" s="9">
        <v>44140</v>
      </c>
      <c r="U653" s="9">
        <v>44166</v>
      </c>
    </row>
    <row r="654" spans="1:21" x14ac:dyDescent="0.2">
      <c r="A654" s="10" t="str">
        <f>HYPERLINK("http://www.ofsted.gov.uk/inspection-reports/find-inspection-report/provider/ELS/106839 ","Ofsted School Webpage")</f>
        <v>Ofsted School Webpage</v>
      </c>
      <c r="B654" s="92">
        <v>106839</v>
      </c>
      <c r="C654" s="92">
        <v>3722013</v>
      </c>
      <c r="D654" s="92" t="s">
        <v>1939</v>
      </c>
      <c r="E654" s="92" t="s">
        <v>94</v>
      </c>
      <c r="F654" s="92" t="s">
        <v>269</v>
      </c>
      <c r="G654" s="9" t="s">
        <v>270</v>
      </c>
      <c r="H654" s="92" t="s">
        <v>271</v>
      </c>
      <c r="I654" s="92" t="s">
        <v>272</v>
      </c>
      <c r="J654" s="92" t="s">
        <v>273</v>
      </c>
      <c r="K654" s="92" t="s">
        <v>273</v>
      </c>
      <c r="L654" s="92" t="s">
        <v>274</v>
      </c>
      <c r="M654" s="92" t="s">
        <v>261</v>
      </c>
      <c r="N654" s="92" t="s">
        <v>241</v>
      </c>
      <c r="O654" s="92" t="s">
        <v>242</v>
      </c>
      <c r="P654" s="92" t="s">
        <v>242</v>
      </c>
      <c r="Q654" s="92" t="s">
        <v>1940</v>
      </c>
      <c r="R654" s="92">
        <v>5</v>
      </c>
      <c r="S654" s="92">
        <v>240</v>
      </c>
      <c r="T654" s="9">
        <v>44140</v>
      </c>
      <c r="U654" s="9">
        <v>44167</v>
      </c>
    </row>
    <row r="655" spans="1:21" x14ac:dyDescent="0.2">
      <c r="A655" s="10" t="str">
        <f>HYPERLINK("http://www.ofsted.gov.uk/inspection-reports/find-inspection-report/provider/ELS/103697 ","Ofsted School Webpage")</f>
        <v>Ofsted School Webpage</v>
      </c>
      <c r="B655" s="92">
        <v>103697</v>
      </c>
      <c r="C655" s="92">
        <v>3312147</v>
      </c>
      <c r="D655" s="92" t="s">
        <v>1941</v>
      </c>
      <c r="E655" s="92" t="s">
        <v>94</v>
      </c>
      <c r="F655" s="92" t="s">
        <v>269</v>
      </c>
      <c r="G655" s="9" t="s">
        <v>270</v>
      </c>
      <c r="H655" s="92" t="s">
        <v>271</v>
      </c>
      <c r="I655" s="92" t="s">
        <v>272</v>
      </c>
      <c r="J655" s="92" t="s">
        <v>273</v>
      </c>
      <c r="K655" s="92" t="s">
        <v>273</v>
      </c>
      <c r="L655" s="92" t="s">
        <v>274</v>
      </c>
      <c r="M655" s="92" t="s">
        <v>226</v>
      </c>
      <c r="N655" s="92" t="s">
        <v>226</v>
      </c>
      <c r="O655" s="92" t="s">
        <v>233</v>
      </c>
      <c r="P655" s="92" t="s">
        <v>1942</v>
      </c>
      <c r="Q655" s="92" t="s">
        <v>1943</v>
      </c>
      <c r="R655" s="92">
        <v>4</v>
      </c>
      <c r="S655" s="92">
        <v>495</v>
      </c>
      <c r="T655" s="9">
        <v>44140</v>
      </c>
      <c r="U655" s="9">
        <v>44159</v>
      </c>
    </row>
    <row r="656" spans="1:21" x14ac:dyDescent="0.2">
      <c r="A656" s="10" t="str">
        <f>HYPERLINK("http://www.ofsted.gov.uk/inspection-reports/find-inspection-report/provider/ELS/125552 ","Ofsted School Webpage")</f>
        <v>Ofsted School Webpage</v>
      </c>
      <c r="B656" s="92">
        <v>125552</v>
      </c>
      <c r="C656" s="92">
        <v>9372309</v>
      </c>
      <c r="D656" s="92" t="s">
        <v>1944</v>
      </c>
      <c r="E656" s="92" t="s">
        <v>94</v>
      </c>
      <c r="F656" s="92" t="s">
        <v>269</v>
      </c>
      <c r="G656" s="9" t="s">
        <v>270</v>
      </c>
      <c r="H656" s="92" t="s">
        <v>271</v>
      </c>
      <c r="I656" s="92" t="s">
        <v>272</v>
      </c>
      <c r="J656" s="92" t="s">
        <v>273</v>
      </c>
      <c r="K656" s="92" t="s">
        <v>273</v>
      </c>
      <c r="L656" s="92" t="s">
        <v>274</v>
      </c>
      <c r="M656" s="92" t="s">
        <v>226</v>
      </c>
      <c r="N656" s="92" t="s">
        <v>226</v>
      </c>
      <c r="O656" s="92" t="s">
        <v>235</v>
      </c>
      <c r="P656" s="92" t="s">
        <v>521</v>
      </c>
      <c r="Q656" s="92" t="s">
        <v>1945</v>
      </c>
      <c r="R656" s="92">
        <v>1</v>
      </c>
      <c r="S656" s="92">
        <v>247</v>
      </c>
      <c r="T656" s="9">
        <v>44140</v>
      </c>
      <c r="U656" s="9">
        <v>44164</v>
      </c>
    </row>
    <row r="657" spans="1:21" x14ac:dyDescent="0.2">
      <c r="A657" s="10" t="str">
        <f>HYPERLINK("http://www.ofsted.gov.uk/inspection-reports/find-inspection-report/provider/ELS/140689 ","Ofsted School Webpage")</f>
        <v>Ofsted School Webpage</v>
      </c>
      <c r="B657" s="92">
        <v>140689</v>
      </c>
      <c r="C657" s="92">
        <v>8512006</v>
      </c>
      <c r="D657" s="92" t="s">
        <v>1946</v>
      </c>
      <c r="E657" s="92" t="s">
        <v>94</v>
      </c>
      <c r="F657" s="92" t="s">
        <v>269</v>
      </c>
      <c r="G657" s="9">
        <v>41884</v>
      </c>
      <c r="H657" s="92" t="s">
        <v>271</v>
      </c>
      <c r="I657" s="92" t="s">
        <v>272</v>
      </c>
      <c r="J657" s="92" t="s">
        <v>273</v>
      </c>
      <c r="K657" s="92" t="s">
        <v>273</v>
      </c>
      <c r="L657" s="92" t="s">
        <v>274</v>
      </c>
      <c r="M657" s="92" t="s">
        <v>192</v>
      </c>
      <c r="N657" s="92" t="s">
        <v>192</v>
      </c>
      <c r="O657" s="92" t="s">
        <v>196</v>
      </c>
      <c r="P657" s="92" t="s">
        <v>1947</v>
      </c>
      <c r="Q657" s="92" t="s">
        <v>1948</v>
      </c>
      <c r="R657" s="92">
        <v>4</v>
      </c>
      <c r="S657" s="92">
        <v>370</v>
      </c>
      <c r="T657" s="9">
        <v>44140</v>
      </c>
      <c r="U657" s="9">
        <v>44168</v>
      </c>
    </row>
    <row r="658" spans="1:21" x14ac:dyDescent="0.2">
      <c r="A658" s="10" t="str">
        <f>HYPERLINK("http://www.ofsted.gov.uk/inspection-reports/find-inspection-report/provider/ELS/132763 ","Ofsted School Webpage")</f>
        <v>Ofsted School Webpage</v>
      </c>
      <c r="B658" s="92">
        <v>132763</v>
      </c>
      <c r="C658" s="92">
        <v>8742456</v>
      </c>
      <c r="D658" s="92" t="s">
        <v>1949</v>
      </c>
      <c r="E658" s="92" t="s">
        <v>94</v>
      </c>
      <c r="F658" s="92" t="s">
        <v>269</v>
      </c>
      <c r="G658" s="9">
        <v>36770</v>
      </c>
      <c r="H658" s="92" t="s">
        <v>271</v>
      </c>
      <c r="I658" s="92" t="s">
        <v>272</v>
      </c>
      <c r="J658" s="92" t="s">
        <v>273</v>
      </c>
      <c r="K658" s="92" t="s">
        <v>273</v>
      </c>
      <c r="L658" s="92" t="s">
        <v>274</v>
      </c>
      <c r="M658" s="92" t="s">
        <v>110</v>
      </c>
      <c r="N658" s="92" t="s">
        <v>110</v>
      </c>
      <c r="O658" s="92" t="s">
        <v>115</v>
      </c>
      <c r="P658" s="92" t="s">
        <v>544</v>
      </c>
      <c r="Q658" s="92" t="s">
        <v>1950</v>
      </c>
      <c r="R658" s="92">
        <v>3</v>
      </c>
      <c r="S658" s="92">
        <v>627</v>
      </c>
      <c r="T658" s="9">
        <v>44140</v>
      </c>
      <c r="U658" s="9">
        <v>44161</v>
      </c>
    </row>
    <row r="659" spans="1:21" x14ac:dyDescent="0.2">
      <c r="A659" s="10" t="str">
        <f>HYPERLINK("http://www.ofsted.gov.uk/inspection-reports/find-inspection-report/provider/ELS/131017 ","Ofsted School Webpage")</f>
        <v>Ofsted School Webpage</v>
      </c>
      <c r="B659" s="92">
        <v>131017</v>
      </c>
      <c r="C659" s="92">
        <v>8923328</v>
      </c>
      <c r="D659" s="92" t="s">
        <v>1951</v>
      </c>
      <c r="E659" s="92" t="s">
        <v>94</v>
      </c>
      <c r="F659" s="92" t="s">
        <v>269</v>
      </c>
      <c r="G659" s="9">
        <v>39326</v>
      </c>
      <c r="H659" s="92" t="s">
        <v>271</v>
      </c>
      <c r="I659" s="92" t="s">
        <v>272</v>
      </c>
      <c r="J659" s="92" t="s">
        <v>273</v>
      </c>
      <c r="K659" s="92" t="s">
        <v>273</v>
      </c>
      <c r="L659" s="92" t="s">
        <v>274</v>
      </c>
      <c r="M659" s="92" t="s">
        <v>100</v>
      </c>
      <c r="N659" s="92" t="s">
        <v>100</v>
      </c>
      <c r="O659" s="92" t="s">
        <v>109</v>
      </c>
      <c r="P659" s="92" t="s">
        <v>1952</v>
      </c>
      <c r="Q659" s="92" t="s">
        <v>1953</v>
      </c>
      <c r="R659" s="92">
        <v>5</v>
      </c>
      <c r="S659" s="92">
        <v>213</v>
      </c>
      <c r="T659" s="9">
        <v>44140</v>
      </c>
      <c r="U659" s="9">
        <v>44164</v>
      </c>
    </row>
    <row r="660" spans="1:21" x14ac:dyDescent="0.2">
      <c r="A660" s="10" t="str">
        <f>HYPERLINK("http://www.ofsted.gov.uk/inspection-reports/find-inspection-report/provider/ELS/110354 ","Ofsted School Webpage")</f>
        <v>Ofsted School Webpage</v>
      </c>
      <c r="B660" s="92">
        <v>110354</v>
      </c>
      <c r="C660" s="92">
        <v>8262284</v>
      </c>
      <c r="D660" s="92" t="s">
        <v>1954</v>
      </c>
      <c r="E660" s="92" t="s">
        <v>94</v>
      </c>
      <c r="F660" s="92" t="s">
        <v>269</v>
      </c>
      <c r="G660" s="9" t="s">
        <v>270</v>
      </c>
      <c r="H660" s="92" t="s">
        <v>271</v>
      </c>
      <c r="I660" s="92" t="s">
        <v>272</v>
      </c>
      <c r="J660" s="92" t="s">
        <v>273</v>
      </c>
      <c r="K660" s="92" t="s">
        <v>273</v>
      </c>
      <c r="L660" s="92" t="s">
        <v>274</v>
      </c>
      <c r="M660" s="92" t="s">
        <v>192</v>
      </c>
      <c r="N660" s="92" t="s">
        <v>192</v>
      </c>
      <c r="O660" s="92" t="s">
        <v>209</v>
      </c>
      <c r="P660" s="92" t="s">
        <v>1955</v>
      </c>
      <c r="Q660" s="92" t="s">
        <v>1956</v>
      </c>
      <c r="R660" s="92">
        <v>5</v>
      </c>
      <c r="S660" s="92">
        <v>240</v>
      </c>
      <c r="T660" s="9">
        <v>44140</v>
      </c>
      <c r="U660" s="9">
        <v>44168</v>
      </c>
    </row>
    <row r="661" spans="1:21" x14ac:dyDescent="0.2">
      <c r="A661" s="10" t="str">
        <f>HYPERLINK("http://www.ofsted.gov.uk/inspection-reports/find-inspection-report/provider/ELS/122563 ","Ofsted School Webpage")</f>
        <v>Ofsted School Webpage</v>
      </c>
      <c r="B661" s="92">
        <v>122563</v>
      </c>
      <c r="C661" s="92">
        <v>8912362</v>
      </c>
      <c r="D661" s="92" t="s">
        <v>1957</v>
      </c>
      <c r="E661" s="92" t="s">
        <v>94</v>
      </c>
      <c r="F661" s="92" t="s">
        <v>269</v>
      </c>
      <c r="G661" s="9" t="s">
        <v>270</v>
      </c>
      <c r="H661" s="92" t="s">
        <v>271</v>
      </c>
      <c r="I661" s="92" t="s">
        <v>272</v>
      </c>
      <c r="J661" s="92" t="s">
        <v>273</v>
      </c>
      <c r="K661" s="92" t="s">
        <v>273</v>
      </c>
      <c r="L661" s="92" t="s">
        <v>274</v>
      </c>
      <c r="M661" s="92" t="s">
        <v>100</v>
      </c>
      <c r="N661" s="92" t="s">
        <v>100</v>
      </c>
      <c r="O661" s="92" t="s">
        <v>105</v>
      </c>
      <c r="P661" s="92" t="s">
        <v>470</v>
      </c>
      <c r="Q661" s="92" t="s">
        <v>1958</v>
      </c>
      <c r="R661" s="92">
        <v>4</v>
      </c>
      <c r="S661" s="92">
        <v>308</v>
      </c>
      <c r="T661" s="9">
        <v>44140</v>
      </c>
      <c r="U661" s="9">
        <v>44164</v>
      </c>
    </row>
    <row r="662" spans="1:21" x14ac:dyDescent="0.2">
      <c r="A662" s="10" t="str">
        <f>HYPERLINK("http://www.ofsted.gov.uk/inspection-reports/find-inspection-report/provider/ELS/121038 ","Ofsted School Webpage")</f>
        <v>Ofsted School Webpage</v>
      </c>
      <c r="B662" s="92">
        <v>121038</v>
      </c>
      <c r="C662" s="92">
        <v>9263032</v>
      </c>
      <c r="D662" s="92" t="s">
        <v>1959</v>
      </c>
      <c r="E662" s="92" t="s">
        <v>94</v>
      </c>
      <c r="F662" s="92" t="s">
        <v>345</v>
      </c>
      <c r="G662" s="9">
        <v>1</v>
      </c>
      <c r="H662" s="92" t="s">
        <v>271</v>
      </c>
      <c r="I662" s="92" t="s">
        <v>272</v>
      </c>
      <c r="J662" s="92" t="s">
        <v>346</v>
      </c>
      <c r="K662" s="92" t="s">
        <v>273</v>
      </c>
      <c r="L662" s="92" t="s">
        <v>347</v>
      </c>
      <c r="M662" s="92" t="s">
        <v>110</v>
      </c>
      <c r="N662" s="92" t="s">
        <v>110</v>
      </c>
      <c r="O662" s="92" t="s">
        <v>118</v>
      </c>
      <c r="P662" s="92" t="s">
        <v>780</v>
      </c>
      <c r="Q662" s="92" t="s">
        <v>1960</v>
      </c>
      <c r="R662" s="92">
        <v>2</v>
      </c>
      <c r="S662" s="92">
        <v>108</v>
      </c>
      <c r="T662" s="9">
        <v>44140</v>
      </c>
      <c r="U662" s="9">
        <v>44168</v>
      </c>
    </row>
    <row r="663" spans="1:21" x14ac:dyDescent="0.2">
      <c r="A663" s="10" t="str">
        <f>HYPERLINK("http://www.ofsted.gov.uk/inspection-reports/find-inspection-report/provider/ELS/120298 ","Ofsted School Webpage")</f>
        <v>Ofsted School Webpage</v>
      </c>
      <c r="B663" s="92">
        <v>120298</v>
      </c>
      <c r="C663" s="92">
        <v>8564274</v>
      </c>
      <c r="D663" s="92" t="s">
        <v>1961</v>
      </c>
      <c r="E663" s="92" t="s">
        <v>95</v>
      </c>
      <c r="F663" s="92" t="s">
        <v>397</v>
      </c>
      <c r="G663" s="9" t="s">
        <v>270</v>
      </c>
      <c r="H663" s="92" t="s">
        <v>299</v>
      </c>
      <c r="I663" s="92" t="s">
        <v>272</v>
      </c>
      <c r="J663" s="92" t="s">
        <v>410</v>
      </c>
      <c r="K663" s="92" t="s">
        <v>273</v>
      </c>
      <c r="L663" s="92" t="s">
        <v>274</v>
      </c>
      <c r="M663" s="92" t="s">
        <v>100</v>
      </c>
      <c r="N663" s="92" t="s">
        <v>100</v>
      </c>
      <c r="O663" s="92" t="s">
        <v>102</v>
      </c>
      <c r="P663" s="92" t="s">
        <v>611</v>
      </c>
      <c r="Q663" s="92" t="s">
        <v>1962</v>
      </c>
      <c r="R663" s="92">
        <v>5</v>
      </c>
      <c r="S663" s="92">
        <v>1266</v>
      </c>
      <c r="T663" s="9">
        <v>44140</v>
      </c>
      <c r="U663" s="9">
        <v>44172</v>
      </c>
    </row>
    <row r="664" spans="1:21" x14ac:dyDescent="0.2">
      <c r="A664" s="10" t="str">
        <f>HYPERLINK("http://www.ofsted.gov.uk/inspection-reports/find-inspection-report/provider/ELS/106460 ","Ofsted School Webpage")</f>
        <v>Ofsted School Webpage</v>
      </c>
      <c r="B664" s="92">
        <v>106460</v>
      </c>
      <c r="C664" s="92">
        <v>3593329</v>
      </c>
      <c r="D664" s="92" t="s">
        <v>1963</v>
      </c>
      <c r="E664" s="92" t="s">
        <v>94</v>
      </c>
      <c r="F664" s="92" t="s">
        <v>351</v>
      </c>
      <c r="G664" s="92" t="s">
        <v>270</v>
      </c>
      <c r="H664" s="92" t="s">
        <v>271</v>
      </c>
      <c r="I664" s="92" t="s">
        <v>272</v>
      </c>
      <c r="J664" s="92" t="s">
        <v>352</v>
      </c>
      <c r="K664" s="92" t="s">
        <v>273</v>
      </c>
      <c r="L664" s="92" t="s">
        <v>347</v>
      </c>
      <c r="M664" s="92" t="s">
        <v>168</v>
      </c>
      <c r="N664" s="92" t="s">
        <v>168</v>
      </c>
      <c r="O664" s="92" t="s">
        <v>188</v>
      </c>
      <c r="P664" s="92" t="s">
        <v>188</v>
      </c>
      <c r="Q664" s="92" t="s">
        <v>1964</v>
      </c>
      <c r="R664" s="92">
        <v>5</v>
      </c>
      <c r="S664" s="92">
        <v>359</v>
      </c>
      <c r="T664" s="9">
        <v>44140</v>
      </c>
      <c r="U664" s="9">
        <v>44167</v>
      </c>
    </row>
    <row r="665" spans="1:21" x14ac:dyDescent="0.2">
      <c r="A665" s="10" t="str">
        <f>HYPERLINK("http://www.ofsted.gov.uk/inspection-reports/find-inspection-report/provider/ELS/100857 ","Ofsted School Webpage")</f>
        <v>Ofsted School Webpage</v>
      </c>
      <c r="B665" s="92">
        <v>100857</v>
      </c>
      <c r="C665" s="92">
        <v>2105402</v>
      </c>
      <c r="D665" s="92" t="s">
        <v>1965</v>
      </c>
      <c r="E665" s="92" t="s">
        <v>95</v>
      </c>
      <c r="F665" s="92" t="s">
        <v>351</v>
      </c>
      <c r="G665" s="92" t="s">
        <v>270</v>
      </c>
      <c r="H665" s="92" t="s">
        <v>299</v>
      </c>
      <c r="I665" s="92" t="s">
        <v>300</v>
      </c>
      <c r="J665" s="92" t="s">
        <v>352</v>
      </c>
      <c r="K665" s="92" t="s">
        <v>273</v>
      </c>
      <c r="L665" s="92" t="s">
        <v>347</v>
      </c>
      <c r="M665" s="92" t="s">
        <v>122</v>
      </c>
      <c r="N665" s="92" t="s">
        <v>122</v>
      </c>
      <c r="O665" s="92" t="s">
        <v>148</v>
      </c>
      <c r="P665" s="92" t="s">
        <v>1769</v>
      </c>
      <c r="Q665" s="92" t="s">
        <v>1966</v>
      </c>
      <c r="R665" s="92">
        <v>5</v>
      </c>
      <c r="S665" s="92">
        <v>1000</v>
      </c>
      <c r="T665" s="9">
        <v>44140</v>
      </c>
      <c r="U665" s="9">
        <v>44166</v>
      </c>
    </row>
    <row r="666" spans="1:21" x14ac:dyDescent="0.2">
      <c r="A666" s="10" t="str">
        <f>HYPERLINK("http://www.ofsted.gov.uk/inspection-reports/find-inspection-report/provider/ELS/138787 ","Ofsted School Webpage")</f>
        <v>Ofsted School Webpage</v>
      </c>
      <c r="B666" s="92">
        <v>138787</v>
      </c>
      <c r="C666" s="92">
        <v>3414001</v>
      </c>
      <c r="D666" s="92" t="s">
        <v>1967</v>
      </c>
      <c r="E666" s="92" t="s">
        <v>95</v>
      </c>
      <c r="F666" s="92" t="s">
        <v>409</v>
      </c>
      <c r="G666" s="9">
        <v>41153</v>
      </c>
      <c r="H666" s="92" t="s">
        <v>299</v>
      </c>
      <c r="I666" s="92" t="s">
        <v>300</v>
      </c>
      <c r="J666" s="92" t="s">
        <v>410</v>
      </c>
      <c r="K666" s="92" t="s">
        <v>410</v>
      </c>
      <c r="L666" s="92" t="s">
        <v>274</v>
      </c>
      <c r="M666" s="92" t="s">
        <v>168</v>
      </c>
      <c r="N666" s="92" t="s">
        <v>168</v>
      </c>
      <c r="O666" s="92" t="s">
        <v>170</v>
      </c>
      <c r="P666" s="92" t="s">
        <v>1878</v>
      </c>
      <c r="Q666" s="92" t="s">
        <v>1968</v>
      </c>
      <c r="R666" s="92">
        <v>5</v>
      </c>
      <c r="S666" s="92">
        <v>939</v>
      </c>
      <c r="T666" s="9">
        <v>44140</v>
      </c>
      <c r="U666" s="9">
        <v>44165</v>
      </c>
    </row>
    <row r="667" spans="1:21" x14ac:dyDescent="0.2">
      <c r="A667" s="10" t="str">
        <f>HYPERLINK("http://www.ofsted.gov.uk/inspection-reports/find-inspection-report/provider/ELS/123784 ","Ofsted School Webpage")</f>
        <v>Ofsted School Webpage</v>
      </c>
      <c r="B667" s="92">
        <v>123784</v>
      </c>
      <c r="C667" s="92">
        <v>9333151</v>
      </c>
      <c r="D667" s="92" t="s">
        <v>1969</v>
      </c>
      <c r="E667" s="92" t="s">
        <v>94</v>
      </c>
      <c r="F667" s="92" t="s">
        <v>345</v>
      </c>
      <c r="G667" s="92" t="s">
        <v>270</v>
      </c>
      <c r="H667" s="92" t="s">
        <v>271</v>
      </c>
      <c r="I667" s="92" t="s">
        <v>272</v>
      </c>
      <c r="J667" s="92" t="s">
        <v>346</v>
      </c>
      <c r="K667" s="92" t="s">
        <v>273</v>
      </c>
      <c r="L667" s="92" t="s">
        <v>347</v>
      </c>
      <c r="M667" s="92" t="s">
        <v>211</v>
      </c>
      <c r="N667" s="92" t="s">
        <v>211</v>
      </c>
      <c r="O667" s="92" t="s">
        <v>218</v>
      </c>
      <c r="P667" s="92" t="s">
        <v>414</v>
      </c>
      <c r="Q667" s="92" t="s">
        <v>1970</v>
      </c>
      <c r="R667" s="92">
        <v>3</v>
      </c>
      <c r="S667" s="92">
        <v>470</v>
      </c>
      <c r="T667" s="9">
        <v>44140</v>
      </c>
      <c r="U667" s="9">
        <v>44171</v>
      </c>
    </row>
    <row r="668" spans="1:21" x14ac:dyDescent="0.2">
      <c r="A668" s="10" t="str">
        <f>HYPERLINK("http://www.ofsted.gov.uk/inspection-reports/find-inspection-report/provider/ELS/122109 ","Ofsted School Webpage")</f>
        <v>Ofsted School Webpage</v>
      </c>
      <c r="B668" s="92">
        <v>122109</v>
      </c>
      <c r="C668" s="92">
        <v>9285207</v>
      </c>
      <c r="D668" s="92" t="s">
        <v>1971</v>
      </c>
      <c r="E668" s="92" t="s">
        <v>94</v>
      </c>
      <c r="F668" s="92" t="s">
        <v>397</v>
      </c>
      <c r="G668" s="9" t="s">
        <v>270</v>
      </c>
      <c r="H668" s="92" t="s">
        <v>271</v>
      </c>
      <c r="I668" s="92" t="s">
        <v>272</v>
      </c>
      <c r="J668" s="92" t="s">
        <v>410</v>
      </c>
      <c r="K668" s="92" t="s">
        <v>273</v>
      </c>
      <c r="L668" s="92" t="s">
        <v>274</v>
      </c>
      <c r="M668" s="92" t="s">
        <v>100</v>
      </c>
      <c r="N668" s="92" t="s">
        <v>100</v>
      </c>
      <c r="O668" s="92" t="s">
        <v>107</v>
      </c>
      <c r="P668" s="92" t="s">
        <v>1972</v>
      </c>
      <c r="Q668" s="92" t="s">
        <v>1973</v>
      </c>
      <c r="R668" s="92">
        <v>2</v>
      </c>
      <c r="S668" s="92">
        <v>468</v>
      </c>
      <c r="T668" s="9">
        <v>44140</v>
      </c>
      <c r="U668" s="9">
        <v>44171</v>
      </c>
    </row>
    <row r="669" spans="1:21" x14ac:dyDescent="0.2">
      <c r="A669" s="10" t="str">
        <f>HYPERLINK("http://www.ofsted.gov.uk/inspection-reports/find-inspection-report/provider/ELS/122957 ","Ofsted School Webpage")</f>
        <v>Ofsted School Webpage</v>
      </c>
      <c r="B669" s="92">
        <v>122957</v>
      </c>
      <c r="C669" s="92">
        <v>8917023</v>
      </c>
      <c r="D669" s="92" t="s">
        <v>1974</v>
      </c>
      <c r="E669" s="92" t="s">
        <v>96</v>
      </c>
      <c r="F669" s="92" t="s">
        <v>401</v>
      </c>
      <c r="G669" s="92" t="s">
        <v>270</v>
      </c>
      <c r="H669" s="92" t="s">
        <v>271</v>
      </c>
      <c r="I669" s="92" t="s">
        <v>300</v>
      </c>
      <c r="J669" s="92" t="s">
        <v>273</v>
      </c>
      <c r="K669" s="92" t="s">
        <v>273</v>
      </c>
      <c r="L669" s="92" t="s">
        <v>274</v>
      </c>
      <c r="M669" s="92" t="s">
        <v>100</v>
      </c>
      <c r="N669" s="92" t="s">
        <v>100</v>
      </c>
      <c r="O669" s="92" t="s">
        <v>105</v>
      </c>
      <c r="P669" s="92" t="s">
        <v>1975</v>
      </c>
      <c r="Q669" s="92" t="s">
        <v>1976</v>
      </c>
      <c r="R669" s="92">
        <v>1</v>
      </c>
      <c r="S669" s="92">
        <v>88</v>
      </c>
      <c r="T669" s="9">
        <v>44140</v>
      </c>
      <c r="U669" s="9">
        <v>44168</v>
      </c>
    </row>
    <row r="670" spans="1:21" x14ac:dyDescent="0.2">
      <c r="A670" s="10" t="str">
        <f>HYPERLINK("http://www.ofsted.gov.uk/inspection-reports/find-inspection-report/provider/ELS/102698 ","Ofsted School Webpage")</f>
        <v>Ofsted School Webpage</v>
      </c>
      <c r="B670" s="92">
        <v>102698</v>
      </c>
      <c r="C670" s="92">
        <v>3157004</v>
      </c>
      <c r="D670" s="92" t="s">
        <v>1977</v>
      </c>
      <c r="E670" s="92" t="s">
        <v>96</v>
      </c>
      <c r="F670" s="92" t="s">
        <v>401</v>
      </c>
      <c r="G670" s="92" t="s">
        <v>270</v>
      </c>
      <c r="H670" s="92" t="s">
        <v>271</v>
      </c>
      <c r="I670" s="92" t="s">
        <v>300</v>
      </c>
      <c r="J670" s="92" t="s">
        <v>273</v>
      </c>
      <c r="K670" s="92" t="s">
        <v>273</v>
      </c>
      <c r="L670" s="92" t="s">
        <v>274</v>
      </c>
      <c r="M670" s="92" t="s">
        <v>122</v>
      </c>
      <c r="N670" s="92" t="s">
        <v>122</v>
      </c>
      <c r="O670" s="92" t="s">
        <v>147</v>
      </c>
      <c r="P670" s="92" t="s">
        <v>1978</v>
      </c>
      <c r="Q670" s="92" t="s">
        <v>1979</v>
      </c>
      <c r="R670" s="92">
        <v>4</v>
      </c>
      <c r="S670" s="92">
        <v>146</v>
      </c>
      <c r="T670" s="9">
        <v>44140</v>
      </c>
      <c r="U670" s="9">
        <v>44166</v>
      </c>
    </row>
    <row r="671" spans="1:21" x14ac:dyDescent="0.2">
      <c r="A671" s="10" t="str">
        <f>HYPERLINK("http://www.ofsted.gov.uk/inspection-reports/find-inspection-report/provider/ELS/133779 ","Ofsted School Webpage")</f>
        <v>Ofsted School Webpage</v>
      </c>
      <c r="B671" s="92">
        <v>133779</v>
      </c>
      <c r="C671" s="92">
        <v>3917038</v>
      </c>
      <c r="D671" s="92" t="s">
        <v>1980</v>
      </c>
      <c r="E671" s="92" t="s">
        <v>96</v>
      </c>
      <c r="F671" s="92" t="s">
        <v>1844</v>
      </c>
      <c r="G671" s="9">
        <v>37500</v>
      </c>
      <c r="H671" s="92" t="s">
        <v>271</v>
      </c>
      <c r="I671" s="92" t="s">
        <v>300</v>
      </c>
      <c r="J671" s="92" t="s">
        <v>273</v>
      </c>
      <c r="K671" s="92" t="s">
        <v>273</v>
      </c>
      <c r="L671" s="92" t="s">
        <v>274</v>
      </c>
      <c r="M671" s="92" t="s">
        <v>261</v>
      </c>
      <c r="N671" s="92" t="s">
        <v>155</v>
      </c>
      <c r="O671" s="92" t="s">
        <v>156</v>
      </c>
      <c r="P671" s="92" t="s">
        <v>1981</v>
      </c>
      <c r="Q671" s="92" t="s">
        <v>1982</v>
      </c>
      <c r="R671" s="92">
        <v>5</v>
      </c>
      <c r="S671" s="92">
        <v>38</v>
      </c>
      <c r="T671" s="9">
        <v>44140</v>
      </c>
      <c r="U671" s="9">
        <v>44172</v>
      </c>
    </row>
    <row r="672" spans="1:21" x14ac:dyDescent="0.2">
      <c r="A672" s="10" t="str">
        <f>HYPERLINK("http://www.ofsted.gov.uk/inspection-reports/find-inspection-report/provider/ELS/141226 ","Ofsted School Webpage")</f>
        <v>Ofsted School Webpage</v>
      </c>
      <c r="B672" s="92">
        <v>141226</v>
      </c>
      <c r="C672" s="92">
        <v>9262071</v>
      </c>
      <c r="D672" s="92" t="s">
        <v>1983</v>
      </c>
      <c r="E672" s="92" t="s">
        <v>94</v>
      </c>
      <c r="F672" s="92" t="s">
        <v>409</v>
      </c>
      <c r="G672" s="9">
        <v>41913</v>
      </c>
      <c r="H672" s="92" t="s">
        <v>271</v>
      </c>
      <c r="I672" s="92" t="s">
        <v>272</v>
      </c>
      <c r="J672" s="92" t="s">
        <v>273</v>
      </c>
      <c r="K672" s="92" t="s">
        <v>410</v>
      </c>
      <c r="L672" s="92" t="s">
        <v>274</v>
      </c>
      <c r="M672" s="92" t="s">
        <v>110</v>
      </c>
      <c r="N672" s="92" t="s">
        <v>110</v>
      </c>
      <c r="O672" s="92" t="s">
        <v>118</v>
      </c>
      <c r="P672" s="92" t="s">
        <v>1984</v>
      </c>
      <c r="Q672" s="92" t="s">
        <v>1985</v>
      </c>
      <c r="R672" s="92">
        <v>2</v>
      </c>
      <c r="S672" s="92">
        <v>71</v>
      </c>
      <c r="T672" s="9">
        <v>44140</v>
      </c>
      <c r="U672" s="9">
        <v>44167</v>
      </c>
    </row>
    <row r="673" spans="1:21" x14ac:dyDescent="0.2">
      <c r="A673" s="10" t="str">
        <f>HYPERLINK("http://www.ofsted.gov.uk/inspection-reports/find-inspection-report/provider/ELS/138983 ","Ofsted School Webpage")</f>
        <v>Ofsted School Webpage</v>
      </c>
      <c r="B673" s="92">
        <v>138983</v>
      </c>
      <c r="C673" s="92">
        <v>3122001</v>
      </c>
      <c r="D673" s="92" t="s">
        <v>1986</v>
      </c>
      <c r="E673" s="92" t="s">
        <v>94</v>
      </c>
      <c r="F673" s="92" t="s">
        <v>409</v>
      </c>
      <c r="G673" s="9">
        <v>41244</v>
      </c>
      <c r="H673" s="92" t="s">
        <v>271</v>
      </c>
      <c r="I673" s="92" t="s">
        <v>272</v>
      </c>
      <c r="J673" s="92" t="s">
        <v>273</v>
      </c>
      <c r="K673" s="92" t="s">
        <v>410</v>
      </c>
      <c r="L673" s="92" t="s">
        <v>274</v>
      </c>
      <c r="M673" s="92" t="s">
        <v>122</v>
      </c>
      <c r="N673" s="92" t="s">
        <v>122</v>
      </c>
      <c r="O673" s="92" t="s">
        <v>146</v>
      </c>
      <c r="P673" s="92" t="s">
        <v>1987</v>
      </c>
      <c r="Q673" s="92" t="s">
        <v>1988</v>
      </c>
      <c r="R673" s="92">
        <v>4</v>
      </c>
      <c r="S673" s="92">
        <v>614</v>
      </c>
      <c r="T673" s="9">
        <v>44140</v>
      </c>
      <c r="U673" s="9">
        <v>44175</v>
      </c>
    </row>
    <row r="674" spans="1:21" x14ac:dyDescent="0.2">
      <c r="A674" s="10" t="str">
        <f>HYPERLINK("http://www.ofsted.gov.uk/inspection-reports/find-inspection-report/provider/ELS/140881 ","Ofsted School Webpage")</f>
        <v>Ofsted School Webpage</v>
      </c>
      <c r="B674" s="92">
        <v>140881</v>
      </c>
      <c r="C674" s="92">
        <v>8734009</v>
      </c>
      <c r="D674" s="92" t="s">
        <v>1989</v>
      </c>
      <c r="E674" s="92" t="s">
        <v>95</v>
      </c>
      <c r="F674" s="92" t="s">
        <v>409</v>
      </c>
      <c r="G674" s="9">
        <v>42979</v>
      </c>
      <c r="H674" s="92" t="s">
        <v>484</v>
      </c>
      <c r="I674" s="92" t="s">
        <v>272</v>
      </c>
      <c r="J674" s="92" t="s">
        <v>410</v>
      </c>
      <c r="K674" s="92" t="s">
        <v>410</v>
      </c>
      <c r="L674" s="92" t="s">
        <v>274</v>
      </c>
      <c r="M674" s="92" t="s">
        <v>110</v>
      </c>
      <c r="N674" s="92" t="s">
        <v>110</v>
      </c>
      <c r="O674" s="92" t="s">
        <v>112</v>
      </c>
      <c r="P674" s="92" t="s">
        <v>1212</v>
      </c>
      <c r="Q674" s="92" t="s">
        <v>1990</v>
      </c>
      <c r="R674" s="92">
        <v>2</v>
      </c>
      <c r="S674" s="92">
        <v>349</v>
      </c>
      <c r="T674" s="9">
        <v>44140</v>
      </c>
      <c r="U674" s="9">
        <v>44168</v>
      </c>
    </row>
    <row r="675" spans="1:21" x14ac:dyDescent="0.2">
      <c r="A675" s="10" t="str">
        <f>HYPERLINK("http://www.ofsted.gov.uk/inspection-reports/find-inspection-report/provider/ELS/138420 ","Ofsted School Webpage")</f>
        <v>Ofsted School Webpage</v>
      </c>
      <c r="B675" s="92">
        <v>138420</v>
      </c>
      <c r="C675" s="92">
        <v>3352005</v>
      </c>
      <c r="D675" s="92" t="s">
        <v>1991</v>
      </c>
      <c r="E675" s="92" t="s">
        <v>94</v>
      </c>
      <c r="F675" s="92" t="s">
        <v>409</v>
      </c>
      <c r="G675" s="9">
        <v>41153</v>
      </c>
      <c r="H675" s="92" t="s">
        <v>271</v>
      </c>
      <c r="I675" s="92" t="s">
        <v>271</v>
      </c>
      <c r="J675" s="92" t="s">
        <v>410</v>
      </c>
      <c r="K675" s="92" t="s">
        <v>410</v>
      </c>
      <c r="L675" s="92" t="s">
        <v>274</v>
      </c>
      <c r="M675" s="92" t="s">
        <v>226</v>
      </c>
      <c r="N675" s="92" t="s">
        <v>226</v>
      </c>
      <c r="O675" s="92" t="s">
        <v>230</v>
      </c>
      <c r="P675" s="92" t="s">
        <v>1992</v>
      </c>
      <c r="Q675" s="92" t="s">
        <v>1993</v>
      </c>
      <c r="R675" s="92">
        <v>5</v>
      </c>
      <c r="S675" s="92">
        <v>230</v>
      </c>
      <c r="T675" s="9">
        <v>44140</v>
      </c>
      <c r="U675" s="9">
        <v>44164</v>
      </c>
    </row>
    <row r="676" spans="1:21" x14ac:dyDescent="0.2">
      <c r="A676" s="10" t="str">
        <f>HYPERLINK("http://www.ofsted.gov.uk/inspection-reports/find-inspection-report/provider/ELS/137223 ","Ofsted School Webpage")</f>
        <v>Ofsted School Webpage</v>
      </c>
      <c r="B676" s="92">
        <v>137223</v>
      </c>
      <c r="C676" s="92">
        <v>9084152</v>
      </c>
      <c r="D676" s="92" t="s">
        <v>1994</v>
      </c>
      <c r="E676" s="92" t="s">
        <v>95</v>
      </c>
      <c r="F676" s="92" t="s">
        <v>429</v>
      </c>
      <c r="G676" s="9">
        <v>40756</v>
      </c>
      <c r="H676" s="92" t="s">
        <v>299</v>
      </c>
      <c r="I676" s="92" t="s">
        <v>300</v>
      </c>
      <c r="J676" s="92" t="s">
        <v>273</v>
      </c>
      <c r="K676" s="92" t="s">
        <v>273</v>
      </c>
      <c r="L676" s="92" t="s">
        <v>274</v>
      </c>
      <c r="M676" s="92" t="s">
        <v>211</v>
      </c>
      <c r="N676" s="92" t="s">
        <v>211</v>
      </c>
      <c r="O676" s="92" t="s">
        <v>219</v>
      </c>
      <c r="P676" s="92" t="s">
        <v>1995</v>
      </c>
      <c r="Q676" s="92" t="s">
        <v>1996</v>
      </c>
      <c r="R676" s="92">
        <v>3</v>
      </c>
      <c r="S676" s="92">
        <v>946</v>
      </c>
      <c r="T676" s="9">
        <v>44140</v>
      </c>
      <c r="U676" s="9">
        <v>44160</v>
      </c>
    </row>
    <row r="677" spans="1:21" x14ac:dyDescent="0.2">
      <c r="A677" s="10" t="str">
        <f>HYPERLINK("http://www.ofsted.gov.uk/inspection-reports/find-inspection-report/provider/ELS/133114 ","Ofsted School Webpage")</f>
        <v>Ofsted School Webpage</v>
      </c>
      <c r="B677" s="92">
        <v>133114</v>
      </c>
      <c r="C677" s="92">
        <v>8836905</v>
      </c>
      <c r="D677" s="92" t="s">
        <v>1997</v>
      </c>
      <c r="E677" s="92" t="s">
        <v>95</v>
      </c>
      <c r="F677" s="92" t="s">
        <v>409</v>
      </c>
      <c r="G677" s="9">
        <v>38961</v>
      </c>
      <c r="H677" s="92" t="s">
        <v>299</v>
      </c>
      <c r="I677" s="92" t="s">
        <v>272</v>
      </c>
      <c r="J677" s="92" t="s">
        <v>273</v>
      </c>
      <c r="K677" s="92" t="s">
        <v>410</v>
      </c>
      <c r="L677" s="92" t="s">
        <v>274</v>
      </c>
      <c r="M677" s="92" t="s">
        <v>110</v>
      </c>
      <c r="N677" s="92" t="s">
        <v>110</v>
      </c>
      <c r="O677" s="92" t="s">
        <v>113</v>
      </c>
      <c r="P677" s="92" t="s">
        <v>113</v>
      </c>
      <c r="Q677" s="92" t="s">
        <v>1998</v>
      </c>
      <c r="R677" s="92">
        <v>5</v>
      </c>
      <c r="S677" s="92">
        <v>1029</v>
      </c>
      <c r="T677" s="9">
        <v>44140</v>
      </c>
      <c r="U677" s="9">
        <v>44167</v>
      </c>
    </row>
    <row r="678" spans="1:21" x14ac:dyDescent="0.2">
      <c r="A678" s="10" t="str">
        <f>HYPERLINK("http://www.ofsted.gov.uk/inspection-reports/find-inspection-report/provider/ELS/138154 ","Ofsted School Webpage")</f>
        <v>Ofsted School Webpage</v>
      </c>
      <c r="B678" s="92">
        <v>138154</v>
      </c>
      <c r="C678" s="92">
        <v>8552146</v>
      </c>
      <c r="D678" s="92" t="s">
        <v>1999</v>
      </c>
      <c r="E678" s="92" t="s">
        <v>94</v>
      </c>
      <c r="F678" s="92" t="s">
        <v>429</v>
      </c>
      <c r="G678" s="9">
        <v>41061</v>
      </c>
      <c r="H678" s="92" t="s">
        <v>271</v>
      </c>
      <c r="I678" s="92" t="s">
        <v>272</v>
      </c>
      <c r="J678" s="92" t="s">
        <v>273</v>
      </c>
      <c r="K678" s="92" t="s">
        <v>273</v>
      </c>
      <c r="L678" s="92" t="s">
        <v>274</v>
      </c>
      <c r="M678" s="92" t="s">
        <v>100</v>
      </c>
      <c r="N678" s="92" t="s">
        <v>100</v>
      </c>
      <c r="O678" s="92" t="s">
        <v>108</v>
      </c>
      <c r="P678" s="92" t="s">
        <v>1717</v>
      </c>
      <c r="Q678" s="92" t="s">
        <v>2000</v>
      </c>
      <c r="R678" s="92">
        <v>1</v>
      </c>
      <c r="S678" s="92">
        <v>616</v>
      </c>
      <c r="T678" s="9">
        <v>44140</v>
      </c>
      <c r="U678" s="9">
        <v>44161</v>
      </c>
    </row>
    <row r="679" spans="1:21" x14ac:dyDescent="0.2">
      <c r="A679" s="10" t="str">
        <f>HYPERLINK("http://www.ofsted.gov.uk/inspection-reports/find-inspection-report/provider/ELS/142281 ","Ofsted School Webpage")</f>
        <v>Ofsted School Webpage</v>
      </c>
      <c r="B679" s="92">
        <v>142281</v>
      </c>
      <c r="C679" s="92">
        <v>8084632</v>
      </c>
      <c r="D679" s="92" t="s">
        <v>2001</v>
      </c>
      <c r="E679" s="92" t="s">
        <v>95</v>
      </c>
      <c r="F679" s="92" t="s">
        <v>429</v>
      </c>
      <c r="G679" s="9">
        <v>42248</v>
      </c>
      <c r="H679" s="92" t="s">
        <v>299</v>
      </c>
      <c r="I679" s="92" t="s">
        <v>272</v>
      </c>
      <c r="J679" s="92" t="s">
        <v>352</v>
      </c>
      <c r="K679" s="92" t="s">
        <v>273</v>
      </c>
      <c r="L679" s="92" t="s">
        <v>347</v>
      </c>
      <c r="M679" s="92" t="s">
        <v>261</v>
      </c>
      <c r="N679" s="92" t="s">
        <v>155</v>
      </c>
      <c r="O679" s="92" t="s">
        <v>159</v>
      </c>
      <c r="P679" s="92" t="s">
        <v>2002</v>
      </c>
      <c r="Q679" s="92" t="s">
        <v>2003</v>
      </c>
      <c r="R679" s="92">
        <v>5</v>
      </c>
      <c r="S679" s="92">
        <v>494</v>
      </c>
      <c r="T679" s="9">
        <v>44140</v>
      </c>
      <c r="U679" s="9">
        <v>44174</v>
      </c>
    </row>
    <row r="680" spans="1:21" x14ac:dyDescent="0.2">
      <c r="A680" s="10" t="str">
        <f>HYPERLINK("http://www.ofsted.gov.uk/inspection-reports/find-inspection-report/provider/ELS/141486 ","Ofsted School Webpage")</f>
        <v>Ofsted School Webpage</v>
      </c>
      <c r="B680" s="92">
        <v>141486</v>
      </c>
      <c r="C680" s="92">
        <v>8603092</v>
      </c>
      <c r="D680" s="92" t="s">
        <v>2004</v>
      </c>
      <c r="E680" s="92" t="s">
        <v>94</v>
      </c>
      <c r="F680" s="92" t="s">
        <v>429</v>
      </c>
      <c r="G680" s="9">
        <v>41913</v>
      </c>
      <c r="H680" s="92" t="s">
        <v>271</v>
      </c>
      <c r="I680" s="92" t="s">
        <v>272</v>
      </c>
      <c r="J680" s="92" t="s">
        <v>346</v>
      </c>
      <c r="K680" s="92" t="s">
        <v>273</v>
      </c>
      <c r="L680" s="92" t="s">
        <v>347</v>
      </c>
      <c r="M680" s="92" t="s">
        <v>226</v>
      </c>
      <c r="N680" s="92" t="s">
        <v>226</v>
      </c>
      <c r="O680" s="92" t="s">
        <v>229</v>
      </c>
      <c r="P680" s="92" t="s">
        <v>1266</v>
      </c>
      <c r="Q680" s="92" t="s">
        <v>2005</v>
      </c>
      <c r="R680" s="92">
        <v>4</v>
      </c>
      <c r="S680" s="92">
        <v>293</v>
      </c>
      <c r="T680" s="9">
        <v>44140</v>
      </c>
      <c r="U680" s="9">
        <v>44167</v>
      </c>
    </row>
    <row r="681" spans="1:21" x14ac:dyDescent="0.2">
      <c r="A681" s="10" t="str">
        <f>HYPERLINK("http://www.ofsted.gov.uk/inspection-reports/find-inspection-report/provider/ELS/144927 ","Ofsted School Webpage")</f>
        <v>Ofsted School Webpage</v>
      </c>
      <c r="B681" s="92">
        <v>144927</v>
      </c>
      <c r="C681" s="92">
        <v>8022287</v>
      </c>
      <c r="D681" s="92" t="s">
        <v>2006</v>
      </c>
      <c r="E681" s="92" t="s">
        <v>94</v>
      </c>
      <c r="F681" s="92" t="s">
        <v>429</v>
      </c>
      <c r="G681" s="9">
        <v>43009</v>
      </c>
      <c r="H681" s="92" t="s">
        <v>271</v>
      </c>
      <c r="I681" s="92" t="s">
        <v>272</v>
      </c>
      <c r="J681" s="92" t="s">
        <v>273</v>
      </c>
      <c r="K681" s="92" t="s">
        <v>273</v>
      </c>
      <c r="L681" s="92" t="s">
        <v>274</v>
      </c>
      <c r="M681" s="92" t="s">
        <v>211</v>
      </c>
      <c r="N681" s="92" t="s">
        <v>211</v>
      </c>
      <c r="O681" s="92" t="s">
        <v>222</v>
      </c>
      <c r="P681" s="92" t="s">
        <v>818</v>
      </c>
      <c r="Q681" s="92" t="s">
        <v>2007</v>
      </c>
      <c r="R681" s="92">
        <v>5</v>
      </c>
      <c r="S681" s="92">
        <v>238</v>
      </c>
      <c r="T681" s="9">
        <v>44140</v>
      </c>
      <c r="U681" s="9">
        <v>44161</v>
      </c>
    </row>
    <row r="682" spans="1:21" x14ac:dyDescent="0.2">
      <c r="A682" s="10" t="str">
        <f>HYPERLINK("http://www.ofsted.gov.uk/inspection-reports/find-inspection-report/provider/ELS/144995 ","Ofsted School Webpage")</f>
        <v>Ofsted School Webpage</v>
      </c>
      <c r="B682" s="92">
        <v>144995</v>
      </c>
      <c r="C682" s="92">
        <v>8652035</v>
      </c>
      <c r="D682" s="92" t="s">
        <v>2008</v>
      </c>
      <c r="E682" s="92" t="s">
        <v>94</v>
      </c>
      <c r="F682" s="92" t="s">
        <v>409</v>
      </c>
      <c r="G682" s="9">
        <v>43040</v>
      </c>
      <c r="H682" s="92" t="s">
        <v>271</v>
      </c>
      <c r="I682" s="92" t="s">
        <v>272</v>
      </c>
      <c r="J682" s="92" t="s">
        <v>273</v>
      </c>
      <c r="K682" s="92" t="s">
        <v>484</v>
      </c>
      <c r="L682" s="92" t="s">
        <v>274</v>
      </c>
      <c r="M682" s="92" t="s">
        <v>211</v>
      </c>
      <c r="N682" s="92" t="s">
        <v>211</v>
      </c>
      <c r="O682" s="92" t="s">
        <v>225</v>
      </c>
      <c r="P682" s="92" t="s">
        <v>2009</v>
      </c>
      <c r="Q682" s="92" t="s">
        <v>2010</v>
      </c>
      <c r="R682" s="92">
        <v>1</v>
      </c>
      <c r="S682" s="92">
        <v>86</v>
      </c>
      <c r="T682" s="9">
        <v>44140</v>
      </c>
      <c r="U682" s="9">
        <v>44167</v>
      </c>
    </row>
    <row r="683" spans="1:21" x14ac:dyDescent="0.2">
      <c r="A683" s="10" t="str">
        <f>HYPERLINK("http://www.ofsted.gov.uk/inspection-reports/find-inspection-report/provider/ELS/136990 ","Ofsted School Webpage")</f>
        <v>Ofsted School Webpage</v>
      </c>
      <c r="B683" s="92">
        <v>136990</v>
      </c>
      <c r="C683" s="92">
        <v>9354000</v>
      </c>
      <c r="D683" s="92" t="s">
        <v>2011</v>
      </c>
      <c r="E683" s="92" t="s">
        <v>95</v>
      </c>
      <c r="F683" s="92" t="s">
        <v>429</v>
      </c>
      <c r="G683" s="9">
        <v>40756</v>
      </c>
      <c r="H683" s="92" t="s">
        <v>299</v>
      </c>
      <c r="I683" s="92" t="s">
        <v>300</v>
      </c>
      <c r="J683" s="92" t="s">
        <v>273</v>
      </c>
      <c r="K683" s="92" t="s">
        <v>273</v>
      </c>
      <c r="L683" s="92" t="s">
        <v>274</v>
      </c>
      <c r="M683" s="92" t="s">
        <v>110</v>
      </c>
      <c r="N683" s="92" t="s">
        <v>110</v>
      </c>
      <c r="O683" s="92" t="s">
        <v>114</v>
      </c>
      <c r="P683" s="92" t="s">
        <v>925</v>
      </c>
      <c r="Q683" s="92" t="s">
        <v>2012</v>
      </c>
      <c r="R683" s="92">
        <v>1</v>
      </c>
      <c r="S683" s="92">
        <v>973</v>
      </c>
      <c r="T683" s="9">
        <v>44140</v>
      </c>
      <c r="U683" s="9">
        <v>44168</v>
      </c>
    </row>
    <row r="684" spans="1:21" x14ac:dyDescent="0.2">
      <c r="A684" s="10" t="str">
        <f>HYPERLINK("http://www.ofsted.gov.uk/inspection-reports/find-inspection-report/provider/ELS/140757 ","Ofsted School Webpage")</f>
        <v>Ofsted School Webpage</v>
      </c>
      <c r="B684" s="92">
        <v>140757</v>
      </c>
      <c r="C684" s="92">
        <v>8383400</v>
      </c>
      <c r="D684" s="92" t="s">
        <v>2013</v>
      </c>
      <c r="E684" s="92" t="s">
        <v>94</v>
      </c>
      <c r="F684" s="92" t="s">
        <v>429</v>
      </c>
      <c r="G684" s="9">
        <v>41730</v>
      </c>
      <c r="H684" s="92" t="s">
        <v>271</v>
      </c>
      <c r="I684" s="92" t="s">
        <v>272</v>
      </c>
      <c r="J684" s="92" t="s">
        <v>352</v>
      </c>
      <c r="K684" s="92" t="s">
        <v>273</v>
      </c>
      <c r="L684" s="92" t="s">
        <v>347</v>
      </c>
      <c r="M684" s="92" t="s">
        <v>211</v>
      </c>
      <c r="N684" s="92" t="s">
        <v>211</v>
      </c>
      <c r="O684" s="92" t="s">
        <v>213</v>
      </c>
      <c r="P684" s="92" t="s">
        <v>2014</v>
      </c>
      <c r="Q684" s="92" t="s">
        <v>2015</v>
      </c>
      <c r="R684" s="92">
        <v>3</v>
      </c>
      <c r="S684" s="92">
        <v>166</v>
      </c>
      <c r="T684" s="9">
        <v>44140</v>
      </c>
      <c r="U684" s="9">
        <v>44164</v>
      </c>
    </row>
    <row r="685" spans="1:21" x14ac:dyDescent="0.2">
      <c r="A685" s="10" t="str">
        <f>HYPERLINK("http://www.ofsted.gov.uk/inspection-reports/find-inspection-report/provider/ELS/136862 ","Ofsted School Webpage")</f>
        <v>Ofsted School Webpage</v>
      </c>
      <c r="B685" s="92">
        <v>136862</v>
      </c>
      <c r="C685" s="92">
        <v>9082431</v>
      </c>
      <c r="D685" s="92" t="s">
        <v>2016</v>
      </c>
      <c r="E685" s="92" t="s">
        <v>94</v>
      </c>
      <c r="F685" s="92" t="s">
        <v>429</v>
      </c>
      <c r="G685" s="9">
        <v>40725</v>
      </c>
      <c r="H685" s="92" t="s">
        <v>271</v>
      </c>
      <c r="I685" s="92" t="s">
        <v>271</v>
      </c>
      <c r="J685" s="92" t="s">
        <v>273</v>
      </c>
      <c r="K685" s="92" t="s">
        <v>273</v>
      </c>
      <c r="L685" s="92" t="s">
        <v>274</v>
      </c>
      <c r="M685" s="92" t="s">
        <v>211</v>
      </c>
      <c r="N685" s="92" t="s">
        <v>211</v>
      </c>
      <c r="O685" s="92" t="s">
        <v>219</v>
      </c>
      <c r="P685" s="92" t="s">
        <v>442</v>
      </c>
      <c r="Q685" s="92" t="s">
        <v>2017</v>
      </c>
      <c r="R685" s="92">
        <v>4</v>
      </c>
      <c r="S685" s="92">
        <v>379</v>
      </c>
      <c r="T685" s="9">
        <v>44140</v>
      </c>
      <c r="U685" s="9">
        <v>44166</v>
      </c>
    </row>
    <row r="686" spans="1:21" x14ac:dyDescent="0.2">
      <c r="A686" s="10" t="str">
        <f>HYPERLINK("http://www.ofsted.gov.uk/inspection-reports/find-inspection-report/provider/ELS/140279 ","Ofsted School Webpage")</f>
        <v>Ofsted School Webpage</v>
      </c>
      <c r="B686" s="92">
        <v>140279</v>
      </c>
      <c r="C686" s="92">
        <v>9312596</v>
      </c>
      <c r="D686" s="92" t="s">
        <v>2018</v>
      </c>
      <c r="E686" s="92" t="s">
        <v>94</v>
      </c>
      <c r="F686" s="92" t="s">
        <v>429</v>
      </c>
      <c r="G686" s="9">
        <v>41579</v>
      </c>
      <c r="H686" s="92" t="s">
        <v>271</v>
      </c>
      <c r="I686" s="92" t="s">
        <v>272</v>
      </c>
      <c r="J686" s="92" t="s">
        <v>273</v>
      </c>
      <c r="K686" s="92" t="s">
        <v>273</v>
      </c>
      <c r="L686" s="92" t="s">
        <v>274</v>
      </c>
      <c r="M686" s="92" t="s">
        <v>192</v>
      </c>
      <c r="N686" s="92" t="s">
        <v>192</v>
      </c>
      <c r="O686" s="92" t="s">
        <v>210</v>
      </c>
      <c r="P686" s="92" t="s">
        <v>2019</v>
      </c>
      <c r="Q686" s="92" t="s">
        <v>2020</v>
      </c>
      <c r="R686" s="92">
        <v>1</v>
      </c>
      <c r="S686" s="92">
        <v>285</v>
      </c>
      <c r="T686" s="9">
        <v>44140</v>
      </c>
      <c r="U686" s="9">
        <v>44168</v>
      </c>
    </row>
    <row r="687" spans="1:21" x14ac:dyDescent="0.2">
      <c r="A687" s="10" t="str">
        <f>HYPERLINK("http://www.ofsted.gov.uk/inspection-reports/find-inspection-report/provider/ELS/137090 ","Ofsted School Webpage")</f>
        <v>Ofsted School Webpage</v>
      </c>
      <c r="B687" s="92">
        <v>137090</v>
      </c>
      <c r="C687" s="92">
        <v>9194498</v>
      </c>
      <c r="D687" s="92" t="s">
        <v>2021</v>
      </c>
      <c r="E687" s="92" t="s">
        <v>95</v>
      </c>
      <c r="F687" s="92" t="s">
        <v>429</v>
      </c>
      <c r="G687" s="9">
        <v>40756</v>
      </c>
      <c r="H687" s="92" t="s">
        <v>299</v>
      </c>
      <c r="I687" s="92" t="s">
        <v>300</v>
      </c>
      <c r="J687" s="92" t="s">
        <v>410</v>
      </c>
      <c r="K687" s="92" t="s">
        <v>273</v>
      </c>
      <c r="L687" s="92" t="s">
        <v>274</v>
      </c>
      <c r="M687" s="92" t="s">
        <v>110</v>
      </c>
      <c r="N687" s="92" t="s">
        <v>110</v>
      </c>
      <c r="O687" s="92" t="s">
        <v>117</v>
      </c>
      <c r="P687" s="92" t="s">
        <v>1163</v>
      </c>
      <c r="Q687" s="92" t="s">
        <v>2022</v>
      </c>
      <c r="R687" s="92">
        <v>1</v>
      </c>
      <c r="S687" s="92">
        <v>1133</v>
      </c>
      <c r="T687" s="9">
        <v>44140</v>
      </c>
      <c r="U687" s="9">
        <v>44175</v>
      </c>
    </row>
    <row r="688" spans="1:21" x14ac:dyDescent="0.2">
      <c r="A688" s="10" t="str">
        <f>HYPERLINK("http://www.ofsted.gov.uk/inspection-reports/find-inspection-report/provider/ELS/136292 ","Ofsted School Webpage")</f>
        <v>Ofsted School Webpage</v>
      </c>
      <c r="B688" s="92">
        <v>136292</v>
      </c>
      <c r="C688" s="92">
        <v>9165410</v>
      </c>
      <c r="D688" s="92" t="s">
        <v>2023</v>
      </c>
      <c r="E688" s="92" t="s">
        <v>95</v>
      </c>
      <c r="F688" s="92" t="s">
        <v>429</v>
      </c>
      <c r="G688" s="9">
        <v>40422</v>
      </c>
      <c r="H688" s="92" t="s">
        <v>299</v>
      </c>
      <c r="I688" s="92" t="s">
        <v>300</v>
      </c>
      <c r="J688" s="92" t="s">
        <v>410</v>
      </c>
      <c r="K688" s="92" t="s">
        <v>273</v>
      </c>
      <c r="L688" s="92" t="s">
        <v>274</v>
      </c>
      <c r="M688" s="92" t="s">
        <v>211</v>
      </c>
      <c r="N688" s="92" t="s">
        <v>211</v>
      </c>
      <c r="O688" s="92" t="s">
        <v>217</v>
      </c>
      <c r="P688" s="92" t="s">
        <v>382</v>
      </c>
      <c r="Q688" s="92" t="s">
        <v>2024</v>
      </c>
      <c r="R688" s="92">
        <v>1</v>
      </c>
      <c r="S688" s="92">
        <v>1408</v>
      </c>
      <c r="T688" s="9">
        <v>44140</v>
      </c>
      <c r="U688" s="9">
        <v>44161</v>
      </c>
    </row>
    <row r="689" spans="1:21" x14ac:dyDescent="0.2">
      <c r="A689" s="10" t="str">
        <f>HYPERLINK("http://www.ofsted.gov.uk/inspection-reports/find-inspection-report/provider/ELS/137136 ","Ofsted School Webpage")</f>
        <v>Ofsted School Webpage</v>
      </c>
      <c r="B689" s="92">
        <v>137136</v>
      </c>
      <c r="C689" s="92">
        <v>8862001</v>
      </c>
      <c r="D689" s="92" t="s">
        <v>2025</v>
      </c>
      <c r="E689" s="92" t="s">
        <v>94</v>
      </c>
      <c r="F689" s="92" t="s">
        <v>409</v>
      </c>
      <c r="G689" s="9">
        <v>40787</v>
      </c>
      <c r="H689" s="92" t="s">
        <v>271</v>
      </c>
      <c r="I689" s="92" t="s">
        <v>271</v>
      </c>
      <c r="J689" s="92" t="s">
        <v>410</v>
      </c>
      <c r="K689" s="92" t="s">
        <v>410</v>
      </c>
      <c r="L689" s="92" t="s">
        <v>274</v>
      </c>
      <c r="M689" s="92" t="s">
        <v>192</v>
      </c>
      <c r="N689" s="92" t="s">
        <v>192</v>
      </c>
      <c r="O689" s="92" t="s">
        <v>194</v>
      </c>
      <c r="P689" s="92" t="s">
        <v>304</v>
      </c>
      <c r="Q689" s="92" t="s">
        <v>2026</v>
      </c>
      <c r="R689" s="92">
        <v>5</v>
      </c>
      <c r="S689" s="92">
        <v>205</v>
      </c>
      <c r="T689" s="9">
        <v>44140</v>
      </c>
      <c r="U689" s="9">
        <v>44174</v>
      </c>
    </row>
    <row r="690" spans="1:21" x14ac:dyDescent="0.2">
      <c r="A690" s="10" t="str">
        <f>HYPERLINK("http://www.ofsted.gov.uk/inspection-reports/find-inspection-report/provider/ELS/141988 ","Ofsted School Webpage")</f>
        <v>Ofsted School Webpage</v>
      </c>
      <c r="B690" s="92">
        <v>141988</v>
      </c>
      <c r="C690" s="92">
        <v>8652025</v>
      </c>
      <c r="D690" s="92" t="s">
        <v>2027</v>
      </c>
      <c r="E690" s="92" t="s">
        <v>94</v>
      </c>
      <c r="F690" s="92" t="s">
        <v>409</v>
      </c>
      <c r="G690" s="9">
        <v>42248</v>
      </c>
      <c r="H690" s="92" t="s">
        <v>271</v>
      </c>
      <c r="I690" s="92" t="s">
        <v>272</v>
      </c>
      <c r="J690" s="92" t="s">
        <v>346</v>
      </c>
      <c r="K690" s="92" t="s">
        <v>410</v>
      </c>
      <c r="L690" s="92" t="s">
        <v>347</v>
      </c>
      <c r="M690" s="92" t="s">
        <v>211</v>
      </c>
      <c r="N690" s="92" t="s">
        <v>211</v>
      </c>
      <c r="O690" s="92" t="s">
        <v>225</v>
      </c>
      <c r="P690" s="92" t="s">
        <v>1337</v>
      </c>
      <c r="Q690" s="92" t="s">
        <v>2028</v>
      </c>
      <c r="R690" s="92">
        <v>3</v>
      </c>
      <c r="S690" s="92">
        <v>226</v>
      </c>
      <c r="T690" s="9">
        <v>44140</v>
      </c>
      <c r="U690" s="9">
        <v>44165</v>
      </c>
    </row>
    <row r="691" spans="1:21" x14ac:dyDescent="0.2">
      <c r="A691" s="10" t="str">
        <f>HYPERLINK("http://www.ofsted.gov.uk/inspection-reports/find-inspection-report/provider/ELS/136339 ","Ofsted School Webpage")</f>
        <v>Ofsted School Webpage</v>
      </c>
      <c r="B691" s="92">
        <v>136339</v>
      </c>
      <c r="C691" s="92">
        <v>8735204</v>
      </c>
      <c r="D691" s="92" t="s">
        <v>2029</v>
      </c>
      <c r="E691" s="92" t="s">
        <v>94</v>
      </c>
      <c r="F691" s="92" t="s">
        <v>429</v>
      </c>
      <c r="G691" s="9">
        <v>40452</v>
      </c>
      <c r="H691" s="92" t="s">
        <v>271</v>
      </c>
      <c r="I691" s="92" t="s">
        <v>271</v>
      </c>
      <c r="J691" s="92" t="s">
        <v>410</v>
      </c>
      <c r="K691" s="92" t="s">
        <v>273</v>
      </c>
      <c r="L691" s="92" t="s">
        <v>274</v>
      </c>
      <c r="M691" s="92" t="s">
        <v>110</v>
      </c>
      <c r="N691" s="92" t="s">
        <v>110</v>
      </c>
      <c r="O691" s="92" t="s">
        <v>112</v>
      </c>
      <c r="P691" s="92" t="s">
        <v>2030</v>
      </c>
      <c r="Q691" s="92" t="s">
        <v>2031</v>
      </c>
      <c r="R691" s="92">
        <v>1</v>
      </c>
      <c r="S691" s="92">
        <v>460</v>
      </c>
      <c r="T691" s="9">
        <v>44140</v>
      </c>
      <c r="U691" s="9">
        <v>44168</v>
      </c>
    </row>
    <row r="692" spans="1:21" x14ac:dyDescent="0.2">
      <c r="A692" s="10" t="str">
        <f>HYPERLINK("http://www.ofsted.gov.uk/inspection-reports/find-inspection-report/provider/ELS/138866 ","Ofsted School Webpage")</f>
        <v>Ofsted School Webpage</v>
      </c>
      <c r="B692" s="92">
        <v>138866</v>
      </c>
      <c r="C692" s="92">
        <v>8122007</v>
      </c>
      <c r="D692" s="92" t="s">
        <v>2032</v>
      </c>
      <c r="E692" s="92" t="s">
        <v>94</v>
      </c>
      <c r="F692" s="92" t="s">
        <v>409</v>
      </c>
      <c r="G692" s="9">
        <v>41183</v>
      </c>
      <c r="H692" s="92" t="s">
        <v>271</v>
      </c>
      <c r="I692" s="92" t="s">
        <v>271</v>
      </c>
      <c r="J692" s="92" t="s">
        <v>273</v>
      </c>
      <c r="K692" s="92" t="s">
        <v>410</v>
      </c>
      <c r="L692" s="92" t="s">
        <v>274</v>
      </c>
      <c r="M692" s="92" t="s">
        <v>261</v>
      </c>
      <c r="N692" s="92" t="s">
        <v>241</v>
      </c>
      <c r="O692" s="92" t="s">
        <v>254</v>
      </c>
      <c r="P692" s="92" t="s">
        <v>2033</v>
      </c>
      <c r="Q692" s="92" t="s">
        <v>2034</v>
      </c>
      <c r="R692" s="92">
        <v>5</v>
      </c>
      <c r="S692" s="92">
        <v>158</v>
      </c>
      <c r="T692" s="9">
        <v>44140</v>
      </c>
      <c r="U692" s="9">
        <v>44167</v>
      </c>
    </row>
    <row r="693" spans="1:21" x14ac:dyDescent="0.2">
      <c r="A693" s="10" t="str">
        <f>HYPERLINK("http://www.ofsted.gov.uk/inspection-reports/find-inspection-report/provider/ELS/141771 ","Ofsted School Webpage")</f>
        <v>Ofsted School Webpage</v>
      </c>
      <c r="B693" s="92">
        <v>141771</v>
      </c>
      <c r="C693" s="92">
        <v>3722060</v>
      </c>
      <c r="D693" s="92" t="s">
        <v>2035</v>
      </c>
      <c r="E693" s="92" t="s">
        <v>94</v>
      </c>
      <c r="F693" s="92" t="s">
        <v>429</v>
      </c>
      <c r="G693" s="9">
        <v>42491</v>
      </c>
      <c r="H693" s="92" t="s">
        <v>271</v>
      </c>
      <c r="I693" s="92" t="s">
        <v>272</v>
      </c>
      <c r="J693" s="92" t="s">
        <v>273</v>
      </c>
      <c r="K693" s="92" t="s">
        <v>273</v>
      </c>
      <c r="L693" s="92" t="s">
        <v>274</v>
      </c>
      <c r="M693" s="92" t="s">
        <v>261</v>
      </c>
      <c r="N693" s="92" t="s">
        <v>241</v>
      </c>
      <c r="O693" s="92" t="s">
        <v>242</v>
      </c>
      <c r="P693" s="92" t="s">
        <v>275</v>
      </c>
      <c r="Q693" s="92" t="s">
        <v>2036</v>
      </c>
      <c r="R693" s="92">
        <v>5</v>
      </c>
      <c r="S693" s="92">
        <v>275</v>
      </c>
      <c r="T693" s="9">
        <v>44140</v>
      </c>
      <c r="U693" s="9">
        <v>44175</v>
      </c>
    </row>
    <row r="694" spans="1:21" x14ac:dyDescent="0.2">
      <c r="A694" s="10" t="str">
        <f>HYPERLINK("http://www.ofsted.gov.uk/inspection-reports/find-inspection-report/provider/ELS/145951 ","Ofsted School Webpage")</f>
        <v>Ofsted School Webpage</v>
      </c>
      <c r="B694" s="92">
        <v>145951</v>
      </c>
      <c r="C694" s="92">
        <v>8862098</v>
      </c>
      <c r="D694" s="92" t="s">
        <v>2037</v>
      </c>
      <c r="E694" s="92" t="s">
        <v>94</v>
      </c>
      <c r="F694" s="92" t="s">
        <v>409</v>
      </c>
      <c r="G694" s="9">
        <v>43221</v>
      </c>
      <c r="H694" s="92" t="s">
        <v>484</v>
      </c>
      <c r="I694" s="92" t="s">
        <v>272</v>
      </c>
      <c r="J694" s="92" t="s">
        <v>410</v>
      </c>
      <c r="K694" s="92" t="s">
        <v>410</v>
      </c>
      <c r="L694" s="92" t="s">
        <v>274</v>
      </c>
      <c r="M694" s="92" t="s">
        <v>192</v>
      </c>
      <c r="N694" s="92" t="s">
        <v>192</v>
      </c>
      <c r="O694" s="92" t="s">
        <v>194</v>
      </c>
      <c r="P694" s="92" t="s">
        <v>385</v>
      </c>
      <c r="Q694" s="92" t="s">
        <v>2038</v>
      </c>
      <c r="R694" s="92">
        <v>4</v>
      </c>
      <c r="S694" s="92">
        <v>252</v>
      </c>
      <c r="T694" s="9">
        <v>44140</v>
      </c>
      <c r="U694" s="9">
        <v>44168</v>
      </c>
    </row>
    <row r="695" spans="1:21" x14ac:dyDescent="0.2">
      <c r="A695" s="10" t="str">
        <f>HYPERLINK("http://www.ofsted.gov.uk/inspection-reports/find-inspection-report/provider/ELS/146527 ","Ofsted School Webpage")</f>
        <v>Ofsted School Webpage</v>
      </c>
      <c r="B695" s="92">
        <v>146527</v>
      </c>
      <c r="C695" s="92">
        <v>9367001</v>
      </c>
      <c r="D695" s="92" t="s">
        <v>2039</v>
      </c>
      <c r="E695" s="92" t="s">
        <v>96</v>
      </c>
      <c r="F695" s="92" t="s">
        <v>458</v>
      </c>
      <c r="G695" s="9">
        <v>43466</v>
      </c>
      <c r="H695" s="92" t="s">
        <v>271</v>
      </c>
      <c r="I695" s="92" t="s">
        <v>271</v>
      </c>
      <c r="J695" s="92" t="s">
        <v>273</v>
      </c>
      <c r="K695" s="92" t="s">
        <v>273</v>
      </c>
      <c r="L695" s="92" t="s">
        <v>274</v>
      </c>
      <c r="M695" s="92" t="s">
        <v>192</v>
      </c>
      <c r="N695" s="92" t="s">
        <v>192</v>
      </c>
      <c r="O695" s="92" t="s">
        <v>198</v>
      </c>
      <c r="P695" s="92" t="s">
        <v>2040</v>
      </c>
      <c r="Q695" s="92" t="s">
        <v>2041</v>
      </c>
      <c r="R695" s="92">
        <v>3</v>
      </c>
      <c r="S695" s="92">
        <v>85</v>
      </c>
      <c r="T695" s="9">
        <v>44140</v>
      </c>
      <c r="U695" s="9">
        <v>44200</v>
      </c>
    </row>
    <row r="696" spans="1:21" x14ac:dyDescent="0.2">
      <c r="A696" s="10" t="str">
        <f>HYPERLINK("http://www.ofsted.gov.uk/inspection-reports/find-inspection-report/provider/ELS/144340 ","Ofsted School Webpage")</f>
        <v>Ofsted School Webpage</v>
      </c>
      <c r="B696" s="92">
        <v>144340</v>
      </c>
      <c r="C696" s="92">
        <v>3592006</v>
      </c>
      <c r="D696" s="92" t="s">
        <v>2042</v>
      </c>
      <c r="E696" s="92" t="s">
        <v>94</v>
      </c>
      <c r="F696" s="92" t="s">
        <v>409</v>
      </c>
      <c r="G696" s="9">
        <v>42826</v>
      </c>
      <c r="H696" s="92" t="s">
        <v>271</v>
      </c>
      <c r="I696" s="92" t="s">
        <v>272</v>
      </c>
      <c r="J696" s="92" t="s">
        <v>346</v>
      </c>
      <c r="K696" s="92" t="s">
        <v>484</v>
      </c>
      <c r="L696" s="92" t="s">
        <v>347</v>
      </c>
      <c r="M696" s="92" t="s">
        <v>168</v>
      </c>
      <c r="N696" s="92" t="s">
        <v>168</v>
      </c>
      <c r="O696" s="92" t="s">
        <v>188</v>
      </c>
      <c r="P696" s="92" t="s">
        <v>188</v>
      </c>
      <c r="Q696" s="92" t="s">
        <v>2043</v>
      </c>
      <c r="R696" s="92">
        <v>5</v>
      </c>
      <c r="S696" s="92">
        <v>245</v>
      </c>
      <c r="T696" s="9">
        <v>44140</v>
      </c>
      <c r="U696" s="9">
        <v>44171</v>
      </c>
    </row>
    <row r="697" spans="1:21" x14ac:dyDescent="0.2">
      <c r="A697" s="10" t="str">
        <f>HYPERLINK("http://www.ofsted.gov.uk/inspection-reports/find-inspection-report/provider/ELS/142875 ","Ofsted School Webpage")</f>
        <v>Ofsted School Webpage</v>
      </c>
      <c r="B697" s="92">
        <v>142875</v>
      </c>
      <c r="C697" s="92">
        <v>2102007</v>
      </c>
      <c r="D697" s="92" t="s">
        <v>2044</v>
      </c>
      <c r="E697" s="92" t="s">
        <v>94</v>
      </c>
      <c r="F697" s="92" t="s">
        <v>491</v>
      </c>
      <c r="G697" s="9">
        <v>42618</v>
      </c>
      <c r="H697" s="92" t="s">
        <v>484</v>
      </c>
      <c r="I697" s="92" t="s">
        <v>272</v>
      </c>
      <c r="J697" s="92" t="s">
        <v>410</v>
      </c>
      <c r="K697" s="92" t="s">
        <v>410</v>
      </c>
      <c r="L697" s="92" t="s">
        <v>274</v>
      </c>
      <c r="M697" s="92" t="s">
        <v>122</v>
      </c>
      <c r="N697" s="92" t="s">
        <v>122</v>
      </c>
      <c r="O697" s="92" t="s">
        <v>148</v>
      </c>
      <c r="P697" s="92" t="s">
        <v>1865</v>
      </c>
      <c r="Q697" s="92" t="s">
        <v>2045</v>
      </c>
      <c r="R697" s="92">
        <v>5</v>
      </c>
      <c r="S697" s="92">
        <v>228</v>
      </c>
      <c r="T697" s="9">
        <v>44140</v>
      </c>
      <c r="U697" s="9">
        <v>44173</v>
      </c>
    </row>
    <row r="698" spans="1:21" x14ac:dyDescent="0.2">
      <c r="A698" s="10" t="str">
        <f>HYPERLINK("http://www.ofsted.gov.uk/inspection-reports/find-inspection-report/provider/ELS/144457 ","Ofsted School Webpage")</f>
        <v>Ofsted School Webpage</v>
      </c>
      <c r="B698" s="92">
        <v>144457</v>
      </c>
      <c r="C698" s="92">
        <v>8852121</v>
      </c>
      <c r="D698" s="92" t="s">
        <v>755</v>
      </c>
      <c r="E698" s="92" t="s">
        <v>94</v>
      </c>
      <c r="F698" s="92" t="s">
        <v>429</v>
      </c>
      <c r="G698" s="9">
        <v>42948</v>
      </c>
      <c r="H698" s="92" t="s">
        <v>271</v>
      </c>
      <c r="I698" s="92" t="s">
        <v>272</v>
      </c>
      <c r="J698" s="92" t="s">
        <v>273</v>
      </c>
      <c r="K698" s="92" t="s">
        <v>273</v>
      </c>
      <c r="L698" s="92" t="s">
        <v>274</v>
      </c>
      <c r="M698" s="92" t="s">
        <v>226</v>
      </c>
      <c r="N698" s="92" t="s">
        <v>226</v>
      </c>
      <c r="O698" s="92" t="s">
        <v>238</v>
      </c>
      <c r="P698" s="92" t="s">
        <v>2046</v>
      </c>
      <c r="Q698" s="92" t="s">
        <v>2047</v>
      </c>
      <c r="R698" s="92">
        <v>3</v>
      </c>
      <c r="S698" s="92">
        <v>171</v>
      </c>
      <c r="T698" s="9">
        <v>44140</v>
      </c>
      <c r="U698" s="9">
        <v>44166</v>
      </c>
    </row>
    <row r="699" spans="1:21" x14ac:dyDescent="0.2">
      <c r="A699" s="10" t="str">
        <f>HYPERLINK("http://www.ofsted.gov.uk/inspection-reports/find-inspection-report/provider/ELS/144622 ","Ofsted School Webpage")</f>
        <v>Ofsted School Webpage</v>
      </c>
      <c r="B699" s="92">
        <v>144622</v>
      </c>
      <c r="C699" s="92">
        <v>3574001</v>
      </c>
      <c r="D699" s="92" t="s">
        <v>2048</v>
      </c>
      <c r="E699" s="92" t="s">
        <v>95</v>
      </c>
      <c r="F699" s="92" t="s">
        <v>409</v>
      </c>
      <c r="G699" s="9">
        <v>42917</v>
      </c>
      <c r="H699" s="92" t="s">
        <v>271</v>
      </c>
      <c r="I699" s="92" t="s">
        <v>272</v>
      </c>
      <c r="J699" s="92" t="s">
        <v>273</v>
      </c>
      <c r="K699" s="92" t="s">
        <v>484</v>
      </c>
      <c r="L699" s="92" t="s">
        <v>274</v>
      </c>
      <c r="M699" s="92" t="s">
        <v>168</v>
      </c>
      <c r="N699" s="92" t="s">
        <v>168</v>
      </c>
      <c r="O699" s="92" t="s">
        <v>189</v>
      </c>
      <c r="P699" s="92" t="s">
        <v>2049</v>
      </c>
      <c r="Q699" s="92" t="s">
        <v>2050</v>
      </c>
      <c r="R699" s="92">
        <v>4</v>
      </c>
      <c r="S699" s="92">
        <v>622</v>
      </c>
      <c r="T699" s="9">
        <v>44141</v>
      </c>
      <c r="U699" s="9">
        <v>44172</v>
      </c>
    </row>
    <row r="700" spans="1:21" x14ac:dyDescent="0.2">
      <c r="A700" s="10" t="str">
        <f>HYPERLINK("http://www.ofsted.gov.uk/inspection-reports/find-inspection-report/provider/ELS/145189 ","Ofsted School Webpage")</f>
        <v>Ofsted School Webpage</v>
      </c>
      <c r="B700" s="92">
        <v>145189</v>
      </c>
      <c r="C700" s="92">
        <v>8112012</v>
      </c>
      <c r="D700" s="92" t="s">
        <v>2051</v>
      </c>
      <c r="E700" s="92" t="s">
        <v>94</v>
      </c>
      <c r="F700" s="92" t="s">
        <v>409</v>
      </c>
      <c r="G700" s="9">
        <v>43009</v>
      </c>
      <c r="H700" s="92" t="s">
        <v>484</v>
      </c>
      <c r="I700" s="92" t="s">
        <v>272</v>
      </c>
      <c r="J700" s="92" t="s">
        <v>346</v>
      </c>
      <c r="K700" s="92" t="s">
        <v>410</v>
      </c>
      <c r="L700" s="92" t="s">
        <v>347</v>
      </c>
      <c r="M700" s="92" t="s">
        <v>261</v>
      </c>
      <c r="N700" s="92" t="s">
        <v>241</v>
      </c>
      <c r="O700" s="92" t="s">
        <v>243</v>
      </c>
      <c r="P700" s="92" t="s">
        <v>1144</v>
      </c>
      <c r="Q700" s="92" t="s">
        <v>2052</v>
      </c>
      <c r="R700" s="92">
        <v>4</v>
      </c>
      <c r="S700" s="92">
        <v>36</v>
      </c>
      <c r="T700" s="9">
        <v>44141</v>
      </c>
      <c r="U700" s="9">
        <v>44172</v>
      </c>
    </row>
    <row r="701" spans="1:21" x14ac:dyDescent="0.2">
      <c r="A701" s="10" t="str">
        <f>HYPERLINK("http://www.ofsted.gov.uk/inspection-reports/find-inspection-report/provider/ELS/148040 ","Ofsted School Webpage")</f>
        <v>Ofsted School Webpage</v>
      </c>
      <c r="B701" s="92">
        <v>148040</v>
      </c>
      <c r="C701" s="92">
        <v>9192112</v>
      </c>
      <c r="D701" s="92" t="s">
        <v>2053</v>
      </c>
      <c r="E701" s="92" t="s">
        <v>94</v>
      </c>
      <c r="F701" s="92" t="s">
        <v>409</v>
      </c>
      <c r="G701" s="9">
        <v>44105</v>
      </c>
      <c r="H701" s="92" t="s">
        <v>271</v>
      </c>
      <c r="I701" s="92" t="s">
        <v>272</v>
      </c>
      <c r="J701" s="92" t="s">
        <v>273</v>
      </c>
      <c r="K701" s="92" t="s">
        <v>273</v>
      </c>
      <c r="L701" s="92" t="s">
        <v>274</v>
      </c>
      <c r="M701" s="92" t="s">
        <v>110</v>
      </c>
      <c r="N701" s="92" t="s">
        <v>110</v>
      </c>
      <c r="O701" s="92" t="s">
        <v>117</v>
      </c>
      <c r="P701" s="92" t="s">
        <v>709</v>
      </c>
      <c r="Q701" s="92" t="s">
        <v>2054</v>
      </c>
      <c r="R701" s="92" t="s">
        <v>270</v>
      </c>
      <c r="S701" s="92" t="s">
        <v>270</v>
      </c>
      <c r="T701" s="9">
        <v>44141</v>
      </c>
      <c r="U701" s="9">
        <v>44172</v>
      </c>
    </row>
    <row r="702" spans="1:21" x14ac:dyDescent="0.2">
      <c r="A702" s="10" t="str">
        <f>HYPERLINK("http://www.ofsted.gov.uk/inspection-reports/find-inspection-report/provider/ELS/148061 ","Ofsted School Webpage")</f>
        <v>Ofsted School Webpage</v>
      </c>
      <c r="B702" s="92">
        <v>148061</v>
      </c>
      <c r="C702" s="92">
        <v>8602041</v>
      </c>
      <c r="D702" s="92" t="s">
        <v>2055</v>
      </c>
      <c r="E702" s="92" t="s">
        <v>94</v>
      </c>
      <c r="F702" s="92" t="s">
        <v>409</v>
      </c>
      <c r="G702" s="9">
        <v>44136</v>
      </c>
      <c r="H702" s="92" t="s">
        <v>271</v>
      </c>
      <c r="I702" s="92" t="s">
        <v>272</v>
      </c>
      <c r="J702" s="92" t="s">
        <v>273</v>
      </c>
      <c r="K702" s="92" t="s">
        <v>273</v>
      </c>
      <c r="L702" s="92" t="s">
        <v>274</v>
      </c>
      <c r="M702" s="92" t="s">
        <v>226</v>
      </c>
      <c r="N702" s="92" t="s">
        <v>226</v>
      </c>
      <c r="O702" s="92" t="s">
        <v>229</v>
      </c>
      <c r="P702" s="92" t="s">
        <v>420</v>
      </c>
      <c r="Q702" s="92" t="s">
        <v>2056</v>
      </c>
      <c r="R702" s="92" t="s">
        <v>270</v>
      </c>
      <c r="S702" s="92" t="s">
        <v>270</v>
      </c>
      <c r="T702" s="9">
        <v>44145</v>
      </c>
      <c r="U702" s="9">
        <v>44171</v>
      </c>
    </row>
    <row r="703" spans="1:21" x14ac:dyDescent="0.2">
      <c r="A703" s="10" t="str">
        <f>HYPERLINK("http://www.ofsted.gov.uk/inspection-reports/find-inspection-report/provider/ELS/147893 ","Ofsted School Webpage")</f>
        <v>Ofsted School Webpage</v>
      </c>
      <c r="B703" s="92">
        <v>147893</v>
      </c>
      <c r="C703" s="92">
        <v>8382012</v>
      </c>
      <c r="D703" s="92" t="s">
        <v>2057</v>
      </c>
      <c r="E703" s="92" t="s">
        <v>94</v>
      </c>
      <c r="F703" s="92" t="s">
        <v>409</v>
      </c>
      <c r="G703" s="9">
        <v>44105</v>
      </c>
      <c r="H703" s="92" t="s">
        <v>271</v>
      </c>
      <c r="I703" s="92" t="s">
        <v>272</v>
      </c>
      <c r="J703" s="92" t="s">
        <v>346</v>
      </c>
      <c r="K703" s="92" t="s">
        <v>346</v>
      </c>
      <c r="L703" s="92" t="s">
        <v>347</v>
      </c>
      <c r="M703" s="92" t="s">
        <v>211</v>
      </c>
      <c r="N703" s="92" t="s">
        <v>211</v>
      </c>
      <c r="O703" s="92" t="s">
        <v>213</v>
      </c>
      <c r="P703" s="92" t="s">
        <v>720</v>
      </c>
      <c r="Q703" s="92" t="s">
        <v>2058</v>
      </c>
      <c r="R703" s="92" t="s">
        <v>270</v>
      </c>
      <c r="S703" s="92" t="s">
        <v>270</v>
      </c>
      <c r="T703" s="9">
        <v>44145</v>
      </c>
      <c r="U703" s="9">
        <v>44167</v>
      </c>
    </row>
    <row r="704" spans="1:21" x14ac:dyDescent="0.2">
      <c r="A704" s="10" t="str">
        <f>HYPERLINK("http://www.ofsted.gov.uk/inspection-reports/find-inspection-report/provider/ELS/148348 ","Ofsted School Webpage")</f>
        <v>Ofsted School Webpage</v>
      </c>
      <c r="B704" s="92">
        <v>148348</v>
      </c>
      <c r="C704" s="92">
        <v>8851115</v>
      </c>
      <c r="D704" s="92" t="s">
        <v>2059</v>
      </c>
      <c r="E704" s="92" t="s">
        <v>98</v>
      </c>
      <c r="F704" s="92" t="s">
        <v>2060</v>
      </c>
      <c r="G704" s="9">
        <v>44136</v>
      </c>
      <c r="H704" s="92" t="s">
        <v>484</v>
      </c>
      <c r="I704" s="92" t="s">
        <v>272</v>
      </c>
      <c r="J704" s="92" t="s">
        <v>273</v>
      </c>
      <c r="K704" s="92" t="s">
        <v>410</v>
      </c>
      <c r="L704" s="92" t="s">
        <v>274</v>
      </c>
      <c r="M704" s="92" t="s">
        <v>226</v>
      </c>
      <c r="N704" s="92" t="s">
        <v>226</v>
      </c>
      <c r="O704" s="92" t="s">
        <v>238</v>
      </c>
      <c r="P704" s="92" t="s">
        <v>729</v>
      </c>
      <c r="Q704" s="92" t="s">
        <v>2061</v>
      </c>
      <c r="R704" s="92" t="s">
        <v>270</v>
      </c>
      <c r="S704" s="92" t="s">
        <v>270</v>
      </c>
      <c r="T704" s="9">
        <v>44145</v>
      </c>
      <c r="U704" s="9">
        <v>44172</v>
      </c>
    </row>
    <row r="705" spans="1:21" x14ac:dyDescent="0.2">
      <c r="A705" s="10" t="str">
        <f>HYPERLINK("http://www.ofsted.gov.uk/inspection-reports/find-inspection-report/provider/ELS/148173 ","Ofsted School Webpage")</f>
        <v>Ofsted School Webpage</v>
      </c>
      <c r="B705" s="92">
        <v>148173</v>
      </c>
      <c r="C705" s="92">
        <v>8653462</v>
      </c>
      <c r="D705" s="92" t="s">
        <v>2062</v>
      </c>
      <c r="E705" s="92" t="s">
        <v>94</v>
      </c>
      <c r="F705" s="92" t="s">
        <v>429</v>
      </c>
      <c r="G705" s="9">
        <v>44105</v>
      </c>
      <c r="H705" s="92" t="s">
        <v>271</v>
      </c>
      <c r="I705" s="92" t="s">
        <v>272</v>
      </c>
      <c r="J705" s="92" t="s">
        <v>273</v>
      </c>
      <c r="K705" s="92" t="s">
        <v>273</v>
      </c>
      <c r="L705" s="92" t="s">
        <v>274</v>
      </c>
      <c r="M705" s="92" t="s">
        <v>211</v>
      </c>
      <c r="N705" s="92" t="s">
        <v>211</v>
      </c>
      <c r="O705" s="92" t="s">
        <v>225</v>
      </c>
      <c r="P705" s="92" t="s">
        <v>1746</v>
      </c>
      <c r="Q705" s="92" t="s">
        <v>2063</v>
      </c>
      <c r="R705" s="92" t="s">
        <v>270</v>
      </c>
      <c r="S705" s="92" t="s">
        <v>270</v>
      </c>
      <c r="T705" s="9">
        <v>44145</v>
      </c>
      <c r="U705" s="9">
        <v>44168</v>
      </c>
    </row>
    <row r="706" spans="1:21" x14ac:dyDescent="0.2">
      <c r="A706" s="10" t="str">
        <f>HYPERLINK("http://www.ofsted.gov.uk/inspection-reports/find-inspection-report/provider/ELS/142960 ","Ofsted School Webpage")</f>
        <v>Ofsted School Webpage</v>
      </c>
      <c r="B706" s="92">
        <v>142960</v>
      </c>
      <c r="C706" s="92">
        <v>3314030</v>
      </c>
      <c r="D706" s="92" t="s">
        <v>2064</v>
      </c>
      <c r="E706" s="92" t="s">
        <v>95</v>
      </c>
      <c r="F706" s="92" t="s">
        <v>429</v>
      </c>
      <c r="G706" s="9">
        <v>42552</v>
      </c>
      <c r="H706" s="92" t="s">
        <v>299</v>
      </c>
      <c r="I706" s="92" t="s">
        <v>300</v>
      </c>
      <c r="J706" s="92" t="s">
        <v>410</v>
      </c>
      <c r="K706" s="92" t="s">
        <v>273</v>
      </c>
      <c r="L706" s="92" t="s">
        <v>274</v>
      </c>
      <c r="M706" s="92" t="s">
        <v>226</v>
      </c>
      <c r="N706" s="92" t="s">
        <v>226</v>
      </c>
      <c r="O706" s="92" t="s">
        <v>233</v>
      </c>
      <c r="P706" s="92" t="s">
        <v>331</v>
      </c>
      <c r="Q706" s="92" t="s">
        <v>2065</v>
      </c>
      <c r="R706" s="92">
        <v>5</v>
      </c>
      <c r="S706" s="92">
        <v>828</v>
      </c>
      <c r="T706" s="9">
        <v>44145</v>
      </c>
      <c r="U706" s="9">
        <v>44168</v>
      </c>
    </row>
    <row r="707" spans="1:21" x14ac:dyDescent="0.2">
      <c r="A707" s="10" t="str">
        <f>HYPERLINK("http://www.ofsted.gov.uk/inspection-reports/find-inspection-report/provider/ELS/142783 ","Ofsted School Webpage")</f>
        <v>Ofsted School Webpage</v>
      </c>
      <c r="B707" s="92">
        <v>142783</v>
      </c>
      <c r="C707" s="92">
        <v>9287000</v>
      </c>
      <c r="D707" s="92" t="s">
        <v>2066</v>
      </c>
      <c r="E707" s="92" t="s">
        <v>96</v>
      </c>
      <c r="F707" s="92" t="s">
        <v>488</v>
      </c>
      <c r="G707" s="9">
        <v>42614</v>
      </c>
      <c r="H707" s="92" t="s">
        <v>484</v>
      </c>
      <c r="I707" s="92" t="s">
        <v>300</v>
      </c>
      <c r="J707" s="92" t="s">
        <v>273</v>
      </c>
      <c r="K707" s="92" t="s">
        <v>410</v>
      </c>
      <c r="L707" s="92" t="s">
        <v>274</v>
      </c>
      <c r="M707" s="92" t="s">
        <v>100</v>
      </c>
      <c r="N707" s="92" t="s">
        <v>100</v>
      </c>
      <c r="O707" s="92" t="s">
        <v>107</v>
      </c>
      <c r="P707" s="92" t="s">
        <v>2067</v>
      </c>
      <c r="Q707" s="92" t="s">
        <v>2068</v>
      </c>
      <c r="R707" s="92">
        <v>2</v>
      </c>
      <c r="S707" s="92">
        <v>156</v>
      </c>
      <c r="T707" s="9">
        <v>44145</v>
      </c>
      <c r="U707" s="9">
        <v>44171</v>
      </c>
    </row>
    <row r="708" spans="1:21" x14ac:dyDescent="0.2">
      <c r="A708" s="10" t="str">
        <f>HYPERLINK("http://www.ofsted.gov.uk/inspection-reports/find-inspection-report/provider/ELS/144487 ","Ofsted School Webpage")</f>
        <v>Ofsted School Webpage</v>
      </c>
      <c r="B708" s="92">
        <v>144487</v>
      </c>
      <c r="C708" s="92">
        <v>8924008</v>
      </c>
      <c r="D708" s="92" t="s">
        <v>2069</v>
      </c>
      <c r="E708" s="92" t="s">
        <v>95</v>
      </c>
      <c r="F708" s="92" t="s">
        <v>409</v>
      </c>
      <c r="G708" s="9">
        <v>42614</v>
      </c>
      <c r="H708" s="92" t="s">
        <v>299</v>
      </c>
      <c r="I708" s="92" t="s">
        <v>300</v>
      </c>
      <c r="J708" s="92" t="s">
        <v>410</v>
      </c>
      <c r="K708" s="92" t="s">
        <v>410</v>
      </c>
      <c r="L708" s="92" t="s">
        <v>274</v>
      </c>
      <c r="M708" s="92" t="s">
        <v>100</v>
      </c>
      <c r="N708" s="92" t="s">
        <v>100</v>
      </c>
      <c r="O708" s="92" t="s">
        <v>109</v>
      </c>
      <c r="P708" s="92" t="s">
        <v>1952</v>
      </c>
      <c r="Q708" s="92" t="s">
        <v>2070</v>
      </c>
      <c r="R708" s="92">
        <v>5</v>
      </c>
      <c r="S708" s="92">
        <v>818</v>
      </c>
      <c r="T708" s="9">
        <v>44145</v>
      </c>
      <c r="U708" s="9">
        <v>44166</v>
      </c>
    </row>
    <row r="709" spans="1:21" x14ac:dyDescent="0.2">
      <c r="A709" s="10" t="str">
        <f>HYPERLINK("http://www.ofsted.gov.uk/inspection-reports/find-inspection-report/provider/ELS/139616 ","Ofsted School Webpage")</f>
        <v>Ofsted School Webpage</v>
      </c>
      <c r="B709" s="92">
        <v>139616</v>
      </c>
      <c r="C709" s="92">
        <v>3094705</v>
      </c>
      <c r="D709" s="92" t="s">
        <v>2071</v>
      </c>
      <c r="E709" s="92" t="s">
        <v>95</v>
      </c>
      <c r="F709" s="92" t="s">
        <v>429</v>
      </c>
      <c r="G709" s="9">
        <v>41395</v>
      </c>
      <c r="H709" s="92" t="s">
        <v>299</v>
      </c>
      <c r="I709" s="92" t="s">
        <v>272</v>
      </c>
      <c r="J709" s="92" t="s">
        <v>273</v>
      </c>
      <c r="K709" s="92" t="s">
        <v>273</v>
      </c>
      <c r="L709" s="92" t="s">
        <v>274</v>
      </c>
      <c r="M709" s="92" t="s">
        <v>122</v>
      </c>
      <c r="N709" s="92" t="s">
        <v>122</v>
      </c>
      <c r="O709" s="92" t="s">
        <v>128</v>
      </c>
      <c r="P709" s="92" t="s">
        <v>365</v>
      </c>
      <c r="Q709" s="92" t="s">
        <v>2072</v>
      </c>
      <c r="R709" s="92">
        <v>4</v>
      </c>
      <c r="S709" s="92">
        <v>1135</v>
      </c>
      <c r="T709" s="9">
        <v>44145</v>
      </c>
      <c r="U709" s="9">
        <v>44172</v>
      </c>
    </row>
    <row r="710" spans="1:21" x14ac:dyDescent="0.2">
      <c r="A710" s="10" t="str">
        <f>HYPERLINK("http://www.ofsted.gov.uk/inspection-reports/find-inspection-report/provider/ELS/137199 ","Ofsted School Webpage")</f>
        <v>Ofsted School Webpage</v>
      </c>
      <c r="B710" s="92">
        <v>137199</v>
      </c>
      <c r="C710" s="92">
        <v>3104022</v>
      </c>
      <c r="D710" s="92" t="s">
        <v>2073</v>
      </c>
      <c r="E710" s="92" t="s">
        <v>95</v>
      </c>
      <c r="F710" s="92" t="s">
        <v>429</v>
      </c>
      <c r="G710" s="9">
        <v>40756</v>
      </c>
      <c r="H710" s="92" t="s">
        <v>299</v>
      </c>
      <c r="I710" s="92" t="s">
        <v>300</v>
      </c>
      <c r="J710" s="92" t="s">
        <v>273</v>
      </c>
      <c r="K710" s="92" t="s">
        <v>273</v>
      </c>
      <c r="L710" s="92" t="s">
        <v>274</v>
      </c>
      <c r="M710" s="92" t="s">
        <v>122</v>
      </c>
      <c r="N710" s="92" t="s">
        <v>122</v>
      </c>
      <c r="O710" s="92" t="s">
        <v>145</v>
      </c>
      <c r="P710" s="92" t="s">
        <v>1372</v>
      </c>
      <c r="Q710" s="92" t="s">
        <v>2074</v>
      </c>
      <c r="R710" s="92">
        <v>2</v>
      </c>
      <c r="S710" s="92">
        <v>1262</v>
      </c>
      <c r="T710" s="9">
        <v>44145</v>
      </c>
      <c r="U710" s="9">
        <v>44175</v>
      </c>
    </row>
    <row r="711" spans="1:21" x14ac:dyDescent="0.2">
      <c r="A711" s="10" t="str">
        <f>HYPERLINK("http://www.ofsted.gov.uk/inspection-reports/find-inspection-report/provider/ELS/144978 ","Ofsted School Webpage")</f>
        <v>Ofsted School Webpage</v>
      </c>
      <c r="B711" s="92">
        <v>144978</v>
      </c>
      <c r="C711" s="92">
        <v>8912033</v>
      </c>
      <c r="D711" s="92" t="s">
        <v>2075</v>
      </c>
      <c r="E711" s="92" t="s">
        <v>94</v>
      </c>
      <c r="F711" s="92" t="s">
        <v>409</v>
      </c>
      <c r="G711" s="9">
        <v>43160</v>
      </c>
      <c r="H711" s="92" t="s">
        <v>271</v>
      </c>
      <c r="I711" s="92" t="s">
        <v>272</v>
      </c>
      <c r="J711" s="92" t="s">
        <v>273</v>
      </c>
      <c r="K711" s="92" t="s">
        <v>484</v>
      </c>
      <c r="L711" s="92" t="s">
        <v>274</v>
      </c>
      <c r="M711" s="92" t="s">
        <v>100</v>
      </c>
      <c r="N711" s="92" t="s">
        <v>100</v>
      </c>
      <c r="O711" s="92" t="s">
        <v>105</v>
      </c>
      <c r="P711" s="92" t="s">
        <v>2076</v>
      </c>
      <c r="Q711" s="92" t="s">
        <v>2077</v>
      </c>
      <c r="R711" s="92">
        <v>5</v>
      </c>
      <c r="S711" s="92">
        <v>453</v>
      </c>
      <c r="T711" s="9">
        <v>44145</v>
      </c>
      <c r="U711" s="9">
        <v>44168</v>
      </c>
    </row>
    <row r="712" spans="1:21" x14ac:dyDescent="0.2">
      <c r="A712" s="10" t="str">
        <f>HYPERLINK("http://www.ofsted.gov.uk/inspection-reports/find-inspection-report/provider/ELS/144994 ","Ofsted School Webpage")</f>
        <v>Ofsted School Webpage</v>
      </c>
      <c r="B712" s="92">
        <v>144994</v>
      </c>
      <c r="C712" s="92">
        <v>9362039</v>
      </c>
      <c r="D712" s="92" t="s">
        <v>2078</v>
      </c>
      <c r="E712" s="92" t="s">
        <v>94</v>
      </c>
      <c r="F712" s="92" t="s">
        <v>409</v>
      </c>
      <c r="G712" s="9">
        <v>43132</v>
      </c>
      <c r="H712" s="92" t="s">
        <v>299</v>
      </c>
      <c r="I712" s="92" t="s">
        <v>272</v>
      </c>
      <c r="J712" s="92" t="s">
        <v>346</v>
      </c>
      <c r="K712" s="92" t="s">
        <v>495</v>
      </c>
      <c r="L712" s="92" t="s">
        <v>347</v>
      </c>
      <c r="M712" s="92" t="s">
        <v>192</v>
      </c>
      <c r="N712" s="92" t="s">
        <v>192</v>
      </c>
      <c r="O712" s="92" t="s">
        <v>198</v>
      </c>
      <c r="P712" s="92" t="s">
        <v>2079</v>
      </c>
      <c r="Q712" s="92" t="s">
        <v>2080</v>
      </c>
      <c r="R712" s="92">
        <v>3</v>
      </c>
      <c r="S712" s="92">
        <v>410</v>
      </c>
      <c r="T712" s="9">
        <v>44145</v>
      </c>
      <c r="U712" s="9">
        <v>44182</v>
      </c>
    </row>
    <row r="713" spans="1:21" x14ac:dyDescent="0.2">
      <c r="A713" s="10" t="str">
        <f>HYPERLINK("http://www.ofsted.gov.uk/inspection-reports/find-inspection-report/provider/ELS/144937 ","Ofsted School Webpage")</f>
        <v>Ofsted School Webpage</v>
      </c>
      <c r="B713" s="92">
        <v>144937</v>
      </c>
      <c r="C713" s="92">
        <v>3944065</v>
      </c>
      <c r="D713" s="92" t="s">
        <v>2081</v>
      </c>
      <c r="E713" s="92" t="s">
        <v>95</v>
      </c>
      <c r="F713" s="92" t="s">
        <v>429</v>
      </c>
      <c r="G713" s="9">
        <v>42979</v>
      </c>
      <c r="H713" s="92" t="s">
        <v>299</v>
      </c>
      <c r="I713" s="92" t="s">
        <v>272</v>
      </c>
      <c r="J713" s="92" t="s">
        <v>273</v>
      </c>
      <c r="K713" s="92" t="s">
        <v>273</v>
      </c>
      <c r="L713" s="92" t="s">
        <v>274</v>
      </c>
      <c r="M713" s="92" t="s">
        <v>261</v>
      </c>
      <c r="N713" s="92" t="s">
        <v>155</v>
      </c>
      <c r="O713" s="92" t="s">
        <v>164</v>
      </c>
      <c r="P713" s="92" t="s">
        <v>2082</v>
      </c>
      <c r="Q713" s="92" t="s">
        <v>2083</v>
      </c>
      <c r="R713" s="92">
        <v>5</v>
      </c>
      <c r="S713" s="92">
        <v>644</v>
      </c>
      <c r="T713" s="9">
        <v>44145</v>
      </c>
      <c r="U713" s="9">
        <v>44171</v>
      </c>
    </row>
    <row r="714" spans="1:21" x14ac:dyDescent="0.2">
      <c r="A714" s="10" t="str">
        <f>HYPERLINK("http://www.ofsted.gov.uk/inspection-reports/find-inspection-report/provider/ELS/137313 ","Ofsted School Webpage")</f>
        <v>Ofsted School Webpage</v>
      </c>
      <c r="B714" s="92">
        <v>137313</v>
      </c>
      <c r="C714" s="92">
        <v>9335400</v>
      </c>
      <c r="D714" s="92" t="s">
        <v>2084</v>
      </c>
      <c r="E714" s="92" t="s">
        <v>95</v>
      </c>
      <c r="F714" s="92" t="s">
        <v>429</v>
      </c>
      <c r="G714" s="9">
        <v>40772</v>
      </c>
      <c r="H714" s="92" t="s">
        <v>299</v>
      </c>
      <c r="I714" s="92" t="s">
        <v>300</v>
      </c>
      <c r="J714" s="92" t="s">
        <v>346</v>
      </c>
      <c r="K714" s="92" t="s">
        <v>273</v>
      </c>
      <c r="L714" s="92" t="s">
        <v>347</v>
      </c>
      <c r="M714" s="92" t="s">
        <v>211</v>
      </c>
      <c r="N714" s="92" t="s">
        <v>211</v>
      </c>
      <c r="O714" s="92" t="s">
        <v>218</v>
      </c>
      <c r="P714" s="92" t="s">
        <v>948</v>
      </c>
      <c r="Q714" s="92" t="s">
        <v>2085</v>
      </c>
      <c r="R714" s="92">
        <v>1</v>
      </c>
      <c r="S714" s="92">
        <v>597</v>
      </c>
      <c r="T714" s="9">
        <v>44145</v>
      </c>
      <c r="U714" s="9">
        <v>44172</v>
      </c>
    </row>
    <row r="715" spans="1:21" x14ac:dyDescent="0.2">
      <c r="A715" s="10" t="str">
        <f>HYPERLINK("http://www.ofsted.gov.uk/inspection-reports/find-inspection-report/provider/ELS/143882 ","Ofsted School Webpage")</f>
        <v>Ofsted School Webpage</v>
      </c>
      <c r="B715" s="92">
        <v>143882</v>
      </c>
      <c r="C715" s="92">
        <v>3162091</v>
      </c>
      <c r="D715" s="92" t="s">
        <v>2086</v>
      </c>
      <c r="E715" s="92" t="s">
        <v>94</v>
      </c>
      <c r="F715" s="92" t="s">
        <v>429</v>
      </c>
      <c r="G715" s="9">
        <v>42736</v>
      </c>
      <c r="H715" s="92" t="s">
        <v>271</v>
      </c>
      <c r="I715" s="92" t="s">
        <v>272</v>
      </c>
      <c r="J715" s="92" t="s">
        <v>273</v>
      </c>
      <c r="K715" s="92" t="s">
        <v>273</v>
      </c>
      <c r="L715" s="92" t="s">
        <v>274</v>
      </c>
      <c r="M715" s="92" t="s">
        <v>122</v>
      </c>
      <c r="N715" s="92" t="s">
        <v>122</v>
      </c>
      <c r="O715" s="92" t="s">
        <v>138</v>
      </c>
      <c r="P715" s="92" t="s">
        <v>900</v>
      </c>
      <c r="Q715" s="92" t="s">
        <v>2087</v>
      </c>
      <c r="R715" s="92">
        <v>4</v>
      </c>
      <c r="S715" s="92">
        <v>496</v>
      </c>
      <c r="T715" s="9">
        <v>44145</v>
      </c>
      <c r="U715" s="9">
        <v>44172</v>
      </c>
    </row>
    <row r="716" spans="1:21" x14ac:dyDescent="0.2">
      <c r="A716" s="10" t="str">
        <f>HYPERLINK("http://www.ofsted.gov.uk/inspection-reports/find-inspection-report/provider/ELS/142444 ","Ofsted School Webpage")</f>
        <v>Ofsted School Webpage</v>
      </c>
      <c r="B716" s="92">
        <v>142444</v>
      </c>
      <c r="C716" s="92">
        <v>9082020</v>
      </c>
      <c r="D716" s="92" t="s">
        <v>2088</v>
      </c>
      <c r="E716" s="92" t="s">
        <v>94</v>
      </c>
      <c r="F716" s="92" t="s">
        <v>429</v>
      </c>
      <c r="G716" s="9">
        <v>42309</v>
      </c>
      <c r="H716" s="92" t="s">
        <v>271</v>
      </c>
      <c r="I716" s="92" t="s">
        <v>272</v>
      </c>
      <c r="J716" s="92" t="s">
        <v>273</v>
      </c>
      <c r="K716" s="92" t="s">
        <v>273</v>
      </c>
      <c r="L716" s="92" t="s">
        <v>274</v>
      </c>
      <c r="M716" s="92" t="s">
        <v>211</v>
      </c>
      <c r="N716" s="92" t="s">
        <v>211</v>
      </c>
      <c r="O716" s="92" t="s">
        <v>219</v>
      </c>
      <c r="P716" s="92" t="s">
        <v>2089</v>
      </c>
      <c r="Q716" s="92" t="s">
        <v>2090</v>
      </c>
      <c r="R716" s="92">
        <v>4</v>
      </c>
      <c r="S716" s="92">
        <v>178</v>
      </c>
      <c r="T716" s="9">
        <v>44145</v>
      </c>
      <c r="U716" s="9">
        <v>44168</v>
      </c>
    </row>
    <row r="717" spans="1:21" x14ac:dyDescent="0.2">
      <c r="A717" s="10" t="str">
        <f>HYPERLINK("http://www.ofsted.gov.uk/inspection-reports/find-inspection-report/provider/ELS/139528 ","Ofsted School Webpage")</f>
        <v>Ofsted School Webpage</v>
      </c>
      <c r="B717" s="92">
        <v>139528</v>
      </c>
      <c r="C717" s="92">
        <v>9314145</v>
      </c>
      <c r="D717" s="92" t="s">
        <v>2091</v>
      </c>
      <c r="E717" s="92" t="s">
        <v>95</v>
      </c>
      <c r="F717" s="92" t="s">
        <v>429</v>
      </c>
      <c r="G717" s="9">
        <v>41365</v>
      </c>
      <c r="H717" s="92" t="s">
        <v>299</v>
      </c>
      <c r="I717" s="92" t="s">
        <v>300</v>
      </c>
      <c r="J717" s="92" t="s">
        <v>352</v>
      </c>
      <c r="K717" s="92" t="s">
        <v>273</v>
      </c>
      <c r="L717" s="92" t="s">
        <v>347</v>
      </c>
      <c r="M717" s="92" t="s">
        <v>192</v>
      </c>
      <c r="N717" s="92" t="s">
        <v>192</v>
      </c>
      <c r="O717" s="92" t="s">
        <v>210</v>
      </c>
      <c r="P717" s="92" t="s">
        <v>2092</v>
      </c>
      <c r="Q717" s="92" t="s">
        <v>2093</v>
      </c>
      <c r="R717" s="92">
        <v>4</v>
      </c>
      <c r="S717" s="92">
        <v>1116</v>
      </c>
      <c r="T717" s="9">
        <v>44145</v>
      </c>
      <c r="U717" s="9">
        <v>44171</v>
      </c>
    </row>
    <row r="718" spans="1:21" x14ac:dyDescent="0.2">
      <c r="A718" s="10" t="str">
        <f>HYPERLINK("http://www.ofsted.gov.uk/inspection-reports/find-inspection-report/provider/ELS/142295 ","Ofsted School Webpage")</f>
        <v>Ofsted School Webpage</v>
      </c>
      <c r="B718" s="92">
        <v>142295</v>
      </c>
      <c r="C718" s="92">
        <v>3032007</v>
      </c>
      <c r="D718" s="92" t="s">
        <v>2094</v>
      </c>
      <c r="E718" s="92" t="s">
        <v>94</v>
      </c>
      <c r="F718" s="92" t="s">
        <v>429</v>
      </c>
      <c r="G718" s="9">
        <v>42248</v>
      </c>
      <c r="H718" s="92" t="s">
        <v>271</v>
      </c>
      <c r="I718" s="92" t="s">
        <v>272</v>
      </c>
      <c r="J718" s="92" t="s">
        <v>273</v>
      </c>
      <c r="K718" s="92" t="s">
        <v>273</v>
      </c>
      <c r="L718" s="92" t="s">
        <v>274</v>
      </c>
      <c r="M718" s="92" t="s">
        <v>122</v>
      </c>
      <c r="N718" s="92" t="s">
        <v>122</v>
      </c>
      <c r="O718" s="92" t="s">
        <v>131</v>
      </c>
      <c r="P718" s="92" t="s">
        <v>2095</v>
      </c>
      <c r="Q718" s="92" t="s">
        <v>2096</v>
      </c>
      <c r="R718" s="92">
        <v>3</v>
      </c>
      <c r="S718" s="92">
        <v>386</v>
      </c>
      <c r="T718" s="9">
        <v>44145</v>
      </c>
      <c r="U718" s="9">
        <v>44164</v>
      </c>
    </row>
    <row r="719" spans="1:21" x14ac:dyDescent="0.2">
      <c r="A719" s="10" t="str">
        <f>HYPERLINK("http://www.ofsted.gov.uk/inspection-reports/find-inspection-report/provider/ELS/139988 ","Ofsted School Webpage")</f>
        <v>Ofsted School Webpage</v>
      </c>
      <c r="B719" s="92">
        <v>139988</v>
      </c>
      <c r="C719" s="92">
        <v>9284094</v>
      </c>
      <c r="D719" s="92" t="s">
        <v>2097</v>
      </c>
      <c r="E719" s="92" t="s">
        <v>95</v>
      </c>
      <c r="F719" s="92" t="s">
        <v>429</v>
      </c>
      <c r="G719" s="9">
        <v>41487</v>
      </c>
      <c r="H719" s="92" t="s">
        <v>299</v>
      </c>
      <c r="I719" s="92" t="s">
        <v>300</v>
      </c>
      <c r="J719" s="92" t="s">
        <v>410</v>
      </c>
      <c r="K719" s="92" t="s">
        <v>273</v>
      </c>
      <c r="L719" s="92" t="s">
        <v>274</v>
      </c>
      <c r="M719" s="92" t="s">
        <v>100</v>
      </c>
      <c r="N719" s="92" t="s">
        <v>100</v>
      </c>
      <c r="O719" s="92" t="s">
        <v>107</v>
      </c>
      <c r="P719" s="92" t="s">
        <v>1419</v>
      </c>
      <c r="Q719" s="92" t="s">
        <v>2098</v>
      </c>
      <c r="R719" s="92">
        <v>2</v>
      </c>
      <c r="S719" s="92">
        <v>999</v>
      </c>
      <c r="T719" s="9">
        <v>44145</v>
      </c>
      <c r="U719" s="9">
        <v>44173</v>
      </c>
    </row>
    <row r="720" spans="1:21" x14ac:dyDescent="0.2">
      <c r="A720" s="10" t="str">
        <f>HYPERLINK("http://www.ofsted.gov.uk/inspection-reports/find-inspection-report/provider/ELS/140326 ","Ofsted School Webpage")</f>
        <v>Ofsted School Webpage</v>
      </c>
      <c r="B720" s="92">
        <v>140326</v>
      </c>
      <c r="C720" s="92">
        <v>3814035</v>
      </c>
      <c r="D720" s="92" t="s">
        <v>2099</v>
      </c>
      <c r="E720" s="92" t="s">
        <v>95</v>
      </c>
      <c r="F720" s="92" t="s">
        <v>429</v>
      </c>
      <c r="G720" s="9">
        <v>41579</v>
      </c>
      <c r="H720" s="92" t="s">
        <v>299</v>
      </c>
      <c r="I720" s="92" t="s">
        <v>272</v>
      </c>
      <c r="J720" s="92" t="s">
        <v>273</v>
      </c>
      <c r="K720" s="92" t="s">
        <v>273</v>
      </c>
      <c r="L720" s="92" t="s">
        <v>274</v>
      </c>
      <c r="M720" s="92" t="s">
        <v>261</v>
      </c>
      <c r="N720" s="92" t="s">
        <v>241</v>
      </c>
      <c r="O720" s="92" t="s">
        <v>256</v>
      </c>
      <c r="P720" s="92" t="s">
        <v>2100</v>
      </c>
      <c r="Q720" s="92" t="s">
        <v>2101</v>
      </c>
      <c r="R720" s="92">
        <v>5</v>
      </c>
      <c r="S720" s="92">
        <v>1334</v>
      </c>
      <c r="T720" s="9">
        <v>44145</v>
      </c>
      <c r="U720" s="9">
        <v>44171</v>
      </c>
    </row>
    <row r="721" spans="1:21" x14ac:dyDescent="0.2">
      <c r="A721" s="10" t="str">
        <f>HYPERLINK("http://www.ofsted.gov.uk/inspection-reports/find-inspection-report/provider/ELS/135967 ","Ofsted School Webpage")</f>
        <v>Ofsted School Webpage</v>
      </c>
      <c r="B721" s="92">
        <v>135967</v>
      </c>
      <c r="C721" s="92">
        <v>9286909</v>
      </c>
      <c r="D721" s="92" t="s">
        <v>2102</v>
      </c>
      <c r="E721" s="92" t="s">
        <v>95</v>
      </c>
      <c r="F721" s="92" t="s">
        <v>409</v>
      </c>
      <c r="G721" s="9">
        <v>40057</v>
      </c>
      <c r="H721" s="92" t="s">
        <v>299</v>
      </c>
      <c r="I721" s="92" t="s">
        <v>300</v>
      </c>
      <c r="J721" s="92" t="s">
        <v>273</v>
      </c>
      <c r="K721" s="92" t="s">
        <v>410</v>
      </c>
      <c r="L721" s="92" t="s">
        <v>274</v>
      </c>
      <c r="M721" s="92" t="s">
        <v>100</v>
      </c>
      <c r="N721" s="92" t="s">
        <v>100</v>
      </c>
      <c r="O721" s="92" t="s">
        <v>107</v>
      </c>
      <c r="P721" s="92" t="s">
        <v>1972</v>
      </c>
      <c r="Q721" s="92" t="s">
        <v>2103</v>
      </c>
      <c r="R721" s="92">
        <v>3</v>
      </c>
      <c r="S721" s="92">
        <v>1147</v>
      </c>
      <c r="T721" s="9">
        <v>44145</v>
      </c>
      <c r="U721" s="9">
        <v>44168</v>
      </c>
    </row>
    <row r="722" spans="1:21" x14ac:dyDescent="0.2">
      <c r="A722" s="10" t="str">
        <f>HYPERLINK("http://www.ofsted.gov.uk/inspection-reports/find-inspection-report/provider/ELS/139685 ","Ofsted School Webpage")</f>
        <v>Ofsted School Webpage</v>
      </c>
      <c r="B722" s="92">
        <v>139685</v>
      </c>
      <c r="C722" s="92">
        <v>8862024</v>
      </c>
      <c r="D722" s="92" t="s">
        <v>2104</v>
      </c>
      <c r="E722" s="92" t="s">
        <v>94</v>
      </c>
      <c r="F722" s="92" t="s">
        <v>409</v>
      </c>
      <c r="G722" s="9">
        <v>41579</v>
      </c>
      <c r="H722" s="92" t="s">
        <v>271</v>
      </c>
      <c r="I722" s="92" t="s">
        <v>272</v>
      </c>
      <c r="J722" s="92" t="s">
        <v>273</v>
      </c>
      <c r="K722" s="92" t="s">
        <v>410</v>
      </c>
      <c r="L722" s="92" t="s">
        <v>274</v>
      </c>
      <c r="M722" s="92" t="s">
        <v>192</v>
      </c>
      <c r="N722" s="92" t="s">
        <v>192</v>
      </c>
      <c r="O722" s="92" t="s">
        <v>194</v>
      </c>
      <c r="P722" s="92" t="s">
        <v>982</v>
      </c>
      <c r="Q722" s="92" t="s">
        <v>2105</v>
      </c>
      <c r="R722" s="92">
        <v>4</v>
      </c>
      <c r="S722" s="92">
        <v>457</v>
      </c>
      <c r="T722" s="9">
        <v>44145</v>
      </c>
      <c r="U722" s="9">
        <v>44174</v>
      </c>
    </row>
    <row r="723" spans="1:21" x14ac:dyDescent="0.2">
      <c r="A723" s="10" t="str">
        <f>HYPERLINK("http://www.ofsted.gov.uk/inspection-reports/find-inspection-report/provider/ELS/137351 ","Ofsted School Webpage")</f>
        <v>Ofsted School Webpage</v>
      </c>
      <c r="B723" s="92">
        <v>137351</v>
      </c>
      <c r="C723" s="92">
        <v>9193986</v>
      </c>
      <c r="D723" s="92" t="s">
        <v>2106</v>
      </c>
      <c r="E723" s="92" t="s">
        <v>94</v>
      </c>
      <c r="F723" s="92" t="s">
        <v>429</v>
      </c>
      <c r="G723" s="9">
        <v>40787</v>
      </c>
      <c r="H723" s="92" t="s">
        <v>271</v>
      </c>
      <c r="I723" s="92" t="s">
        <v>271</v>
      </c>
      <c r="J723" s="92" t="s">
        <v>273</v>
      </c>
      <c r="K723" s="92" t="s">
        <v>273</v>
      </c>
      <c r="L723" s="92" t="s">
        <v>274</v>
      </c>
      <c r="M723" s="92" t="s">
        <v>110</v>
      </c>
      <c r="N723" s="92" t="s">
        <v>110</v>
      </c>
      <c r="O723" s="92" t="s">
        <v>117</v>
      </c>
      <c r="P723" s="92" t="s">
        <v>1163</v>
      </c>
      <c r="Q723" s="92" t="s">
        <v>2107</v>
      </c>
      <c r="R723" s="92">
        <v>1</v>
      </c>
      <c r="S723" s="92">
        <v>461</v>
      </c>
      <c r="T723" s="9">
        <v>44145</v>
      </c>
      <c r="U723" s="9">
        <v>44175</v>
      </c>
    </row>
    <row r="724" spans="1:21" x14ac:dyDescent="0.2">
      <c r="A724" s="10" t="str">
        <f>HYPERLINK("http://www.ofsted.gov.uk/inspection-reports/find-inspection-report/provider/ELS/136545 ","Ofsted School Webpage")</f>
        <v>Ofsted School Webpage</v>
      </c>
      <c r="B724" s="92">
        <v>136545</v>
      </c>
      <c r="C724" s="92">
        <v>3055409</v>
      </c>
      <c r="D724" s="92" t="s">
        <v>2108</v>
      </c>
      <c r="E724" s="92" t="s">
        <v>95</v>
      </c>
      <c r="F724" s="92" t="s">
        <v>429</v>
      </c>
      <c r="G724" s="9">
        <v>40634</v>
      </c>
      <c r="H724" s="92" t="s">
        <v>299</v>
      </c>
      <c r="I724" s="92" t="s">
        <v>300</v>
      </c>
      <c r="J724" s="92" t="s">
        <v>410</v>
      </c>
      <c r="K724" s="92" t="s">
        <v>273</v>
      </c>
      <c r="L724" s="92" t="s">
        <v>274</v>
      </c>
      <c r="M724" s="92" t="s">
        <v>122</v>
      </c>
      <c r="N724" s="92" t="s">
        <v>122</v>
      </c>
      <c r="O724" s="92" t="s">
        <v>139</v>
      </c>
      <c r="P724" s="92" t="s">
        <v>1081</v>
      </c>
      <c r="Q724" s="92" t="s">
        <v>2109</v>
      </c>
      <c r="R724" s="92">
        <v>3</v>
      </c>
      <c r="S724" s="92">
        <v>1324</v>
      </c>
      <c r="T724" s="9">
        <v>44145</v>
      </c>
      <c r="U724" s="9">
        <v>44171</v>
      </c>
    </row>
    <row r="725" spans="1:21" x14ac:dyDescent="0.2">
      <c r="A725" s="10" t="str">
        <f>HYPERLINK("http://www.ofsted.gov.uk/inspection-reports/find-inspection-report/provider/ELS/113635 ","Ofsted School Webpage")</f>
        <v>Ofsted School Webpage</v>
      </c>
      <c r="B725" s="92">
        <v>113635</v>
      </c>
      <c r="C725" s="92">
        <v>8787006</v>
      </c>
      <c r="D725" s="92" t="s">
        <v>2110</v>
      </c>
      <c r="E725" s="92" t="s">
        <v>96</v>
      </c>
      <c r="F725" s="92" t="s">
        <v>610</v>
      </c>
      <c r="G725" s="92" t="s">
        <v>270</v>
      </c>
      <c r="H725" s="92" t="s">
        <v>271</v>
      </c>
      <c r="I725" s="92" t="s">
        <v>300</v>
      </c>
      <c r="J725" s="92" t="s">
        <v>273</v>
      </c>
      <c r="K725" s="92" t="s">
        <v>273</v>
      </c>
      <c r="L725" s="92" t="s">
        <v>274</v>
      </c>
      <c r="M725" s="92" t="s">
        <v>211</v>
      </c>
      <c r="N725" s="92" t="s">
        <v>211</v>
      </c>
      <c r="O725" s="92" t="s">
        <v>220</v>
      </c>
      <c r="P725" s="92" t="s">
        <v>1414</v>
      </c>
      <c r="Q725" s="92" t="s">
        <v>2111</v>
      </c>
      <c r="R725" s="92">
        <v>2</v>
      </c>
      <c r="S725" s="92">
        <v>117</v>
      </c>
      <c r="T725" s="9">
        <v>44145</v>
      </c>
      <c r="U725" s="9">
        <v>44171</v>
      </c>
    </row>
    <row r="726" spans="1:21" x14ac:dyDescent="0.2">
      <c r="A726" s="10" t="str">
        <f>HYPERLINK("http://www.ofsted.gov.uk/inspection-reports/find-inspection-report/provider/ELS/133653 ","Ofsted School Webpage")</f>
        <v>Ofsted School Webpage</v>
      </c>
      <c r="B726" s="92">
        <v>133653</v>
      </c>
      <c r="C726" s="92">
        <v>8457000</v>
      </c>
      <c r="D726" s="92" t="s">
        <v>2112</v>
      </c>
      <c r="E726" s="92" t="s">
        <v>96</v>
      </c>
      <c r="F726" s="92" t="s">
        <v>1844</v>
      </c>
      <c r="G726" s="9">
        <v>37000</v>
      </c>
      <c r="H726" s="92" t="s">
        <v>271</v>
      </c>
      <c r="I726" s="92" t="s">
        <v>300</v>
      </c>
      <c r="J726" s="92" t="s">
        <v>2113</v>
      </c>
      <c r="K726" s="92" t="s">
        <v>273</v>
      </c>
      <c r="L726" s="92" t="s">
        <v>274</v>
      </c>
      <c r="M726" s="92" t="s">
        <v>192</v>
      </c>
      <c r="N726" s="92" t="s">
        <v>192</v>
      </c>
      <c r="O726" s="92" t="s">
        <v>203</v>
      </c>
      <c r="P726" s="92" t="s">
        <v>2114</v>
      </c>
      <c r="Q726" s="92" t="s">
        <v>2115</v>
      </c>
      <c r="R726" s="92">
        <v>3</v>
      </c>
      <c r="S726" s="92">
        <v>60</v>
      </c>
      <c r="T726" s="9">
        <v>44145</v>
      </c>
      <c r="U726" s="9">
        <v>44174</v>
      </c>
    </row>
    <row r="727" spans="1:21" x14ac:dyDescent="0.2">
      <c r="A727" s="10" t="str">
        <f>HYPERLINK("http://www.ofsted.gov.uk/inspection-reports/find-inspection-report/provider/ELS/131608 ","Ofsted School Webpage")</f>
        <v>Ofsted School Webpage</v>
      </c>
      <c r="B727" s="92">
        <v>131608</v>
      </c>
      <c r="C727" s="92">
        <v>2117170</v>
      </c>
      <c r="D727" s="92" t="s">
        <v>2116</v>
      </c>
      <c r="E727" s="92" t="s">
        <v>96</v>
      </c>
      <c r="F727" s="92" t="s">
        <v>401</v>
      </c>
      <c r="G727" s="92" t="s">
        <v>270</v>
      </c>
      <c r="H727" s="92" t="s">
        <v>271</v>
      </c>
      <c r="I727" s="92" t="s">
        <v>271</v>
      </c>
      <c r="J727" s="92" t="s">
        <v>273</v>
      </c>
      <c r="K727" s="92" t="s">
        <v>273</v>
      </c>
      <c r="L727" s="92" t="s">
        <v>274</v>
      </c>
      <c r="M727" s="92" t="s">
        <v>122</v>
      </c>
      <c r="N727" s="92" t="s">
        <v>122</v>
      </c>
      <c r="O727" s="92" t="s">
        <v>141</v>
      </c>
      <c r="P727" s="92" t="s">
        <v>1766</v>
      </c>
      <c r="Q727" s="92" t="s">
        <v>2117</v>
      </c>
      <c r="R727" s="92">
        <v>5</v>
      </c>
      <c r="S727" s="92">
        <v>19</v>
      </c>
      <c r="T727" s="9">
        <v>44145</v>
      </c>
      <c r="U727" s="9">
        <v>44185</v>
      </c>
    </row>
    <row r="728" spans="1:21" x14ac:dyDescent="0.2">
      <c r="A728" s="10" t="str">
        <f>HYPERLINK("http://www.ofsted.gov.uk/inspection-reports/find-inspection-report/provider/ELS/103609 ","Ofsted School Webpage")</f>
        <v>Ofsted School Webpage</v>
      </c>
      <c r="B728" s="92">
        <v>103609</v>
      </c>
      <c r="C728" s="92">
        <v>3307026</v>
      </c>
      <c r="D728" s="92" t="s">
        <v>2118</v>
      </c>
      <c r="E728" s="92" t="s">
        <v>96</v>
      </c>
      <c r="F728" s="92" t="s">
        <v>401</v>
      </c>
      <c r="G728" s="92" t="s">
        <v>270</v>
      </c>
      <c r="H728" s="92" t="s">
        <v>271</v>
      </c>
      <c r="I728" s="92" t="s">
        <v>271</v>
      </c>
      <c r="J728" s="92" t="s">
        <v>273</v>
      </c>
      <c r="K728" s="92" t="s">
        <v>273</v>
      </c>
      <c r="L728" s="92" t="s">
        <v>274</v>
      </c>
      <c r="M728" s="92" t="s">
        <v>226</v>
      </c>
      <c r="N728" s="92" t="s">
        <v>226</v>
      </c>
      <c r="O728" s="92" t="s">
        <v>232</v>
      </c>
      <c r="P728" s="92" t="s">
        <v>1912</v>
      </c>
      <c r="Q728" s="92" t="s">
        <v>2119</v>
      </c>
      <c r="R728" s="92">
        <v>5</v>
      </c>
      <c r="S728" s="92">
        <v>117</v>
      </c>
      <c r="T728" s="9">
        <v>44145</v>
      </c>
      <c r="U728" s="9">
        <v>44173</v>
      </c>
    </row>
    <row r="729" spans="1:21" x14ac:dyDescent="0.2">
      <c r="A729" s="10" t="str">
        <f>HYPERLINK("http://www.ofsted.gov.uk/inspection-reports/find-inspection-report/provider/ELS/136012 ","Ofsted School Webpage")</f>
        <v>Ofsted School Webpage</v>
      </c>
      <c r="B729" s="92">
        <v>136012</v>
      </c>
      <c r="C729" s="92">
        <v>9214032</v>
      </c>
      <c r="D729" s="92" t="s">
        <v>2120</v>
      </c>
      <c r="E729" s="92" t="s">
        <v>95</v>
      </c>
      <c r="F729" s="92" t="s">
        <v>397</v>
      </c>
      <c r="G729" s="9">
        <v>40787</v>
      </c>
      <c r="H729" s="92" t="s">
        <v>299</v>
      </c>
      <c r="I729" s="92" t="s">
        <v>300</v>
      </c>
      <c r="J729" s="92" t="s">
        <v>410</v>
      </c>
      <c r="K729" s="92" t="s">
        <v>273</v>
      </c>
      <c r="L729" s="92" t="s">
        <v>274</v>
      </c>
      <c r="M729" s="92" t="s">
        <v>192</v>
      </c>
      <c r="N729" s="92" t="s">
        <v>192</v>
      </c>
      <c r="O729" s="92" t="s">
        <v>205</v>
      </c>
      <c r="P729" s="92" t="s">
        <v>205</v>
      </c>
      <c r="Q729" s="92" t="s">
        <v>2121</v>
      </c>
      <c r="R729" s="92">
        <v>3</v>
      </c>
      <c r="S729" s="92">
        <v>573</v>
      </c>
      <c r="T729" s="9">
        <v>44145</v>
      </c>
      <c r="U729" s="9">
        <v>44182</v>
      </c>
    </row>
    <row r="730" spans="1:21" x14ac:dyDescent="0.2">
      <c r="A730" s="10" t="str">
        <f>HYPERLINK("http://www.ofsted.gov.uk/inspection-reports/find-inspection-report/provider/ELS/141180 ","Ofsted School Webpage")</f>
        <v>Ofsted School Webpage</v>
      </c>
      <c r="B730" s="92">
        <v>141180</v>
      </c>
      <c r="C730" s="92">
        <v>8932003</v>
      </c>
      <c r="D730" s="92" t="s">
        <v>2122</v>
      </c>
      <c r="E730" s="92" t="s">
        <v>94</v>
      </c>
      <c r="F730" s="92" t="s">
        <v>409</v>
      </c>
      <c r="G730" s="9">
        <v>41883</v>
      </c>
      <c r="H730" s="92" t="s">
        <v>271</v>
      </c>
      <c r="I730" s="92" t="s">
        <v>272</v>
      </c>
      <c r="J730" s="92" t="s">
        <v>346</v>
      </c>
      <c r="K730" s="92" t="s">
        <v>410</v>
      </c>
      <c r="L730" s="92" t="s">
        <v>347</v>
      </c>
      <c r="M730" s="92" t="s">
        <v>226</v>
      </c>
      <c r="N730" s="92" t="s">
        <v>226</v>
      </c>
      <c r="O730" s="92" t="s">
        <v>237</v>
      </c>
      <c r="P730" s="92" t="s">
        <v>922</v>
      </c>
      <c r="Q730" s="92" t="s">
        <v>2123</v>
      </c>
      <c r="R730" s="92">
        <v>1</v>
      </c>
      <c r="S730" s="92">
        <v>52</v>
      </c>
      <c r="T730" s="9">
        <v>44145</v>
      </c>
      <c r="U730" s="9">
        <v>44165</v>
      </c>
    </row>
    <row r="731" spans="1:21" x14ac:dyDescent="0.2">
      <c r="A731" s="10" t="str">
        <f>HYPERLINK("http://www.ofsted.gov.uk/inspection-reports/find-inspection-report/provider/ELS/141948 ","Ofsted School Webpage")</f>
        <v>Ofsted School Webpage</v>
      </c>
      <c r="B731" s="92">
        <v>141948</v>
      </c>
      <c r="C731" s="92">
        <v>9267000</v>
      </c>
      <c r="D731" s="92" t="s">
        <v>2124</v>
      </c>
      <c r="E731" s="92" t="s">
        <v>96</v>
      </c>
      <c r="F731" s="92" t="s">
        <v>458</v>
      </c>
      <c r="G731" s="9">
        <v>43252</v>
      </c>
      <c r="H731" s="92" t="s">
        <v>271</v>
      </c>
      <c r="I731" s="92" t="s">
        <v>272</v>
      </c>
      <c r="J731" s="92" t="s">
        <v>273</v>
      </c>
      <c r="K731" s="92" t="s">
        <v>410</v>
      </c>
      <c r="L731" s="92" t="s">
        <v>274</v>
      </c>
      <c r="M731" s="92" t="s">
        <v>110</v>
      </c>
      <c r="N731" s="92" t="s">
        <v>110</v>
      </c>
      <c r="O731" s="92" t="s">
        <v>118</v>
      </c>
      <c r="P731" s="92" t="s">
        <v>1096</v>
      </c>
      <c r="Q731" s="92" t="s">
        <v>2125</v>
      </c>
      <c r="R731" s="92">
        <v>4</v>
      </c>
      <c r="S731" s="92">
        <v>37</v>
      </c>
      <c r="T731" s="9">
        <v>44145</v>
      </c>
      <c r="U731" s="9">
        <v>44168</v>
      </c>
    </row>
    <row r="732" spans="1:21" x14ac:dyDescent="0.2">
      <c r="A732" s="10" t="str">
        <f>HYPERLINK("http://www.ofsted.gov.uk/inspection-reports/find-inspection-report/provider/ELS/134884 ","Ofsted School Webpage")</f>
        <v>Ofsted School Webpage</v>
      </c>
      <c r="B732" s="92">
        <v>134884</v>
      </c>
      <c r="C732" s="92">
        <v>3837074</v>
      </c>
      <c r="D732" s="92" t="s">
        <v>2126</v>
      </c>
      <c r="E732" s="92" t="s">
        <v>96</v>
      </c>
      <c r="F732" s="92" t="s">
        <v>401</v>
      </c>
      <c r="G732" s="9">
        <v>38353</v>
      </c>
      <c r="H732" s="92" t="s">
        <v>271</v>
      </c>
      <c r="I732" s="92" t="s">
        <v>300</v>
      </c>
      <c r="J732" s="92" t="s">
        <v>273</v>
      </c>
      <c r="K732" s="92" t="s">
        <v>273</v>
      </c>
      <c r="L732" s="92" t="s">
        <v>274</v>
      </c>
      <c r="M732" s="92" t="s">
        <v>261</v>
      </c>
      <c r="N732" s="92" t="s">
        <v>241</v>
      </c>
      <c r="O732" s="92" t="s">
        <v>244</v>
      </c>
      <c r="P732" s="92" t="s">
        <v>2127</v>
      </c>
      <c r="Q732" s="92" t="s">
        <v>2128</v>
      </c>
      <c r="R732" s="92">
        <v>4</v>
      </c>
      <c r="S732" s="92">
        <v>221</v>
      </c>
      <c r="T732" s="9">
        <v>44145</v>
      </c>
      <c r="U732" s="9">
        <v>44180</v>
      </c>
    </row>
    <row r="733" spans="1:21" x14ac:dyDescent="0.2">
      <c r="A733" s="10" t="str">
        <f>HYPERLINK("http://www.ofsted.gov.uk/inspection-reports/find-inspection-report/provider/ELS/108033 ","Ofsted School Webpage")</f>
        <v>Ofsted School Webpage</v>
      </c>
      <c r="B733" s="92">
        <v>108033</v>
      </c>
      <c r="C733" s="92">
        <v>3833379</v>
      </c>
      <c r="D733" s="92" t="s">
        <v>2129</v>
      </c>
      <c r="E733" s="92" t="s">
        <v>94</v>
      </c>
      <c r="F733" s="92" t="s">
        <v>351</v>
      </c>
      <c r="G733" s="92" t="s">
        <v>270</v>
      </c>
      <c r="H733" s="92" t="s">
        <v>271</v>
      </c>
      <c r="I733" s="92" t="s">
        <v>272</v>
      </c>
      <c r="J733" s="92" t="s">
        <v>352</v>
      </c>
      <c r="K733" s="92" t="s">
        <v>273</v>
      </c>
      <c r="L733" s="92" t="s">
        <v>347</v>
      </c>
      <c r="M733" s="92" t="s">
        <v>261</v>
      </c>
      <c r="N733" s="92" t="s">
        <v>241</v>
      </c>
      <c r="O733" s="92" t="s">
        <v>244</v>
      </c>
      <c r="P733" s="92" t="s">
        <v>2130</v>
      </c>
      <c r="Q733" s="92" t="s">
        <v>2131</v>
      </c>
      <c r="R733" s="92">
        <v>5</v>
      </c>
      <c r="S733" s="92">
        <v>262</v>
      </c>
      <c r="T733" s="9">
        <v>44145</v>
      </c>
      <c r="U733" s="9">
        <v>44168</v>
      </c>
    </row>
    <row r="734" spans="1:21" x14ac:dyDescent="0.2">
      <c r="A734" s="10" t="str">
        <f>HYPERLINK("http://www.ofsted.gov.uk/inspection-reports/find-inspection-report/provider/ELS/121540 ","Ofsted School Webpage")</f>
        <v>Ofsted School Webpage</v>
      </c>
      <c r="B734" s="92">
        <v>121540</v>
      </c>
      <c r="C734" s="92">
        <v>8153163</v>
      </c>
      <c r="D734" s="92" t="s">
        <v>2132</v>
      </c>
      <c r="E734" s="92" t="s">
        <v>94</v>
      </c>
      <c r="F734" s="92" t="s">
        <v>345</v>
      </c>
      <c r="G734" s="92" t="s">
        <v>270</v>
      </c>
      <c r="H734" s="92" t="s">
        <v>271</v>
      </c>
      <c r="I734" s="92" t="s">
        <v>272</v>
      </c>
      <c r="J734" s="92" t="s">
        <v>346</v>
      </c>
      <c r="K734" s="92" t="s">
        <v>273</v>
      </c>
      <c r="L734" s="92" t="s">
        <v>347</v>
      </c>
      <c r="M734" s="92" t="s">
        <v>261</v>
      </c>
      <c r="N734" s="92" t="s">
        <v>241</v>
      </c>
      <c r="O734" s="92" t="s">
        <v>247</v>
      </c>
      <c r="P734" s="92" t="s">
        <v>751</v>
      </c>
      <c r="Q734" s="92" t="s">
        <v>2133</v>
      </c>
      <c r="R734" s="92">
        <v>3</v>
      </c>
      <c r="S734" s="92">
        <v>40</v>
      </c>
      <c r="T734" s="9">
        <v>44145</v>
      </c>
      <c r="U734" s="9">
        <v>44201</v>
      </c>
    </row>
    <row r="735" spans="1:21" x14ac:dyDescent="0.2">
      <c r="A735" s="10" t="str">
        <f>HYPERLINK("http://www.ofsted.gov.uk/inspection-reports/find-inspection-report/provider/ELS/116837 ","Ofsted School Webpage")</f>
        <v>Ofsted School Webpage</v>
      </c>
      <c r="B735" s="92">
        <v>116837</v>
      </c>
      <c r="C735" s="92">
        <v>8853084</v>
      </c>
      <c r="D735" s="92" t="s">
        <v>2134</v>
      </c>
      <c r="E735" s="92" t="s">
        <v>94</v>
      </c>
      <c r="F735" s="92" t="s">
        <v>345</v>
      </c>
      <c r="G735" s="92" t="s">
        <v>270</v>
      </c>
      <c r="H735" s="92" t="s">
        <v>271</v>
      </c>
      <c r="I735" s="92" t="s">
        <v>272</v>
      </c>
      <c r="J735" s="92" t="s">
        <v>346</v>
      </c>
      <c r="K735" s="92" t="s">
        <v>273</v>
      </c>
      <c r="L735" s="92" t="s">
        <v>347</v>
      </c>
      <c r="M735" s="92" t="s">
        <v>226</v>
      </c>
      <c r="N735" s="92" t="s">
        <v>226</v>
      </c>
      <c r="O735" s="92" t="s">
        <v>238</v>
      </c>
      <c r="P735" s="92" t="s">
        <v>2046</v>
      </c>
      <c r="Q735" s="92" t="s">
        <v>2135</v>
      </c>
      <c r="R735" s="92">
        <v>1</v>
      </c>
      <c r="S735" s="92">
        <v>66</v>
      </c>
      <c r="T735" s="9">
        <v>44145</v>
      </c>
      <c r="U735" s="9">
        <v>44165</v>
      </c>
    </row>
    <row r="736" spans="1:21" x14ac:dyDescent="0.2">
      <c r="A736" s="10" t="str">
        <f>HYPERLINK("http://www.ofsted.gov.uk/inspection-reports/find-inspection-report/provider/ELS/108628 ","Ofsted School Webpage")</f>
        <v>Ofsted School Webpage</v>
      </c>
      <c r="B736" s="92">
        <v>108628</v>
      </c>
      <c r="C736" s="92">
        <v>3924008</v>
      </c>
      <c r="D736" s="92" t="s">
        <v>2136</v>
      </c>
      <c r="E736" s="92" t="s">
        <v>95</v>
      </c>
      <c r="F736" s="92" t="s">
        <v>397</v>
      </c>
      <c r="G736" s="92" t="s">
        <v>270</v>
      </c>
      <c r="H736" s="92" t="s">
        <v>299</v>
      </c>
      <c r="I736" s="92" t="s">
        <v>272</v>
      </c>
      <c r="J736" s="92" t="s">
        <v>410</v>
      </c>
      <c r="K736" s="92" t="s">
        <v>273</v>
      </c>
      <c r="L736" s="92" t="s">
        <v>274</v>
      </c>
      <c r="M736" s="92" t="s">
        <v>261</v>
      </c>
      <c r="N736" s="92" t="s">
        <v>155</v>
      </c>
      <c r="O736" s="92" t="s">
        <v>165</v>
      </c>
      <c r="P736" s="92" t="s">
        <v>1084</v>
      </c>
      <c r="Q736" s="92" t="s">
        <v>2137</v>
      </c>
      <c r="R736" s="92">
        <v>5</v>
      </c>
      <c r="S736" s="92">
        <v>311</v>
      </c>
      <c r="T736" s="9">
        <v>44145</v>
      </c>
      <c r="U736" s="9">
        <v>44213</v>
      </c>
    </row>
    <row r="737" spans="1:21" x14ac:dyDescent="0.2">
      <c r="A737" s="10" t="str">
        <f>HYPERLINK("http://www.ofsted.gov.uk/inspection-reports/find-inspection-report/provider/ELS/119624 ","Ofsted School Webpage")</f>
        <v>Ofsted School Webpage</v>
      </c>
      <c r="B737" s="92">
        <v>119624</v>
      </c>
      <c r="C737" s="92">
        <v>8883711</v>
      </c>
      <c r="D737" s="92" t="s">
        <v>2138</v>
      </c>
      <c r="E737" s="92" t="s">
        <v>94</v>
      </c>
      <c r="F737" s="92" t="s">
        <v>351</v>
      </c>
      <c r="G737" s="92" t="s">
        <v>270</v>
      </c>
      <c r="H737" s="92" t="s">
        <v>271</v>
      </c>
      <c r="I737" s="92" t="s">
        <v>272</v>
      </c>
      <c r="J737" s="92" t="s">
        <v>352</v>
      </c>
      <c r="K737" s="92" t="s">
        <v>273</v>
      </c>
      <c r="L737" s="92" t="s">
        <v>347</v>
      </c>
      <c r="M737" s="92" t="s">
        <v>168</v>
      </c>
      <c r="N737" s="92" t="s">
        <v>168</v>
      </c>
      <c r="O737" s="92" t="s">
        <v>169</v>
      </c>
      <c r="P737" s="92" t="s">
        <v>406</v>
      </c>
      <c r="Q737" s="92" t="s">
        <v>2139</v>
      </c>
      <c r="R737" s="92">
        <v>4</v>
      </c>
      <c r="S737" s="92">
        <v>248</v>
      </c>
      <c r="T737" s="9">
        <v>44145</v>
      </c>
      <c r="U737" s="9">
        <v>44172</v>
      </c>
    </row>
    <row r="738" spans="1:21" x14ac:dyDescent="0.2">
      <c r="A738" s="10" t="str">
        <f>HYPERLINK("http://www.ofsted.gov.uk/inspection-reports/find-inspection-report/provider/ELS/121943 ","Ofsted School Webpage")</f>
        <v>Ofsted School Webpage</v>
      </c>
      <c r="B738" s="92">
        <v>121943</v>
      </c>
      <c r="C738" s="92">
        <v>9282208</v>
      </c>
      <c r="D738" s="92" t="s">
        <v>2140</v>
      </c>
      <c r="E738" s="92" t="s">
        <v>94</v>
      </c>
      <c r="F738" s="92" t="s">
        <v>269</v>
      </c>
      <c r="G738" s="9">
        <v>1</v>
      </c>
      <c r="H738" s="92" t="s">
        <v>271</v>
      </c>
      <c r="I738" s="92" t="s">
        <v>272</v>
      </c>
      <c r="J738" s="92" t="s">
        <v>273</v>
      </c>
      <c r="K738" s="92" t="s">
        <v>273</v>
      </c>
      <c r="L738" s="92" t="s">
        <v>274</v>
      </c>
      <c r="M738" s="92" t="s">
        <v>100</v>
      </c>
      <c r="N738" s="92" t="s">
        <v>100</v>
      </c>
      <c r="O738" s="92" t="s">
        <v>107</v>
      </c>
      <c r="P738" s="92" t="s">
        <v>2141</v>
      </c>
      <c r="Q738" s="92" t="s">
        <v>2142</v>
      </c>
      <c r="R738" s="92">
        <v>4</v>
      </c>
      <c r="S738" s="92">
        <v>477</v>
      </c>
      <c r="T738" s="9">
        <v>44145</v>
      </c>
      <c r="U738" s="9">
        <v>44174</v>
      </c>
    </row>
    <row r="739" spans="1:21" x14ac:dyDescent="0.2">
      <c r="A739" s="10" t="str">
        <f>HYPERLINK("http://www.ofsted.gov.uk/inspection-reports/find-inspection-report/provider/ELS/118085 ","Ofsted School Webpage")</f>
        <v>Ofsted School Webpage</v>
      </c>
      <c r="B739" s="92">
        <v>118085</v>
      </c>
      <c r="C739" s="92">
        <v>8114064</v>
      </c>
      <c r="D739" s="92" t="s">
        <v>2143</v>
      </c>
      <c r="E739" s="92" t="s">
        <v>95</v>
      </c>
      <c r="F739" s="92" t="s">
        <v>269</v>
      </c>
      <c r="G739" s="92" t="s">
        <v>270</v>
      </c>
      <c r="H739" s="92" t="s">
        <v>299</v>
      </c>
      <c r="I739" s="92" t="s">
        <v>300</v>
      </c>
      <c r="J739" s="92" t="s">
        <v>273</v>
      </c>
      <c r="K739" s="92" t="s">
        <v>273</v>
      </c>
      <c r="L739" s="92" t="s">
        <v>274</v>
      </c>
      <c r="M739" s="92" t="s">
        <v>261</v>
      </c>
      <c r="N739" s="92" t="s">
        <v>241</v>
      </c>
      <c r="O739" s="92" t="s">
        <v>243</v>
      </c>
      <c r="P739" s="92" t="s">
        <v>745</v>
      </c>
      <c r="Q739" s="92" t="s">
        <v>2144</v>
      </c>
      <c r="R739" s="92">
        <v>4</v>
      </c>
      <c r="S739" s="92">
        <v>904</v>
      </c>
      <c r="T739" s="9">
        <v>44145</v>
      </c>
      <c r="U739" s="9">
        <v>44167</v>
      </c>
    </row>
    <row r="740" spans="1:21" x14ac:dyDescent="0.2">
      <c r="A740" s="10" t="str">
        <f>HYPERLINK("http://www.ofsted.gov.uk/inspection-reports/find-inspection-report/provider/ELS/120830 ","Ofsted School Webpage")</f>
        <v>Ofsted School Webpage</v>
      </c>
      <c r="B740" s="92">
        <v>120830</v>
      </c>
      <c r="C740" s="92">
        <v>9262105</v>
      </c>
      <c r="D740" s="92" t="s">
        <v>2145</v>
      </c>
      <c r="E740" s="92" t="s">
        <v>94</v>
      </c>
      <c r="F740" s="92" t="s">
        <v>269</v>
      </c>
      <c r="G740" s="92" t="s">
        <v>270</v>
      </c>
      <c r="H740" s="92" t="s">
        <v>271</v>
      </c>
      <c r="I740" s="92" t="s">
        <v>272</v>
      </c>
      <c r="J740" s="92" t="s">
        <v>273</v>
      </c>
      <c r="K740" s="92" t="s">
        <v>273</v>
      </c>
      <c r="L740" s="92" t="s">
        <v>274</v>
      </c>
      <c r="M740" s="92" t="s">
        <v>110</v>
      </c>
      <c r="N740" s="92" t="s">
        <v>110</v>
      </c>
      <c r="O740" s="92" t="s">
        <v>118</v>
      </c>
      <c r="P740" s="92" t="s">
        <v>1984</v>
      </c>
      <c r="Q740" s="92" t="s">
        <v>2146</v>
      </c>
      <c r="R740" s="92">
        <v>3</v>
      </c>
      <c r="S740" s="92">
        <v>113</v>
      </c>
      <c r="T740" s="9">
        <v>44145</v>
      </c>
      <c r="U740" s="9">
        <v>44172</v>
      </c>
    </row>
    <row r="741" spans="1:21" x14ac:dyDescent="0.2">
      <c r="A741" s="10" t="str">
        <f>HYPERLINK("http://www.ofsted.gov.uk/inspection-reports/find-inspection-report/provider/ELS/103982 ","Ofsted School Webpage")</f>
        <v>Ofsted School Webpage</v>
      </c>
      <c r="B741" s="92">
        <v>103982</v>
      </c>
      <c r="C741" s="92">
        <v>3332177</v>
      </c>
      <c r="D741" s="92" t="s">
        <v>2147</v>
      </c>
      <c r="E741" s="92" t="s">
        <v>94</v>
      </c>
      <c r="F741" s="92" t="s">
        <v>269</v>
      </c>
      <c r="G741" s="92" t="s">
        <v>270</v>
      </c>
      <c r="H741" s="92" t="s">
        <v>271</v>
      </c>
      <c r="I741" s="92" t="s">
        <v>272</v>
      </c>
      <c r="J741" s="92" t="s">
        <v>273</v>
      </c>
      <c r="K741" s="92" t="s">
        <v>273</v>
      </c>
      <c r="L741" s="92" t="s">
        <v>274</v>
      </c>
      <c r="M741" s="92" t="s">
        <v>226</v>
      </c>
      <c r="N741" s="92" t="s">
        <v>226</v>
      </c>
      <c r="O741" s="92" t="s">
        <v>228</v>
      </c>
      <c r="P741" s="92" t="s">
        <v>970</v>
      </c>
      <c r="Q741" s="92" t="s">
        <v>2148</v>
      </c>
      <c r="R741" s="92">
        <v>4</v>
      </c>
      <c r="S741" s="92">
        <v>631</v>
      </c>
      <c r="T741" s="9">
        <v>44145</v>
      </c>
      <c r="U741" s="9">
        <v>44165</v>
      </c>
    </row>
    <row r="742" spans="1:21" x14ac:dyDescent="0.2">
      <c r="A742" s="10" t="str">
        <f>HYPERLINK("http://www.ofsted.gov.uk/inspection-reports/find-inspection-report/provider/ELS/109664 ","Ofsted School Webpage")</f>
        <v>Ofsted School Webpage</v>
      </c>
      <c r="B742" s="92">
        <v>109664</v>
      </c>
      <c r="C742" s="92">
        <v>8233353</v>
      </c>
      <c r="D742" s="92" t="s">
        <v>2149</v>
      </c>
      <c r="E742" s="92" t="s">
        <v>94</v>
      </c>
      <c r="F742" s="92" t="s">
        <v>269</v>
      </c>
      <c r="G742" s="92" t="s">
        <v>270</v>
      </c>
      <c r="H742" s="92" t="s">
        <v>271</v>
      </c>
      <c r="I742" s="92" t="s">
        <v>272</v>
      </c>
      <c r="J742" s="92" t="s">
        <v>273</v>
      </c>
      <c r="K742" s="92" t="s">
        <v>273</v>
      </c>
      <c r="L742" s="92" t="s">
        <v>274</v>
      </c>
      <c r="M742" s="92" t="s">
        <v>110</v>
      </c>
      <c r="N742" s="92" t="s">
        <v>110</v>
      </c>
      <c r="O742" s="92" t="s">
        <v>120</v>
      </c>
      <c r="P742" s="92" t="s">
        <v>402</v>
      </c>
      <c r="Q742" s="92" t="s">
        <v>2150</v>
      </c>
      <c r="R742" s="92">
        <v>4</v>
      </c>
      <c r="S742" s="92">
        <v>354</v>
      </c>
      <c r="T742" s="9">
        <v>44145</v>
      </c>
      <c r="U742" s="9">
        <v>44171</v>
      </c>
    </row>
    <row r="743" spans="1:21" x14ac:dyDescent="0.2">
      <c r="A743" s="10" t="str">
        <f>HYPERLINK("http://www.ofsted.gov.uk/inspection-reports/find-inspection-report/provider/ELS/119344 ","Ofsted School Webpage")</f>
        <v>Ofsted School Webpage</v>
      </c>
      <c r="B743" s="92">
        <v>119344</v>
      </c>
      <c r="C743" s="92">
        <v>8892823</v>
      </c>
      <c r="D743" s="92" t="s">
        <v>2151</v>
      </c>
      <c r="E743" s="92" t="s">
        <v>94</v>
      </c>
      <c r="F743" s="92" t="s">
        <v>269</v>
      </c>
      <c r="G743" s="92" t="s">
        <v>270</v>
      </c>
      <c r="H743" s="92" t="s">
        <v>271</v>
      </c>
      <c r="I743" s="92" t="s">
        <v>272</v>
      </c>
      <c r="J743" s="92" t="s">
        <v>273</v>
      </c>
      <c r="K743" s="92" t="s">
        <v>273</v>
      </c>
      <c r="L743" s="92" t="s">
        <v>274</v>
      </c>
      <c r="M743" s="92" t="s">
        <v>168</v>
      </c>
      <c r="N743" s="92" t="s">
        <v>168</v>
      </c>
      <c r="O743" s="92" t="s">
        <v>179</v>
      </c>
      <c r="P743" s="92" t="s">
        <v>945</v>
      </c>
      <c r="Q743" s="92" t="s">
        <v>2152</v>
      </c>
      <c r="R743" s="92">
        <v>4</v>
      </c>
      <c r="S743" s="92">
        <v>274</v>
      </c>
      <c r="T743" s="9">
        <v>44145</v>
      </c>
      <c r="U743" s="9">
        <v>44171</v>
      </c>
    </row>
    <row r="744" spans="1:21" x14ac:dyDescent="0.2">
      <c r="A744" s="10" t="str">
        <f>HYPERLINK("http://www.ofsted.gov.uk/inspection-reports/find-inspection-report/provider/ELS/133280 ","Ofsted School Webpage")</f>
        <v>Ofsted School Webpage</v>
      </c>
      <c r="B744" s="92">
        <v>133280</v>
      </c>
      <c r="C744" s="92">
        <v>8913297</v>
      </c>
      <c r="D744" s="92" t="s">
        <v>2153</v>
      </c>
      <c r="E744" s="92" t="s">
        <v>94</v>
      </c>
      <c r="F744" s="92" t="s">
        <v>269</v>
      </c>
      <c r="G744" s="9">
        <v>37135</v>
      </c>
      <c r="H744" s="92" t="s">
        <v>271</v>
      </c>
      <c r="I744" s="92" t="s">
        <v>272</v>
      </c>
      <c r="J744" s="92" t="s">
        <v>273</v>
      </c>
      <c r="K744" s="92" t="s">
        <v>273</v>
      </c>
      <c r="L744" s="92" t="s">
        <v>274</v>
      </c>
      <c r="M744" s="92" t="s">
        <v>100</v>
      </c>
      <c r="N744" s="92" t="s">
        <v>100</v>
      </c>
      <c r="O744" s="92" t="s">
        <v>105</v>
      </c>
      <c r="P744" s="92" t="s">
        <v>957</v>
      </c>
      <c r="Q744" s="92" t="s">
        <v>2154</v>
      </c>
      <c r="R744" s="92">
        <v>4</v>
      </c>
      <c r="S744" s="92">
        <v>477</v>
      </c>
      <c r="T744" s="9">
        <v>44145</v>
      </c>
      <c r="U744" s="9">
        <v>44167</v>
      </c>
    </row>
    <row r="745" spans="1:21" x14ac:dyDescent="0.2">
      <c r="A745" s="10" t="str">
        <f>HYPERLINK("http://www.ofsted.gov.uk/inspection-reports/find-inspection-report/provider/ELS/100601 ","Ofsted School Webpage")</f>
        <v>Ofsted School Webpage</v>
      </c>
      <c r="B745" s="92">
        <v>100601</v>
      </c>
      <c r="C745" s="92">
        <v>2082836</v>
      </c>
      <c r="D745" s="92" t="s">
        <v>2155</v>
      </c>
      <c r="E745" s="92" t="s">
        <v>94</v>
      </c>
      <c r="F745" s="92" t="s">
        <v>269</v>
      </c>
      <c r="G745" s="92" t="s">
        <v>270</v>
      </c>
      <c r="H745" s="92" t="s">
        <v>271</v>
      </c>
      <c r="I745" s="92" t="s">
        <v>272</v>
      </c>
      <c r="J745" s="92" t="s">
        <v>273</v>
      </c>
      <c r="K745" s="92" t="s">
        <v>273</v>
      </c>
      <c r="L745" s="92" t="s">
        <v>274</v>
      </c>
      <c r="M745" s="92" t="s">
        <v>122</v>
      </c>
      <c r="N745" s="92" t="s">
        <v>122</v>
      </c>
      <c r="O745" s="92" t="s">
        <v>149</v>
      </c>
      <c r="P745" s="92" t="s">
        <v>1883</v>
      </c>
      <c r="Q745" s="92" t="s">
        <v>2156</v>
      </c>
      <c r="R745" s="92">
        <v>4</v>
      </c>
      <c r="S745" s="92">
        <v>192</v>
      </c>
      <c r="T745" s="9">
        <v>44145</v>
      </c>
      <c r="U745" s="9">
        <v>44167</v>
      </c>
    </row>
    <row r="746" spans="1:21" x14ac:dyDescent="0.2">
      <c r="A746" s="10" t="str">
        <f>HYPERLINK("http://www.ofsted.gov.uk/inspection-reports/find-inspection-report/provider/ELS/116260 ","Ofsted School Webpage")</f>
        <v>Ofsted School Webpage</v>
      </c>
      <c r="B746" s="92">
        <v>116260</v>
      </c>
      <c r="C746" s="92">
        <v>8502767</v>
      </c>
      <c r="D746" s="92" t="s">
        <v>2157</v>
      </c>
      <c r="E746" s="92" t="s">
        <v>94</v>
      </c>
      <c r="F746" s="92" t="s">
        <v>269</v>
      </c>
      <c r="G746" s="92" t="s">
        <v>270</v>
      </c>
      <c r="H746" s="92" t="s">
        <v>271</v>
      </c>
      <c r="I746" s="92" t="s">
        <v>272</v>
      </c>
      <c r="J746" s="92" t="s">
        <v>273</v>
      </c>
      <c r="K746" s="92" t="s">
        <v>273</v>
      </c>
      <c r="L746" s="92" t="s">
        <v>274</v>
      </c>
      <c r="M746" s="92" t="s">
        <v>192</v>
      </c>
      <c r="N746" s="92" t="s">
        <v>192</v>
      </c>
      <c r="O746" s="92" t="s">
        <v>193</v>
      </c>
      <c r="P746" s="92" t="s">
        <v>281</v>
      </c>
      <c r="Q746" s="92" t="s">
        <v>2158</v>
      </c>
      <c r="R746" s="92">
        <v>2</v>
      </c>
      <c r="S746" s="92">
        <v>355</v>
      </c>
      <c r="T746" s="9">
        <v>44145</v>
      </c>
      <c r="U746" s="9">
        <v>44164</v>
      </c>
    </row>
    <row r="747" spans="1:21" x14ac:dyDescent="0.2">
      <c r="A747" s="10" t="str">
        <f>HYPERLINK("http://www.ofsted.gov.uk/inspection-reports/find-inspection-report/provider/ELS/114914 ","Ofsted School Webpage")</f>
        <v>Ofsted School Webpage</v>
      </c>
      <c r="B747" s="92">
        <v>114914</v>
      </c>
      <c r="C747" s="92">
        <v>8812611</v>
      </c>
      <c r="D747" s="92" t="s">
        <v>2159</v>
      </c>
      <c r="E747" s="92" t="s">
        <v>94</v>
      </c>
      <c r="F747" s="92" t="s">
        <v>269</v>
      </c>
      <c r="G747" s="92" t="s">
        <v>270</v>
      </c>
      <c r="H747" s="92" t="s">
        <v>271</v>
      </c>
      <c r="I747" s="92" t="s">
        <v>272</v>
      </c>
      <c r="J747" s="92" t="s">
        <v>273</v>
      </c>
      <c r="K747" s="92" t="s">
        <v>273</v>
      </c>
      <c r="L747" s="92" t="s">
        <v>274</v>
      </c>
      <c r="M747" s="92" t="s">
        <v>110</v>
      </c>
      <c r="N747" s="92" t="s">
        <v>110</v>
      </c>
      <c r="O747" s="92" t="s">
        <v>119</v>
      </c>
      <c r="P747" s="92" t="s">
        <v>1406</v>
      </c>
      <c r="Q747" s="92" t="s">
        <v>2160</v>
      </c>
      <c r="R747" s="92">
        <v>5</v>
      </c>
      <c r="S747" s="92">
        <v>530</v>
      </c>
      <c r="T747" s="9">
        <v>44145</v>
      </c>
      <c r="U747" s="9">
        <v>44180</v>
      </c>
    </row>
    <row r="748" spans="1:21" x14ac:dyDescent="0.2">
      <c r="A748" s="10" t="str">
        <f>HYPERLINK("http://www.ofsted.gov.uk/inspection-reports/find-inspection-report/provider/ELS/117091 ","Ofsted School Webpage")</f>
        <v>Ofsted School Webpage</v>
      </c>
      <c r="B748" s="92">
        <v>117091</v>
      </c>
      <c r="C748" s="92">
        <v>9192016</v>
      </c>
      <c r="D748" s="92" t="s">
        <v>2161</v>
      </c>
      <c r="E748" s="92" t="s">
        <v>94</v>
      </c>
      <c r="F748" s="92" t="s">
        <v>269</v>
      </c>
      <c r="G748" s="92" t="s">
        <v>270</v>
      </c>
      <c r="H748" s="92" t="s">
        <v>271</v>
      </c>
      <c r="I748" s="92" t="s">
        <v>272</v>
      </c>
      <c r="J748" s="92" t="s">
        <v>273</v>
      </c>
      <c r="K748" s="92" t="s">
        <v>273</v>
      </c>
      <c r="L748" s="92" t="s">
        <v>274</v>
      </c>
      <c r="M748" s="92" t="s">
        <v>110</v>
      </c>
      <c r="N748" s="92" t="s">
        <v>110</v>
      </c>
      <c r="O748" s="92" t="s">
        <v>117</v>
      </c>
      <c r="P748" s="92" t="s">
        <v>2162</v>
      </c>
      <c r="Q748" s="92" t="s">
        <v>2163</v>
      </c>
      <c r="R748" s="92">
        <v>5</v>
      </c>
      <c r="S748" s="92">
        <v>196</v>
      </c>
      <c r="T748" s="9">
        <v>44145</v>
      </c>
      <c r="U748" s="9">
        <v>44172</v>
      </c>
    </row>
    <row r="749" spans="1:21" x14ac:dyDescent="0.2">
      <c r="A749" s="10" t="str">
        <f>HYPERLINK("http://www.ofsted.gov.uk/inspection-reports/find-inspection-report/provider/ELS/130302 ","Ofsted School Webpage")</f>
        <v>Ofsted School Webpage</v>
      </c>
      <c r="B749" s="92">
        <v>130302</v>
      </c>
      <c r="C749" s="92">
        <v>2042533</v>
      </c>
      <c r="D749" s="92" t="s">
        <v>2164</v>
      </c>
      <c r="E749" s="92" t="s">
        <v>94</v>
      </c>
      <c r="F749" s="92" t="s">
        <v>269</v>
      </c>
      <c r="G749" s="9">
        <v>34943</v>
      </c>
      <c r="H749" s="92" t="s">
        <v>271</v>
      </c>
      <c r="I749" s="92" t="s">
        <v>272</v>
      </c>
      <c r="J749" s="92" t="s">
        <v>273</v>
      </c>
      <c r="K749" s="92" t="s">
        <v>273</v>
      </c>
      <c r="L749" s="92" t="s">
        <v>274</v>
      </c>
      <c r="M749" s="92" t="s">
        <v>122</v>
      </c>
      <c r="N749" s="92" t="s">
        <v>122</v>
      </c>
      <c r="O749" s="92" t="s">
        <v>126</v>
      </c>
      <c r="P749" s="92" t="s">
        <v>320</v>
      </c>
      <c r="Q749" s="92" t="s">
        <v>2165</v>
      </c>
      <c r="R749" s="92">
        <v>4</v>
      </c>
      <c r="S749" s="92">
        <v>461</v>
      </c>
      <c r="T749" s="9">
        <v>44145</v>
      </c>
      <c r="U749" s="9">
        <v>44167</v>
      </c>
    </row>
    <row r="750" spans="1:21" x14ac:dyDescent="0.2">
      <c r="A750" s="10" t="str">
        <f>HYPERLINK("http://www.ofsted.gov.uk/inspection-reports/find-inspection-report/provider/ELS/114705 ","Ofsted School Webpage")</f>
        <v>Ofsted School Webpage</v>
      </c>
      <c r="B750" s="92">
        <v>114705</v>
      </c>
      <c r="C750" s="92">
        <v>8812002</v>
      </c>
      <c r="D750" s="92" t="s">
        <v>2166</v>
      </c>
      <c r="E750" s="92" t="s">
        <v>94</v>
      </c>
      <c r="F750" s="92" t="s">
        <v>269</v>
      </c>
      <c r="G750" s="9">
        <v>1</v>
      </c>
      <c r="H750" s="92" t="s">
        <v>271</v>
      </c>
      <c r="I750" s="92" t="s">
        <v>272</v>
      </c>
      <c r="J750" s="92" t="s">
        <v>273</v>
      </c>
      <c r="K750" s="92" t="s">
        <v>273</v>
      </c>
      <c r="L750" s="92" t="s">
        <v>274</v>
      </c>
      <c r="M750" s="92" t="s">
        <v>110</v>
      </c>
      <c r="N750" s="92" t="s">
        <v>110</v>
      </c>
      <c r="O750" s="92" t="s">
        <v>119</v>
      </c>
      <c r="P750" s="92" t="s">
        <v>2167</v>
      </c>
      <c r="Q750" s="92" t="s">
        <v>2168</v>
      </c>
      <c r="R750" s="92">
        <v>4</v>
      </c>
      <c r="S750" s="92">
        <v>288</v>
      </c>
      <c r="T750" s="9">
        <v>44145</v>
      </c>
      <c r="U750" s="9">
        <v>44214</v>
      </c>
    </row>
    <row r="751" spans="1:21" x14ac:dyDescent="0.2">
      <c r="A751" s="10" t="str">
        <f>HYPERLINK("http://www.ofsted.gov.uk/inspection-reports/find-inspection-report/provider/ELS/117499 ","Ofsted School Webpage")</f>
        <v>Ofsted School Webpage</v>
      </c>
      <c r="B751" s="92">
        <v>117499</v>
      </c>
      <c r="C751" s="92">
        <v>9194000</v>
      </c>
      <c r="D751" s="92" t="s">
        <v>2169</v>
      </c>
      <c r="E751" s="92" t="s">
        <v>95</v>
      </c>
      <c r="F751" s="92" t="s">
        <v>397</v>
      </c>
      <c r="G751" s="92" t="s">
        <v>270</v>
      </c>
      <c r="H751" s="92" t="s">
        <v>299</v>
      </c>
      <c r="I751" s="92" t="s">
        <v>300</v>
      </c>
      <c r="J751" s="92" t="s">
        <v>273</v>
      </c>
      <c r="K751" s="92" t="s">
        <v>273</v>
      </c>
      <c r="L751" s="92" t="s">
        <v>274</v>
      </c>
      <c r="M751" s="92" t="s">
        <v>110</v>
      </c>
      <c r="N751" s="92" t="s">
        <v>110</v>
      </c>
      <c r="O751" s="92" t="s">
        <v>117</v>
      </c>
      <c r="P751" s="92" t="s">
        <v>669</v>
      </c>
      <c r="Q751" s="92" t="s">
        <v>2170</v>
      </c>
      <c r="R751" s="92">
        <v>2</v>
      </c>
      <c r="S751" s="92">
        <v>1206</v>
      </c>
      <c r="T751" s="9">
        <v>44145</v>
      </c>
      <c r="U751" s="9">
        <v>44178</v>
      </c>
    </row>
    <row r="752" spans="1:21" x14ac:dyDescent="0.2">
      <c r="A752" s="10" t="str">
        <f>HYPERLINK("http://www.ofsted.gov.uk/inspection-reports/find-inspection-report/provider/ELS/119237 ","Ofsted School Webpage")</f>
        <v>Ofsted School Webpage</v>
      </c>
      <c r="B752" s="92">
        <v>119237</v>
      </c>
      <c r="C752" s="92">
        <v>8882197</v>
      </c>
      <c r="D752" s="92" t="s">
        <v>2171</v>
      </c>
      <c r="E752" s="92" t="s">
        <v>94</v>
      </c>
      <c r="F752" s="92" t="s">
        <v>269</v>
      </c>
      <c r="G752" s="92" t="s">
        <v>270</v>
      </c>
      <c r="H752" s="92" t="s">
        <v>271</v>
      </c>
      <c r="I752" s="92" t="s">
        <v>272</v>
      </c>
      <c r="J752" s="92" t="s">
        <v>273</v>
      </c>
      <c r="K752" s="92" t="s">
        <v>273</v>
      </c>
      <c r="L752" s="92" t="s">
        <v>274</v>
      </c>
      <c r="M752" s="92" t="s">
        <v>168</v>
      </c>
      <c r="N752" s="92" t="s">
        <v>168</v>
      </c>
      <c r="O752" s="92" t="s">
        <v>169</v>
      </c>
      <c r="P752" s="92" t="s">
        <v>1031</v>
      </c>
      <c r="Q752" s="92" t="s">
        <v>2172</v>
      </c>
      <c r="R752" s="92">
        <v>4</v>
      </c>
      <c r="S752" s="92">
        <v>292</v>
      </c>
      <c r="T752" s="9">
        <v>44145</v>
      </c>
      <c r="U752" s="9">
        <v>44178</v>
      </c>
    </row>
    <row r="753" spans="1:21" x14ac:dyDescent="0.2">
      <c r="A753" s="10" t="str">
        <f>HYPERLINK("http://www.ofsted.gov.uk/inspection-reports/find-inspection-report/provider/ELS/109014 ","Ofsted School Webpage")</f>
        <v>Ofsted School Webpage</v>
      </c>
      <c r="B753" s="92">
        <v>109014</v>
      </c>
      <c r="C753" s="92">
        <v>8032172</v>
      </c>
      <c r="D753" s="92" t="s">
        <v>2173</v>
      </c>
      <c r="E753" s="92" t="s">
        <v>94</v>
      </c>
      <c r="F753" s="92" t="s">
        <v>269</v>
      </c>
      <c r="G753" s="92" t="s">
        <v>270</v>
      </c>
      <c r="H753" s="92" t="s">
        <v>271</v>
      </c>
      <c r="I753" s="92" t="s">
        <v>272</v>
      </c>
      <c r="J753" s="92" t="s">
        <v>273</v>
      </c>
      <c r="K753" s="92" t="s">
        <v>273</v>
      </c>
      <c r="L753" s="92" t="s">
        <v>274</v>
      </c>
      <c r="M753" s="92" t="s">
        <v>211</v>
      </c>
      <c r="N753" s="92" t="s">
        <v>211</v>
      </c>
      <c r="O753" s="92" t="s">
        <v>216</v>
      </c>
      <c r="P753" s="92" t="s">
        <v>2174</v>
      </c>
      <c r="Q753" s="92" t="s">
        <v>2175</v>
      </c>
      <c r="R753" s="92">
        <v>4</v>
      </c>
      <c r="S753" s="92">
        <v>227</v>
      </c>
      <c r="T753" s="9">
        <v>44145</v>
      </c>
      <c r="U753" s="9">
        <v>44164</v>
      </c>
    </row>
    <row r="754" spans="1:21" x14ac:dyDescent="0.2">
      <c r="A754" s="10" t="str">
        <f>HYPERLINK("http://www.ofsted.gov.uk/inspection-reports/find-inspection-report/provider/ELS/106917 ","Ofsted School Webpage")</f>
        <v>Ofsted School Webpage</v>
      </c>
      <c r="B754" s="92">
        <v>106917</v>
      </c>
      <c r="C754" s="92">
        <v>3722120</v>
      </c>
      <c r="D754" s="92" t="s">
        <v>2176</v>
      </c>
      <c r="E754" s="92" t="s">
        <v>94</v>
      </c>
      <c r="F754" s="92" t="s">
        <v>269</v>
      </c>
      <c r="G754" s="92" t="s">
        <v>270</v>
      </c>
      <c r="H754" s="92" t="s">
        <v>271</v>
      </c>
      <c r="I754" s="92" t="s">
        <v>272</v>
      </c>
      <c r="J754" s="92" t="s">
        <v>273</v>
      </c>
      <c r="K754" s="92" t="s">
        <v>273</v>
      </c>
      <c r="L754" s="92" t="s">
        <v>274</v>
      </c>
      <c r="M754" s="92" t="s">
        <v>261</v>
      </c>
      <c r="N754" s="92" t="s">
        <v>241</v>
      </c>
      <c r="O754" s="92" t="s">
        <v>242</v>
      </c>
      <c r="P754" s="92" t="s">
        <v>1040</v>
      </c>
      <c r="Q754" s="92" t="s">
        <v>2177</v>
      </c>
      <c r="R754" s="92">
        <v>5</v>
      </c>
      <c r="S754" s="92">
        <v>122</v>
      </c>
      <c r="T754" s="9">
        <v>44145</v>
      </c>
      <c r="U754" s="9">
        <v>44174</v>
      </c>
    </row>
    <row r="755" spans="1:21" x14ac:dyDescent="0.2">
      <c r="A755" s="10" t="str">
        <f>HYPERLINK("http://www.ofsted.gov.uk/inspection-reports/find-inspection-report/provider/ELS/113139 ","Ofsted School Webpage")</f>
        <v>Ofsted School Webpage</v>
      </c>
      <c r="B755" s="92">
        <v>113139</v>
      </c>
      <c r="C755" s="92">
        <v>8782216</v>
      </c>
      <c r="D755" s="92" t="s">
        <v>2178</v>
      </c>
      <c r="E755" s="92" t="s">
        <v>94</v>
      </c>
      <c r="F755" s="92" t="s">
        <v>397</v>
      </c>
      <c r="G755" s="92" t="s">
        <v>270</v>
      </c>
      <c r="H755" s="92" t="s">
        <v>271</v>
      </c>
      <c r="I755" s="92" t="s">
        <v>272</v>
      </c>
      <c r="J755" s="92" t="s">
        <v>273</v>
      </c>
      <c r="K755" s="92" t="s">
        <v>273</v>
      </c>
      <c r="L755" s="92" t="s">
        <v>274</v>
      </c>
      <c r="M755" s="92" t="s">
        <v>211</v>
      </c>
      <c r="N755" s="92" t="s">
        <v>211</v>
      </c>
      <c r="O755" s="92" t="s">
        <v>220</v>
      </c>
      <c r="P755" s="92" t="s">
        <v>1447</v>
      </c>
      <c r="Q755" s="92" t="s">
        <v>2179</v>
      </c>
      <c r="R755" s="92">
        <v>1</v>
      </c>
      <c r="S755" s="92">
        <v>375</v>
      </c>
      <c r="T755" s="9">
        <v>44145</v>
      </c>
      <c r="U755" s="9">
        <v>44171</v>
      </c>
    </row>
    <row r="756" spans="1:21" x14ac:dyDescent="0.2">
      <c r="A756" s="10" t="str">
        <f>HYPERLINK("http://www.ofsted.gov.uk/inspection-reports/find-inspection-report/provider/ELS/119572 ","Ofsted School Webpage")</f>
        <v>Ofsted School Webpage</v>
      </c>
      <c r="B756" s="92">
        <v>119572</v>
      </c>
      <c r="C756" s="92">
        <v>8883590</v>
      </c>
      <c r="D756" s="92" t="s">
        <v>2180</v>
      </c>
      <c r="E756" s="92" t="s">
        <v>94</v>
      </c>
      <c r="F756" s="92" t="s">
        <v>351</v>
      </c>
      <c r="G756" s="92" t="s">
        <v>270</v>
      </c>
      <c r="H756" s="92" t="s">
        <v>271</v>
      </c>
      <c r="I756" s="92" t="s">
        <v>272</v>
      </c>
      <c r="J756" s="92" t="s">
        <v>346</v>
      </c>
      <c r="K756" s="92" t="s">
        <v>273</v>
      </c>
      <c r="L756" s="92" t="s">
        <v>347</v>
      </c>
      <c r="M756" s="92" t="s">
        <v>168</v>
      </c>
      <c r="N756" s="92" t="s">
        <v>168</v>
      </c>
      <c r="O756" s="92" t="s">
        <v>169</v>
      </c>
      <c r="P756" s="92" t="s">
        <v>1720</v>
      </c>
      <c r="Q756" s="92" t="s">
        <v>2181</v>
      </c>
      <c r="R756" s="92">
        <v>3</v>
      </c>
      <c r="S756" s="92">
        <v>70</v>
      </c>
      <c r="T756" s="9">
        <v>44145</v>
      </c>
      <c r="U756" s="9">
        <v>44174</v>
      </c>
    </row>
    <row r="757" spans="1:21" x14ac:dyDescent="0.2">
      <c r="A757" s="10" t="str">
        <f>HYPERLINK("http://www.ofsted.gov.uk/inspection-reports/find-inspection-report/provider/ELS/110814 ","Ofsted School Webpage")</f>
        <v>Ofsted School Webpage</v>
      </c>
      <c r="B757" s="92">
        <v>110814</v>
      </c>
      <c r="C757" s="92">
        <v>8733067</v>
      </c>
      <c r="D757" s="92" t="s">
        <v>2182</v>
      </c>
      <c r="E757" s="92" t="s">
        <v>94</v>
      </c>
      <c r="F757" s="92" t="s">
        <v>345</v>
      </c>
      <c r="G757" s="92" t="s">
        <v>270</v>
      </c>
      <c r="H757" s="92" t="s">
        <v>271</v>
      </c>
      <c r="I757" s="92" t="s">
        <v>272</v>
      </c>
      <c r="J757" s="92" t="s">
        <v>346</v>
      </c>
      <c r="K757" s="92" t="s">
        <v>273</v>
      </c>
      <c r="L757" s="92" t="s">
        <v>347</v>
      </c>
      <c r="M757" s="92" t="s">
        <v>110</v>
      </c>
      <c r="N757" s="92" t="s">
        <v>110</v>
      </c>
      <c r="O757" s="92" t="s">
        <v>112</v>
      </c>
      <c r="P757" s="92" t="s">
        <v>2030</v>
      </c>
      <c r="Q757" s="92" t="s">
        <v>2183</v>
      </c>
      <c r="R757" s="92">
        <v>1</v>
      </c>
      <c r="S757" s="92">
        <v>141</v>
      </c>
      <c r="T757" s="9">
        <v>44145</v>
      </c>
      <c r="U757" s="9">
        <v>44168</v>
      </c>
    </row>
    <row r="758" spans="1:21" x14ac:dyDescent="0.2">
      <c r="A758" s="10" t="str">
        <f>HYPERLINK("http://www.ofsted.gov.uk/inspection-reports/find-inspection-report/provider/ELS/104764 ","Ofsted School Webpage")</f>
        <v>Ofsted School Webpage</v>
      </c>
      <c r="B758" s="92">
        <v>104764</v>
      </c>
      <c r="C758" s="92">
        <v>3422012</v>
      </c>
      <c r="D758" s="92" t="s">
        <v>2184</v>
      </c>
      <c r="E758" s="92" t="s">
        <v>94</v>
      </c>
      <c r="F758" s="92" t="s">
        <v>269</v>
      </c>
      <c r="G758" s="92" t="s">
        <v>270</v>
      </c>
      <c r="H758" s="92" t="s">
        <v>271</v>
      </c>
      <c r="I758" s="92" t="s">
        <v>272</v>
      </c>
      <c r="J758" s="92" t="s">
        <v>273</v>
      </c>
      <c r="K758" s="92" t="s">
        <v>273</v>
      </c>
      <c r="L758" s="92" t="s">
        <v>274</v>
      </c>
      <c r="M758" s="92" t="s">
        <v>168</v>
      </c>
      <c r="N758" s="92" t="s">
        <v>168</v>
      </c>
      <c r="O758" s="92" t="s">
        <v>182</v>
      </c>
      <c r="P758" s="92" t="s">
        <v>2185</v>
      </c>
      <c r="Q758" s="92" t="s">
        <v>2186</v>
      </c>
      <c r="R758" s="92">
        <v>5</v>
      </c>
      <c r="S758" s="92">
        <v>228</v>
      </c>
      <c r="T758" s="9">
        <v>44145</v>
      </c>
      <c r="U758" s="9">
        <v>44174</v>
      </c>
    </row>
    <row r="759" spans="1:21" x14ac:dyDescent="0.2">
      <c r="A759" s="10" t="str">
        <f>HYPERLINK("http://www.ofsted.gov.uk/inspection-reports/find-inspection-report/provider/ELS/135552 ","Ofsted School Webpage")</f>
        <v>Ofsted School Webpage</v>
      </c>
      <c r="B759" s="92">
        <v>135552</v>
      </c>
      <c r="C759" s="92">
        <v>9214604</v>
      </c>
      <c r="D759" s="92" t="s">
        <v>2187</v>
      </c>
      <c r="E759" s="92" t="s">
        <v>95</v>
      </c>
      <c r="F759" s="92" t="s">
        <v>351</v>
      </c>
      <c r="G759" s="9">
        <v>39692</v>
      </c>
      <c r="H759" s="92" t="s">
        <v>299</v>
      </c>
      <c r="I759" s="92" t="s">
        <v>300</v>
      </c>
      <c r="J759" s="92" t="s">
        <v>1612</v>
      </c>
      <c r="K759" s="92" t="s">
        <v>273</v>
      </c>
      <c r="L759" s="92" t="s">
        <v>347</v>
      </c>
      <c r="M759" s="92" t="s">
        <v>192</v>
      </c>
      <c r="N759" s="92" t="s">
        <v>192</v>
      </c>
      <c r="O759" s="92" t="s">
        <v>205</v>
      </c>
      <c r="P759" s="92" t="s">
        <v>205</v>
      </c>
      <c r="Q759" s="92" t="s">
        <v>2188</v>
      </c>
      <c r="R759" s="92">
        <v>3</v>
      </c>
      <c r="S759" s="92">
        <v>1328</v>
      </c>
      <c r="T759" s="9">
        <v>44145</v>
      </c>
      <c r="U759" s="9">
        <v>44178</v>
      </c>
    </row>
    <row r="760" spans="1:21" x14ac:dyDescent="0.2">
      <c r="A760" s="10" t="str">
        <f>HYPERLINK("http://www.ofsted.gov.uk/inspection-reports/find-inspection-report/provider/ELS/109239 ","Ofsted School Webpage")</f>
        <v>Ofsted School Webpage</v>
      </c>
      <c r="B760" s="92">
        <v>109239</v>
      </c>
      <c r="C760" s="92">
        <v>8023350</v>
      </c>
      <c r="D760" s="92" t="s">
        <v>2189</v>
      </c>
      <c r="E760" s="92" t="s">
        <v>94</v>
      </c>
      <c r="F760" s="92" t="s">
        <v>351</v>
      </c>
      <c r="G760" s="92" t="s">
        <v>270</v>
      </c>
      <c r="H760" s="92" t="s">
        <v>271</v>
      </c>
      <c r="I760" s="92" t="s">
        <v>272</v>
      </c>
      <c r="J760" s="92" t="s">
        <v>352</v>
      </c>
      <c r="K760" s="92" t="s">
        <v>273</v>
      </c>
      <c r="L760" s="92" t="s">
        <v>347</v>
      </c>
      <c r="M760" s="92" t="s">
        <v>211</v>
      </c>
      <c r="N760" s="92" t="s">
        <v>211</v>
      </c>
      <c r="O760" s="92" t="s">
        <v>222</v>
      </c>
      <c r="P760" s="92" t="s">
        <v>222</v>
      </c>
      <c r="Q760" s="92" t="s">
        <v>2190</v>
      </c>
      <c r="R760" s="92">
        <v>1</v>
      </c>
      <c r="S760" s="92">
        <v>188</v>
      </c>
      <c r="T760" s="9">
        <v>44145</v>
      </c>
      <c r="U760" s="9">
        <v>44175</v>
      </c>
    </row>
    <row r="761" spans="1:21" x14ac:dyDescent="0.2">
      <c r="A761" s="10" t="str">
        <f>HYPERLINK("http://www.ofsted.gov.uk/inspection-reports/find-inspection-report/provider/ELS/122277 ","Ofsted School Webpage")</f>
        <v>Ofsted School Webpage</v>
      </c>
      <c r="B761" s="92">
        <v>122277</v>
      </c>
      <c r="C761" s="92">
        <v>9293173</v>
      </c>
      <c r="D761" s="92" t="s">
        <v>2191</v>
      </c>
      <c r="E761" s="92" t="s">
        <v>94</v>
      </c>
      <c r="F761" s="92" t="s">
        <v>345</v>
      </c>
      <c r="G761" s="92" t="s">
        <v>270</v>
      </c>
      <c r="H761" s="92" t="s">
        <v>271</v>
      </c>
      <c r="I761" s="92" t="s">
        <v>272</v>
      </c>
      <c r="J761" s="92" t="s">
        <v>346</v>
      </c>
      <c r="K761" s="92" t="s">
        <v>273</v>
      </c>
      <c r="L761" s="92" t="s">
        <v>347</v>
      </c>
      <c r="M761" s="92" t="s">
        <v>261</v>
      </c>
      <c r="N761" s="92" t="s">
        <v>155</v>
      </c>
      <c r="O761" s="92" t="s">
        <v>158</v>
      </c>
      <c r="P761" s="92" t="s">
        <v>430</v>
      </c>
      <c r="Q761" s="92" t="s">
        <v>2192</v>
      </c>
      <c r="R761" s="92">
        <v>1</v>
      </c>
      <c r="S761" s="92">
        <v>110</v>
      </c>
      <c r="T761" s="9">
        <v>44145</v>
      </c>
      <c r="U761" s="9">
        <v>44168</v>
      </c>
    </row>
    <row r="762" spans="1:21" x14ac:dyDescent="0.2">
      <c r="A762" s="10" t="str">
        <f>HYPERLINK("http://www.ofsted.gov.uk/inspection-reports/find-inspection-report/provider/ELS/104936 ","Ofsted School Webpage")</f>
        <v>Ofsted School Webpage</v>
      </c>
      <c r="B762" s="92">
        <v>104936</v>
      </c>
      <c r="C762" s="92">
        <v>3433367</v>
      </c>
      <c r="D762" s="92" t="s">
        <v>2193</v>
      </c>
      <c r="E762" s="92" t="s">
        <v>94</v>
      </c>
      <c r="F762" s="92" t="s">
        <v>351</v>
      </c>
      <c r="G762" s="92" t="s">
        <v>270</v>
      </c>
      <c r="H762" s="92" t="s">
        <v>271</v>
      </c>
      <c r="I762" s="92" t="s">
        <v>272</v>
      </c>
      <c r="J762" s="92" t="s">
        <v>352</v>
      </c>
      <c r="K762" s="92" t="s">
        <v>273</v>
      </c>
      <c r="L762" s="92" t="s">
        <v>347</v>
      </c>
      <c r="M762" s="92" t="s">
        <v>168</v>
      </c>
      <c r="N762" s="92" t="s">
        <v>168</v>
      </c>
      <c r="O762" s="92" t="s">
        <v>183</v>
      </c>
      <c r="P762" s="92" t="s">
        <v>2194</v>
      </c>
      <c r="Q762" s="92" t="s">
        <v>2195</v>
      </c>
      <c r="R762" s="92">
        <v>2</v>
      </c>
      <c r="S762" s="92">
        <v>239</v>
      </c>
      <c r="T762" s="9">
        <v>44145</v>
      </c>
      <c r="U762" s="9">
        <v>44173</v>
      </c>
    </row>
    <row r="763" spans="1:21" x14ac:dyDescent="0.2">
      <c r="A763" s="10" t="str">
        <f>HYPERLINK("http://www.ofsted.gov.uk/inspection-reports/find-inspection-report/provider/ELS/119577 ","Ofsted School Webpage")</f>
        <v>Ofsted School Webpage</v>
      </c>
      <c r="B763" s="92">
        <v>119577</v>
      </c>
      <c r="C763" s="92">
        <v>8883599</v>
      </c>
      <c r="D763" s="92" t="s">
        <v>2196</v>
      </c>
      <c r="E763" s="92" t="s">
        <v>94</v>
      </c>
      <c r="F763" s="92" t="s">
        <v>351</v>
      </c>
      <c r="G763" s="92" t="s">
        <v>270</v>
      </c>
      <c r="H763" s="92" t="s">
        <v>271</v>
      </c>
      <c r="I763" s="92" t="s">
        <v>272</v>
      </c>
      <c r="J763" s="92" t="s">
        <v>346</v>
      </c>
      <c r="K763" s="92" t="s">
        <v>273</v>
      </c>
      <c r="L763" s="92" t="s">
        <v>347</v>
      </c>
      <c r="M763" s="92" t="s">
        <v>168</v>
      </c>
      <c r="N763" s="92" t="s">
        <v>168</v>
      </c>
      <c r="O763" s="92" t="s">
        <v>169</v>
      </c>
      <c r="P763" s="92" t="s">
        <v>377</v>
      </c>
      <c r="Q763" s="92" t="s">
        <v>2197</v>
      </c>
      <c r="R763" s="92">
        <v>3</v>
      </c>
      <c r="S763" s="92">
        <v>63</v>
      </c>
      <c r="T763" s="9">
        <v>44145</v>
      </c>
      <c r="U763" s="9">
        <v>44165</v>
      </c>
    </row>
    <row r="764" spans="1:21" x14ac:dyDescent="0.2">
      <c r="A764" s="10" t="str">
        <f>HYPERLINK("http://www.ofsted.gov.uk/inspection-reports/find-inspection-report/provider/ELS/119584 ","Ofsted School Webpage")</f>
        <v>Ofsted School Webpage</v>
      </c>
      <c r="B764" s="92">
        <v>119584</v>
      </c>
      <c r="C764" s="92">
        <v>8883607</v>
      </c>
      <c r="D764" s="92" t="s">
        <v>2198</v>
      </c>
      <c r="E764" s="92" t="s">
        <v>94</v>
      </c>
      <c r="F764" s="92" t="s">
        <v>351</v>
      </c>
      <c r="G764" s="92" t="s">
        <v>270</v>
      </c>
      <c r="H764" s="92" t="s">
        <v>271</v>
      </c>
      <c r="I764" s="92" t="s">
        <v>272</v>
      </c>
      <c r="J764" s="92" t="s">
        <v>352</v>
      </c>
      <c r="K764" s="92" t="s">
        <v>273</v>
      </c>
      <c r="L764" s="92" t="s">
        <v>347</v>
      </c>
      <c r="M764" s="92" t="s">
        <v>168</v>
      </c>
      <c r="N764" s="92" t="s">
        <v>168</v>
      </c>
      <c r="O764" s="92" t="s">
        <v>169</v>
      </c>
      <c r="P764" s="92" t="s">
        <v>406</v>
      </c>
      <c r="Q764" s="92" t="s">
        <v>407</v>
      </c>
      <c r="R764" s="92">
        <v>2</v>
      </c>
      <c r="S764" s="92">
        <v>212</v>
      </c>
      <c r="T764" s="9">
        <v>44145</v>
      </c>
      <c r="U764" s="9">
        <v>44230</v>
      </c>
    </row>
    <row r="765" spans="1:21" x14ac:dyDescent="0.2">
      <c r="A765" s="10" t="str">
        <f>HYPERLINK("http://www.ofsted.gov.uk/inspection-reports/find-inspection-report/provider/ELS/111378 ","Ofsted School Webpage")</f>
        <v>Ofsted School Webpage</v>
      </c>
      <c r="B765" s="92">
        <v>111378</v>
      </c>
      <c r="C765" s="92">
        <v>8763632</v>
      </c>
      <c r="D765" s="92" t="s">
        <v>2199</v>
      </c>
      <c r="E765" s="92" t="s">
        <v>94</v>
      </c>
      <c r="F765" s="92" t="s">
        <v>351</v>
      </c>
      <c r="G765" s="92" t="s">
        <v>270</v>
      </c>
      <c r="H765" s="92" t="s">
        <v>271</v>
      </c>
      <c r="I765" s="92" t="s">
        <v>272</v>
      </c>
      <c r="J765" s="92" t="s">
        <v>352</v>
      </c>
      <c r="K765" s="92" t="s">
        <v>273</v>
      </c>
      <c r="L765" s="92" t="s">
        <v>347</v>
      </c>
      <c r="M765" s="92" t="s">
        <v>168</v>
      </c>
      <c r="N765" s="92" t="s">
        <v>168</v>
      </c>
      <c r="O765" s="92" t="s">
        <v>190</v>
      </c>
      <c r="P765" s="92" t="s">
        <v>2200</v>
      </c>
      <c r="Q765" s="92" t="s">
        <v>2201</v>
      </c>
      <c r="R765" s="92">
        <v>5</v>
      </c>
      <c r="S765" s="92">
        <v>191</v>
      </c>
      <c r="T765" s="9">
        <v>44145</v>
      </c>
      <c r="U765" s="9">
        <v>44172</v>
      </c>
    </row>
    <row r="766" spans="1:21" x14ac:dyDescent="0.2">
      <c r="A766" s="10" t="str">
        <f>HYPERLINK("http://www.ofsted.gov.uk/inspection-reports/find-inspection-report/provider/ELS/118737 ","Ofsted School Webpage")</f>
        <v>Ofsted School Webpage</v>
      </c>
      <c r="B766" s="92">
        <v>118737</v>
      </c>
      <c r="C766" s="92">
        <v>8863339</v>
      </c>
      <c r="D766" s="92" t="s">
        <v>2202</v>
      </c>
      <c r="E766" s="92" t="s">
        <v>94</v>
      </c>
      <c r="F766" s="92" t="s">
        <v>351</v>
      </c>
      <c r="G766" s="92" t="s">
        <v>270</v>
      </c>
      <c r="H766" s="92" t="s">
        <v>271</v>
      </c>
      <c r="I766" s="92" t="s">
        <v>272</v>
      </c>
      <c r="J766" s="92" t="s">
        <v>346</v>
      </c>
      <c r="K766" s="92" t="s">
        <v>273</v>
      </c>
      <c r="L766" s="92" t="s">
        <v>347</v>
      </c>
      <c r="M766" s="92" t="s">
        <v>192</v>
      </c>
      <c r="N766" s="92" t="s">
        <v>192</v>
      </c>
      <c r="O766" s="92" t="s">
        <v>194</v>
      </c>
      <c r="P766" s="92" t="s">
        <v>385</v>
      </c>
      <c r="Q766" s="92" t="s">
        <v>2203</v>
      </c>
      <c r="R766" s="92">
        <v>2</v>
      </c>
      <c r="S766" s="92">
        <v>192</v>
      </c>
      <c r="T766" s="9">
        <v>44145</v>
      </c>
      <c r="U766" s="9">
        <v>44181</v>
      </c>
    </row>
    <row r="767" spans="1:21" x14ac:dyDescent="0.2">
      <c r="A767" s="10" t="str">
        <f>HYPERLINK("http://www.ofsted.gov.uk/inspection-reports/find-inspection-report/provider/ELS/126482 ","Ofsted School Webpage")</f>
        <v>Ofsted School Webpage</v>
      </c>
      <c r="B767" s="92">
        <v>126482</v>
      </c>
      <c r="C767" s="92">
        <v>8655208</v>
      </c>
      <c r="D767" s="92" t="s">
        <v>2204</v>
      </c>
      <c r="E767" s="92" t="s">
        <v>94</v>
      </c>
      <c r="F767" s="92" t="s">
        <v>351</v>
      </c>
      <c r="G767" s="92" t="s">
        <v>270</v>
      </c>
      <c r="H767" s="92" t="s">
        <v>271</v>
      </c>
      <c r="I767" s="92" t="s">
        <v>272</v>
      </c>
      <c r="J767" s="92" t="s">
        <v>352</v>
      </c>
      <c r="K767" s="92" t="s">
        <v>273</v>
      </c>
      <c r="L767" s="92" t="s">
        <v>347</v>
      </c>
      <c r="M767" s="92" t="s">
        <v>211</v>
      </c>
      <c r="N767" s="92" t="s">
        <v>211</v>
      </c>
      <c r="O767" s="92" t="s">
        <v>225</v>
      </c>
      <c r="P767" s="92" t="s">
        <v>2205</v>
      </c>
      <c r="Q767" s="92" t="s">
        <v>2206</v>
      </c>
      <c r="R767" s="92">
        <v>2</v>
      </c>
      <c r="S767" s="92">
        <v>187</v>
      </c>
      <c r="T767" s="9">
        <v>44145</v>
      </c>
      <c r="U767" s="9">
        <v>44168</v>
      </c>
    </row>
    <row r="768" spans="1:21" x14ac:dyDescent="0.2">
      <c r="A768" s="10" t="str">
        <f>HYPERLINK("http://www.ofsted.gov.uk/inspection-reports/find-inspection-report/provider/ELS/123857 ","Ofsted School Webpage")</f>
        <v>Ofsted School Webpage</v>
      </c>
      <c r="B768" s="92">
        <v>123857</v>
      </c>
      <c r="C768" s="92">
        <v>9333487</v>
      </c>
      <c r="D768" s="92" t="s">
        <v>2207</v>
      </c>
      <c r="E768" s="92" t="s">
        <v>94</v>
      </c>
      <c r="F768" s="92" t="s">
        <v>351</v>
      </c>
      <c r="G768" s="92" t="s">
        <v>270</v>
      </c>
      <c r="H768" s="92" t="s">
        <v>271</v>
      </c>
      <c r="I768" s="92" t="s">
        <v>272</v>
      </c>
      <c r="J768" s="92" t="s">
        <v>352</v>
      </c>
      <c r="K768" s="92" t="s">
        <v>273</v>
      </c>
      <c r="L768" s="92" t="s">
        <v>347</v>
      </c>
      <c r="M768" s="92" t="s">
        <v>211</v>
      </c>
      <c r="N768" s="92" t="s">
        <v>211</v>
      </c>
      <c r="O768" s="92" t="s">
        <v>218</v>
      </c>
      <c r="P768" s="92" t="s">
        <v>439</v>
      </c>
      <c r="Q768" s="92" t="s">
        <v>2208</v>
      </c>
      <c r="R768" s="92">
        <v>4</v>
      </c>
      <c r="S768" s="92">
        <v>213</v>
      </c>
      <c r="T768" s="9">
        <v>44145</v>
      </c>
      <c r="U768" s="9">
        <v>44178</v>
      </c>
    </row>
    <row r="769" spans="1:21" x14ac:dyDescent="0.2">
      <c r="A769" s="10" t="str">
        <f>HYPERLINK("http://www.ofsted.gov.uk/inspection-reports/find-inspection-report/provider/ELS/119603 ","Ofsted School Webpage")</f>
        <v>Ofsted School Webpage</v>
      </c>
      <c r="B769" s="92">
        <v>119603</v>
      </c>
      <c r="C769" s="92">
        <v>8883636</v>
      </c>
      <c r="D769" s="92" t="s">
        <v>2209</v>
      </c>
      <c r="E769" s="92" t="s">
        <v>94</v>
      </c>
      <c r="F769" s="92" t="s">
        <v>351</v>
      </c>
      <c r="G769" s="92" t="s">
        <v>270</v>
      </c>
      <c r="H769" s="92" t="s">
        <v>271</v>
      </c>
      <c r="I769" s="92" t="s">
        <v>272</v>
      </c>
      <c r="J769" s="92" t="s">
        <v>346</v>
      </c>
      <c r="K769" s="92" t="s">
        <v>273</v>
      </c>
      <c r="L769" s="92" t="s">
        <v>347</v>
      </c>
      <c r="M769" s="92" t="s">
        <v>168</v>
      </c>
      <c r="N769" s="92" t="s">
        <v>168</v>
      </c>
      <c r="O769" s="92" t="s">
        <v>169</v>
      </c>
      <c r="P769" s="92" t="s">
        <v>1031</v>
      </c>
      <c r="Q769" s="92" t="s">
        <v>2210</v>
      </c>
      <c r="R769" s="92">
        <v>5</v>
      </c>
      <c r="S769" s="92">
        <v>446</v>
      </c>
      <c r="T769" s="9">
        <v>44146</v>
      </c>
      <c r="U769" s="9">
        <v>44171</v>
      </c>
    </row>
    <row r="770" spans="1:21" x14ac:dyDescent="0.2">
      <c r="A770" s="10" t="str">
        <f>HYPERLINK("http://www.ofsted.gov.uk/inspection-reports/find-inspection-report/provider/ELS/101507 ","Ofsted School Webpage")</f>
        <v>Ofsted School Webpage</v>
      </c>
      <c r="B770" s="92">
        <v>101507</v>
      </c>
      <c r="C770" s="92">
        <v>3042033</v>
      </c>
      <c r="D770" s="92" t="s">
        <v>2211</v>
      </c>
      <c r="E770" s="92" t="s">
        <v>94</v>
      </c>
      <c r="F770" s="92" t="s">
        <v>269</v>
      </c>
      <c r="G770" s="92" t="s">
        <v>270</v>
      </c>
      <c r="H770" s="92" t="s">
        <v>271</v>
      </c>
      <c r="I770" s="92" t="s">
        <v>272</v>
      </c>
      <c r="J770" s="92" t="s">
        <v>273</v>
      </c>
      <c r="K770" s="92" t="s">
        <v>273</v>
      </c>
      <c r="L770" s="92" t="s">
        <v>274</v>
      </c>
      <c r="M770" s="92" t="s">
        <v>122</v>
      </c>
      <c r="N770" s="92" t="s">
        <v>122</v>
      </c>
      <c r="O770" s="92" t="s">
        <v>132</v>
      </c>
      <c r="P770" s="92" t="s">
        <v>359</v>
      </c>
      <c r="Q770" s="92" t="s">
        <v>2212</v>
      </c>
      <c r="R770" s="92">
        <v>4</v>
      </c>
      <c r="S770" s="92">
        <v>196</v>
      </c>
      <c r="T770" s="9">
        <v>44146</v>
      </c>
      <c r="U770" s="9">
        <v>44200</v>
      </c>
    </row>
    <row r="771" spans="1:21" x14ac:dyDescent="0.2">
      <c r="A771" s="10" t="str">
        <f>HYPERLINK("http://www.ofsted.gov.uk/inspection-reports/find-inspection-report/provider/ELS/135037 ","Ofsted School Webpage")</f>
        <v>Ofsted School Webpage</v>
      </c>
      <c r="B771" s="92">
        <v>135037</v>
      </c>
      <c r="C771" s="92">
        <v>8853109</v>
      </c>
      <c r="D771" s="92" t="s">
        <v>2213</v>
      </c>
      <c r="E771" s="92" t="s">
        <v>94</v>
      </c>
      <c r="F771" s="92" t="s">
        <v>345</v>
      </c>
      <c r="G771" s="9">
        <v>39326</v>
      </c>
      <c r="H771" s="92" t="s">
        <v>271</v>
      </c>
      <c r="I771" s="92" t="s">
        <v>272</v>
      </c>
      <c r="J771" s="92" t="s">
        <v>346</v>
      </c>
      <c r="K771" s="92" t="s">
        <v>273</v>
      </c>
      <c r="L771" s="92" t="s">
        <v>347</v>
      </c>
      <c r="M771" s="92" t="s">
        <v>226</v>
      </c>
      <c r="N771" s="92" t="s">
        <v>226</v>
      </c>
      <c r="O771" s="92" t="s">
        <v>238</v>
      </c>
      <c r="P771" s="92" t="s">
        <v>1429</v>
      </c>
      <c r="Q771" s="92" t="s">
        <v>2214</v>
      </c>
      <c r="R771" s="92">
        <v>2</v>
      </c>
      <c r="S771" s="92">
        <v>59</v>
      </c>
      <c r="T771" s="9">
        <v>44146</v>
      </c>
      <c r="U771" s="9">
        <v>44168</v>
      </c>
    </row>
    <row r="772" spans="1:21" x14ac:dyDescent="0.2">
      <c r="A772" s="10" t="str">
        <f>HYPERLINK("http://www.ofsted.gov.uk/inspection-reports/find-inspection-report/provider/ELS/138251 ","Ofsted School Webpage")</f>
        <v>Ofsted School Webpage</v>
      </c>
      <c r="B772" s="92">
        <v>138251</v>
      </c>
      <c r="C772" s="92">
        <v>3804010</v>
      </c>
      <c r="D772" s="92" t="s">
        <v>2215</v>
      </c>
      <c r="E772" s="92" t="s">
        <v>95</v>
      </c>
      <c r="F772" s="92" t="s">
        <v>491</v>
      </c>
      <c r="G772" s="9">
        <v>41153</v>
      </c>
      <c r="H772" s="92" t="s">
        <v>299</v>
      </c>
      <c r="I772" s="92" t="s">
        <v>272</v>
      </c>
      <c r="J772" s="92" t="s">
        <v>410</v>
      </c>
      <c r="K772" s="92" t="s">
        <v>410</v>
      </c>
      <c r="L772" s="92" t="s">
        <v>274</v>
      </c>
      <c r="M772" s="92" t="s">
        <v>261</v>
      </c>
      <c r="N772" s="92" t="s">
        <v>241</v>
      </c>
      <c r="O772" s="92" t="s">
        <v>250</v>
      </c>
      <c r="P772" s="92" t="s">
        <v>848</v>
      </c>
      <c r="Q772" s="92" t="s">
        <v>2216</v>
      </c>
      <c r="R772" s="92">
        <v>5</v>
      </c>
      <c r="S772" s="92">
        <v>579</v>
      </c>
      <c r="T772" s="9">
        <v>44146</v>
      </c>
      <c r="U772" s="9">
        <v>44175</v>
      </c>
    </row>
    <row r="773" spans="1:21" x14ac:dyDescent="0.2">
      <c r="A773" s="10" t="str">
        <f>HYPERLINK("http://www.ofsted.gov.uk/inspection-reports/find-inspection-report/provider/ELS/139294 ","Ofsted School Webpage")</f>
        <v>Ofsted School Webpage</v>
      </c>
      <c r="B773" s="92">
        <v>139294</v>
      </c>
      <c r="C773" s="92">
        <v>3574011</v>
      </c>
      <c r="D773" s="92" t="s">
        <v>2217</v>
      </c>
      <c r="E773" s="92" t="s">
        <v>95</v>
      </c>
      <c r="F773" s="92" t="s">
        <v>429</v>
      </c>
      <c r="G773" s="9">
        <v>41306</v>
      </c>
      <c r="H773" s="92" t="s">
        <v>299</v>
      </c>
      <c r="I773" s="92" t="s">
        <v>272</v>
      </c>
      <c r="J773" s="92" t="s">
        <v>273</v>
      </c>
      <c r="K773" s="92" t="s">
        <v>273</v>
      </c>
      <c r="L773" s="92" t="s">
        <v>274</v>
      </c>
      <c r="M773" s="92" t="s">
        <v>168</v>
      </c>
      <c r="N773" s="92" t="s">
        <v>168</v>
      </c>
      <c r="O773" s="92" t="s">
        <v>189</v>
      </c>
      <c r="P773" s="92" t="s">
        <v>2049</v>
      </c>
      <c r="Q773" s="92" t="s">
        <v>2218</v>
      </c>
      <c r="R773" s="92">
        <v>5</v>
      </c>
      <c r="S773" s="92">
        <v>655</v>
      </c>
      <c r="T773" s="9">
        <v>44146</v>
      </c>
      <c r="U773" s="9">
        <v>44178</v>
      </c>
    </row>
    <row r="774" spans="1:21" x14ac:dyDescent="0.2">
      <c r="A774" s="10" t="str">
        <f>HYPERLINK("http://www.ofsted.gov.uk/inspection-reports/find-inspection-report/provider/ELS/144646 ","Ofsted School Webpage")</f>
        <v>Ofsted School Webpage</v>
      </c>
      <c r="B774" s="92">
        <v>144646</v>
      </c>
      <c r="C774" s="92">
        <v>8884022</v>
      </c>
      <c r="D774" s="92" t="s">
        <v>2219</v>
      </c>
      <c r="E774" s="92" t="s">
        <v>95</v>
      </c>
      <c r="F774" s="92" t="s">
        <v>409</v>
      </c>
      <c r="G774" s="9">
        <v>43252</v>
      </c>
      <c r="H774" s="92" t="s">
        <v>299</v>
      </c>
      <c r="I774" s="92" t="s">
        <v>300</v>
      </c>
      <c r="J774" s="92" t="s">
        <v>273</v>
      </c>
      <c r="K774" s="92" t="s">
        <v>484</v>
      </c>
      <c r="L774" s="92" t="s">
        <v>274</v>
      </c>
      <c r="M774" s="92" t="s">
        <v>168</v>
      </c>
      <c r="N774" s="92" t="s">
        <v>168</v>
      </c>
      <c r="O774" s="92" t="s">
        <v>169</v>
      </c>
      <c r="P774" s="92" t="s">
        <v>985</v>
      </c>
      <c r="Q774" s="92" t="s">
        <v>2220</v>
      </c>
      <c r="R774" s="92">
        <v>5</v>
      </c>
      <c r="S774" s="92">
        <v>689</v>
      </c>
      <c r="T774" s="9">
        <v>44146</v>
      </c>
      <c r="U774" s="9">
        <v>44168</v>
      </c>
    </row>
    <row r="775" spans="1:21" x14ac:dyDescent="0.2">
      <c r="A775" s="10" t="str">
        <f>HYPERLINK("http://www.ofsted.gov.uk/inspection-reports/find-inspection-report/provider/ELS/144372 ","Ofsted School Webpage")</f>
        <v>Ofsted School Webpage</v>
      </c>
      <c r="B775" s="92">
        <v>144372</v>
      </c>
      <c r="C775" s="92">
        <v>3552004</v>
      </c>
      <c r="D775" s="92" t="s">
        <v>2221</v>
      </c>
      <c r="E775" s="92" t="s">
        <v>94</v>
      </c>
      <c r="F775" s="92" t="s">
        <v>409</v>
      </c>
      <c r="G775" s="9">
        <v>42979</v>
      </c>
      <c r="H775" s="92" t="s">
        <v>271</v>
      </c>
      <c r="I775" s="92" t="s">
        <v>272</v>
      </c>
      <c r="J775" s="92" t="s">
        <v>346</v>
      </c>
      <c r="K775" s="92" t="s">
        <v>484</v>
      </c>
      <c r="L775" s="92" t="s">
        <v>347</v>
      </c>
      <c r="M775" s="92" t="s">
        <v>168</v>
      </c>
      <c r="N775" s="92" t="s">
        <v>168</v>
      </c>
      <c r="O775" s="92" t="s">
        <v>191</v>
      </c>
      <c r="P775" s="92" t="s">
        <v>2222</v>
      </c>
      <c r="Q775" s="92" t="s">
        <v>2223</v>
      </c>
      <c r="R775" s="92">
        <v>4</v>
      </c>
      <c r="S775" s="92">
        <v>200</v>
      </c>
      <c r="T775" s="9">
        <v>44146</v>
      </c>
      <c r="U775" s="9">
        <v>44175</v>
      </c>
    </row>
    <row r="776" spans="1:21" x14ac:dyDescent="0.2">
      <c r="A776" s="10" t="str">
        <f>HYPERLINK("http://www.ofsted.gov.uk/inspection-reports/find-inspection-report/provider/ELS/142905 ","Ofsted School Webpage")</f>
        <v>Ofsted School Webpage</v>
      </c>
      <c r="B776" s="92">
        <v>142905</v>
      </c>
      <c r="C776" s="92">
        <v>2084005</v>
      </c>
      <c r="D776" s="92" t="s">
        <v>2224</v>
      </c>
      <c r="E776" s="92" t="s">
        <v>95</v>
      </c>
      <c r="F776" s="92" t="s">
        <v>2225</v>
      </c>
      <c r="G776" s="9">
        <v>42614</v>
      </c>
      <c r="H776" s="92" t="s">
        <v>484</v>
      </c>
      <c r="I776" s="92" t="s">
        <v>300</v>
      </c>
      <c r="J776" s="92" t="s">
        <v>273</v>
      </c>
      <c r="K776" s="92" t="s">
        <v>273</v>
      </c>
      <c r="L776" s="92" t="s">
        <v>274</v>
      </c>
      <c r="M776" s="92" t="s">
        <v>122</v>
      </c>
      <c r="N776" s="92" t="s">
        <v>122</v>
      </c>
      <c r="O776" s="92" t="s">
        <v>149</v>
      </c>
      <c r="P776" s="92" t="s">
        <v>1883</v>
      </c>
      <c r="Q776" s="92" t="s">
        <v>2226</v>
      </c>
      <c r="R776" s="92">
        <v>5</v>
      </c>
      <c r="S776" s="92">
        <v>218</v>
      </c>
      <c r="T776" s="9">
        <v>44146</v>
      </c>
      <c r="U776" s="9">
        <v>44165</v>
      </c>
    </row>
    <row r="777" spans="1:21" x14ac:dyDescent="0.2">
      <c r="A777" s="10" t="str">
        <f>HYPERLINK("http://www.ofsted.gov.uk/inspection-reports/find-inspection-report/provider/ELS/142856 ","Ofsted School Webpage")</f>
        <v>Ofsted School Webpage</v>
      </c>
      <c r="B777" s="92">
        <v>142856</v>
      </c>
      <c r="C777" s="92">
        <v>8884040</v>
      </c>
      <c r="D777" s="92" t="s">
        <v>2227</v>
      </c>
      <c r="E777" s="92" t="s">
        <v>95</v>
      </c>
      <c r="F777" s="92" t="s">
        <v>429</v>
      </c>
      <c r="G777" s="9">
        <v>42614</v>
      </c>
      <c r="H777" s="92" t="s">
        <v>299</v>
      </c>
      <c r="I777" s="92" t="s">
        <v>272</v>
      </c>
      <c r="J777" s="92" t="s">
        <v>273</v>
      </c>
      <c r="K777" s="92" t="s">
        <v>273</v>
      </c>
      <c r="L777" s="92" t="s">
        <v>274</v>
      </c>
      <c r="M777" s="92" t="s">
        <v>168</v>
      </c>
      <c r="N777" s="92" t="s">
        <v>168</v>
      </c>
      <c r="O777" s="92" t="s">
        <v>169</v>
      </c>
      <c r="P777" s="92" t="s">
        <v>661</v>
      </c>
      <c r="Q777" s="92" t="s">
        <v>2228</v>
      </c>
      <c r="R777" s="92">
        <v>2</v>
      </c>
      <c r="S777" s="92">
        <v>617</v>
      </c>
      <c r="T777" s="9">
        <v>44147</v>
      </c>
      <c r="U777" s="9">
        <v>44175</v>
      </c>
    </row>
    <row r="778" spans="1:21" x14ac:dyDescent="0.2">
      <c r="A778" s="10" t="str">
        <f>HYPERLINK("http://www.ofsted.gov.uk/inspection-reports/find-inspection-report/provider/ELS/143113 ","Ofsted School Webpage")</f>
        <v>Ofsted School Webpage</v>
      </c>
      <c r="B778" s="92">
        <v>143113</v>
      </c>
      <c r="C778" s="92">
        <v>3804039</v>
      </c>
      <c r="D778" s="92" t="s">
        <v>2229</v>
      </c>
      <c r="E778" s="92" t="s">
        <v>95</v>
      </c>
      <c r="F778" s="92" t="s">
        <v>409</v>
      </c>
      <c r="G778" s="9">
        <v>42614</v>
      </c>
      <c r="H778" s="92" t="s">
        <v>299</v>
      </c>
      <c r="I778" s="92" t="s">
        <v>272</v>
      </c>
      <c r="J778" s="92" t="s">
        <v>273</v>
      </c>
      <c r="K778" s="92" t="s">
        <v>484</v>
      </c>
      <c r="L778" s="92" t="s">
        <v>274</v>
      </c>
      <c r="M778" s="92" t="s">
        <v>261</v>
      </c>
      <c r="N778" s="92" t="s">
        <v>241</v>
      </c>
      <c r="O778" s="92" t="s">
        <v>250</v>
      </c>
      <c r="P778" s="92" t="s">
        <v>1108</v>
      </c>
      <c r="Q778" s="92" t="s">
        <v>2230</v>
      </c>
      <c r="R778" s="92">
        <v>4</v>
      </c>
      <c r="S778" s="92">
        <v>906</v>
      </c>
      <c r="T778" s="9">
        <v>44147</v>
      </c>
      <c r="U778" s="9">
        <v>44174</v>
      </c>
    </row>
    <row r="779" spans="1:21" x14ac:dyDescent="0.2">
      <c r="A779" s="10" t="str">
        <f>HYPERLINK("http://www.ofsted.gov.uk/inspection-reports/find-inspection-report/provider/ELS/143926 ","Ofsted School Webpage")</f>
        <v>Ofsted School Webpage</v>
      </c>
      <c r="B779" s="92">
        <v>143926</v>
      </c>
      <c r="C779" s="92">
        <v>8222002</v>
      </c>
      <c r="D779" s="92" t="s">
        <v>2231</v>
      </c>
      <c r="E779" s="92" t="s">
        <v>94</v>
      </c>
      <c r="F779" s="92" t="s">
        <v>491</v>
      </c>
      <c r="G779" s="9">
        <v>42979</v>
      </c>
      <c r="H779" s="92" t="s">
        <v>484</v>
      </c>
      <c r="I779" s="92" t="s">
        <v>272</v>
      </c>
      <c r="J779" s="92" t="s">
        <v>410</v>
      </c>
      <c r="K779" s="92" t="s">
        <v>410</v>
      </c>
      <c r="L779" s="92" t="s">
        <v>274</v>
      </c>
      <c r="M779" s="92" t="s">
        <v>110</v>
      </c>
      <c r="N779" s="92" t="s">
        <v>110</v>
      </c>
      <c r="O779" s="92" t="s">
        <v>111</v>
      </c>
      <c r="P779" s="92" t="s">
        <v>1150</v>
      </c>
      <c r="Q779" s="92" t="s">
        <v>2232</v>
      </c>
      <c r="R779" s="92">
        <v>3</v>
      </c>
      <c r="S779" s="92">
        <v>263</v>
      </c>
      <c r="T779" s="9">
        <v>44147</v>
      </c>
      <c r="U779" s="9">
        <v>44182</v>
      </c>
    </row>
    <row r="780" spans="1:21" x14ac:dyDescent="0.2">
      <c r="A780" s="10" t="str">
        <f>HYPERLINK("http://www.ofsted.gov.uk/inspection-reports/find-inspection-report/provider/ELS/146098 ","Ofsted School Webpage")</f>
        <v>Ofsted School Webpage</v>
      </c>
      <c r="B780" s="92">
        <v>146098</v>
      </c>
      <c r="C780" s="92">
        <v>8652046</v>
      </c>
      <c r="D780" s="92" t="s">
        <v>2233</v>
      </c>
      <c r="E780" s="92" t="s">
        <v>94</v>
      </c>
      <c r="F780" s="92" t="s">
        <v>409</v>
      </c>
      <c r="G780" s="9">
        <v>43313</v>
      </c>
      <c r="H780" s="92" t="s">
        <v>271</v>
      </c>
      <c r="I780" s="92" t="s">
        <v>272</v>
      </c>
      <c r="J780" s="92" t="s">
        <v>346</v>
      </c>
      <c r="K780" s="92" t="s">
        <v>346</v>
      </c>
      <c r="L780" s="92" t="s">
        <v>347</v>
      </c>
      <c r="M780" s="92" t="s">
        <v>211</v>
      </c>
      <c r="N780" s="92" t="s">
        <v>211</v>
      </c>
      <c r="O780" s="92" t="s">
        <v>225</v>
      </c>
      <c r="P780" s="92" t="s">
        <v>1746</v>
      </c>
      <c r="Q780" s="92" t="s">
        <v>2234</v>
      </c>
      <c r="R780" s="92">
        <v>2</v>
      </c>
      <c r="S780" s="92">
        <v>160</v>
      </c>
      <c r="T780" s="9">
        <v>44147</v>
      </c>
      <c r="U780" s="9">
        <v>44165</v>
      </c>
    </row>
    <row r="781" spans="1:21" x14ac:dyDescent="0.2">
      <c r="A781" s="10" t="str">
        <f>HYPERLINK("http://www.ofsted.gov.uk/inspection-reports/find-inspection-report/provider/ELS/145792 ","Ofsted School Webpage")</f>
        <v>Ofsted School Webpage</v>
      </c>
      <c r="B781" s="92">
        <v>145792</v>
      </c>
      <c r="C781" s="92">
        <v>8932070</v>
      </c>
      <c r="D781" s="92" t="s">
        <v>2235</v>
      </c>
      <c r="E781" s="92" t="s">
        <v>94</v>
      </c>
      <c r="F781" s="92" t="s">
        <v>429</v>
      </c>
      <c r="G781" s="9">
        <v>43252</v>
      </c>
      <c r="H781" s="92" t="s">
        <v>271</v>
      </c>
      <c r="I781" s="92" t="s">
        <v>272</v>
      </c>
      <c r="J781" s="92" t="s">
        <v>273</v>
      </c>
      <c r="K781" s="92" t="s">
        <v>273</v>
      </c>
      <c r="L781" s="92" t="s">
        <v>274</v>
      </c>
      <c r="M781" s="92" t="s">
        <v>226</v>
      </c>
      <c r="N781" s="92" t="s">
        <v>226</v>
      </c>
      <c r="O781" s="92" t="s">
        <v>237</v>
      </c>
      <c r="P781" s="92" t="s">
        <v>604</v>
      </c>
      <c r="Q781" s="92" t="s">
        <v>2236</v>
      </c>
      <c r="R781" s="92">
        <v>4</v>
      </c>
      <c r="S781" s="92">
        <v>442</v>
      </c>
      <c r="T781" s="9">
        <v>44147</v>
      </c>
      <c r="U781" s="9">
        <v>44164</v>
      </c>
    </row>
    <row r="782" spans="1:21" x14ac:dyDescent="0.2">
      <c r="A782" s="10" t="str">
        <f>HYPERLINK("http://www.ofsted.gov.uk/inspection-reports/find-inspection-report/provider/ELS/145630 ","Ofsted School Webpage")</f>
        <v>Ofsted School Webpage</v>
      </c>
      <c r="B782" s="92">
        <v>145630</v>
      </c>
      <c r="C782" s="92">
        <v>8022332</v>
      </c>
      <c r="D782" s="92" t="s">
        <v>2237</v>
      </c>
      <c r="E782" s="92" t="s">
        <v>94</v>
      </c>
      <c r="F782" s="92" t="s">
        <v>429</v>
      </c>
      <c r="G782" s="9">
        <v>43191</v>
      </c>
      <c r="H782" s="92" t="s">
        <v>271</v>
      </c>
      <c r="I782" s="92" t="s">
        <v>272</v>
      </c>
      <c r="J782" s="92" t="s">
        <v>273</v>
      </c>
      <c r="K782" s="92" t="s">
        <v>273</v>
      </c>
      <c r="L782" s="92" t="s">
        <v>274</v>
      </c>
      <c r="M782" s="92" t="s">
        <v>211</v>
      </c>
      <c r="N782" s="92" t="s">
        <v>211</v>
      </c>
      <c r="O782" s="92" t="s">
        <v>222</v>
      </c>
      <c r="P782" s="92" t="s">
        <v>818</v>
      </c>
      <c r="Q782" s="92" t="s">
        <v>2238</v>
      </c>
      <c r="R782" s="92">
        <v>2</v>
      </c>
      <c r="S782" s="92">
        <v>420</v>
      </c>
      <c r="T782" s="9">
        <v>44147</v>
      </c>
      <c r="U782" s="9">
        <v>44167</v>
      </c>
    </row>
    <row r="783" spans="1:21" x14ac:dyDescent="0.2">
      <c r="A783" s="10" t="str">
        <f>HYPERLINK("http://www.ofsted.gov.uk/inspection-reports/find-inspection-report/provider/ELS/145587 ","Ofsted School Webpage")</f>
        <v>Ofsted School Webpage</v>
      </c>
      <c r="B783" s="92">
        <v>145587</v>
      </c>
      <c r="C783" s="92">
        <v>8952222</v>
      </c>
      <c r="D783" s="92" t="s">
        <v>2239</v>
      </c>
      <c r="E783" s="92" t="s">
        <v>94</v>
      </c>
      <c r="F783" s="92" t="s">
        <v>429</v>
      </c>
      <c r="G783" s="9">
        <v>43191</v>
      </c>
      <c r="H783" s="92" t="s">
        <v>271</v>
      </c>
      <c r="I783" s="92" t="s">
        <v>272</v>
      </c>
      <c r="J783" s="92" t="s">
        <v>273</v>
      </c>
      <c r="K783" s="92" t="s">
        <v>273</v>
      </c>
      <c r="L783" s="92" t="s">
        <v>274</v>
      </c>
      <c r="M783" s="92" t="s">
        <v>168</v>
      </c>
      <c r="N783" s="92" t="s">
        <v>168</v>
      </c>
      <c r="O783" s="92" t="s">
        <v>180</v>
      </c>
      <c r="P783" s="92" t="s">
        <v>939</v>
      </c>
      <c r="Q783" s="92" t="s">
        <v>2240</v>
      </c>
      <c r="R783" s="92">
        <v>1</v>
      </c>
      <c r="S783" s="92">
        <v>250</v>
      </c>
      <c r="T783" s="9">
        <v>44147</v>
      </c>
      <c r="U783" s="9">
        <v>44175</v>
      </c>
    </row>
    <row r="784" spans="1:21" x14ac:dyDescent="0.2">
      <c r="A784" s="10" t="str">
        <f>HYPERLINK("http://www.ofsted.gov.uk/inspection-reports/find-inspection-report/provider/ELS/143424 ","Ofsted School Webpage")</f>
        <v>Ofsted School Webpage</v>
      </c>
      <c r="B784" s="92">
        <v>143424</v>
      </c>
      <c r="C784" s="92">
        <v>8834001</v>
      </c>
      <c r="D784" s="92" t="s">
        <v>2241</v>
      </c>
      <c r="E784" s="92" t="s">
        <v>95</v>
      </c>
      <c r="F784" s="92" t="s">
        <v>429</v>
      </c>
      <c r="G784" s="9">
        <v>42614</v>
      </c>
      <c r="H784" s="92" t="s">
        <v>484</v>
      </c>
      <c r="I784" s="92" t="s">
        <v>271</v>
      </c>
      <c r="J784" s="92" t="s">
        <v>410</v>
      </c>
      <c r="K784" s="92" t="s">
        <v>273</v>
      </c>
      <c r="L784" s="92" t="s">
        <v>274</v>
      </c>
      <c r="M784" s="92" t="s">
        <v>110</v>
      </c>
      <c r="N784" s="92" t="s">
        <v>110</v>
      </c>
      <c r="O784" s="92" t="s">
        <v>113</v>
      </c>
      <c r="P784" s="92" t="s">
        <v>2242</v>
      </c>
      <c r="Q784" s="92" t="s">
        <v>2243</v>
      </c>
      <c r="R784" s="92">
        <v>4</v>
      </c>
      <c r="S784" s="92">
        <v>524</v>
      </c>
      <c r="T784" s="9">
        <v>44147</v>
      </c>
      <c r="U784" s="9">
        <v>44171</v>
      </c>
    </row>
    <row r="785" spans="1:21" x14ac:dyDescent="0.2">
      <c r="A785" s="10" t="str">
        <f>HYPERLINK("http://www.ofsted.gov.uk/inspection-reports/find-inspection-report/provider/ELS/136597 ","Ofsted School Webpage")</f>
        <v>Ofsted School Webpage</v>
      </c>
      <c r="B785" s="92">
        <v>136597</v>
      </c>
      <c r="C785" s="92">
        <v>9082313</v>
      </c>
      <c r="D785" s="92" t="s">
        <v>2244</v>
      </c>
      <c r="E785" s="92" t="s">
        <v>94</v>
      </c>
      <c r="F785" s="92" t="s">
        <v>429</v>
      </c>
      <c r="G785" s="9">
        <v>40634</v>
      </c>
      <c r="H785" s="92" t="s">
        <v>271</v>
      </c>
      <c r="I785" s="92" t="s">
        <v>271</v>
      </c>
      <c r="J785" s="92" t="s">
        <v>273</v>
      </c>
      <c r="K785" s="92" t="s">
        <v>273</v>
      </c>
      <c r="L785" s="92" t="s">
        <v>274</v>
      </c>
      <c r="M785" s="92" t="s">
        <v>211</v>
      </c>
      <c r="N785" s="92" t="s">
        <v>211</v>
      </c>
      <c r="O785" s="92" t="s">
        <v>219</v>
      </c>
      <c r="P785" s="92" t="s">
        <v>877</v>
      </c>
      <c r="Q785" s="92" t="s">
        <v>2245</v>
      </c>
      <c r="R785" s="92">
        <v>2</v>
      </c>
      <c r="S785" s="92">
        <v>283</v>
      </c>
      <c r="T785" s="9">
        <v>44147</v>
      </c>
      <c r="U785" s="9">
        <v>44167</v>
      </c>
    </row>
    <row r="786" spans="1:21" x14ac:dyDescent="0.2">
      <c r="A786" s="10" t="str">
        <f>HYPERLINK("http://www.ofsted.gov.uk/inspection-reports/find-inspection-report/provider/ELS/139304 ","Ofsted School Webpage")</f>
        <v>Ofsted School Webpage</v>
      </c>
      <c r="B786" s="92">
        <v>139304</v>
      </c>
      <c r="C786" s="92">
        <v>9254603</v>
      </c>
      <c r="D786" s="92" t="s">
        <v>2246</v>
      </c>
      <c r="E786" s="92" t="s">
        <v>95</v>
      </c>
      <c r="F786" s="92" t="s">
        <v>429</v>
      </c>
      <c r="G786" s="9">
        <v>41306</v>
      </c>
      <c r="H786" s="92" t="s">
        <v>1676</v>
      </c>
      <c r="I786" s="92" t="s">
        <v>300</v>
      </c>
      <c r="J786" s="92" t="s">
        <v>410</v>
      </c>
      <c r="K786" s="92" t="s">
        <v>273</v>
      </c>
      <c r="L786" s="92" t="s">
        <v>274</v>
      </c>
      <c r="M786" s="92" t="s">
        <v>100</v>
      </c>
      <c r="N786" s="92" t="s">
        <v>100</v>
      </c>
      <c r="O786" s="92" t="s">
        <v>104</v>
      </c>
      <c r="P786" s="92" t="s">
        <v>342</v>
      </c>
      <c r="Q786" s="92" t="s">
        <v>2247</v>
      </c>
      <c r="R786" s="92">
        <v>3</v>
      </c>
      <c r="S786" s="92">
        <v>867</v>
      </c>
      <c r="T786" s="9">
        <v>44147</v>
      </c>
      <c r="U786" s="9">
        <v>44179</v>
      </c>
    </row>
    <row r="787" spans="1:21" x14ac:dyDescent="0.2">
      <c r="A787" s="10" t="str">
        <f>HYPERLINK("http://www.ofsted.gov.uk/inspection-reports/find-inspection-report/provider/ELS/141287 ","Ofsted School Webpage")</f>
        <v>Ofsted School Webpage</v>
      </c>
      <c r="B787" s="92">
        <v>141287</v>
      </c>
      <c r="C787" s="92">
        <v>8782419</v>
      </c>
      <c r="D787" s="92" t="s">
        <v>2248</v>
      </c>
      <c r="E787" s="92" t="s">
        <v>94</v>
      </c>
      <c r="F787" s="92" t="s">
        <v>429</v>
      </c>
      <c r="G787" s="9">
        <v>41883</v>
      </c>
      <c r="H787" s="92" t="s">
        <v>271</v>
      </c>
      <c r="I787" s="92" t="s">
        <v>272</v>
      </c>
      <c r="J787" s="92" t="s">
        <v>273</v>
      </c>
      <c r="K787" s="92" t="s">
        <v>273</v>
      </c>
      <c r="L787" s="92" t="s">
        <v>274</v>
      </c>
      <c r="M787" s="92" t="s">
        <v>211</v>
      </c>
      <c r="N787" s="92" t="s">
        <v>211</v>
      </c>
      <c r="O787" s="92" t="s">
        <v>220</v>
      </c>
      <c r="P787" s="92" t="s">
        <v>465</v>
      </c>
      <c r="Q787" s="92" t="s">
        <v>2249</v>
      </c>
      <c r="R787" s="92">
        <v>2</v>
      </c>
      <c r="S787" s="92">
        <v>99</v>
      </c>
      <c r="T787" s="9">
        <v>44147</v>
      </c>
      <c r="U787" s="9">
        <v>44165</v>
      </c>
    </row>
    <row r="788" spans="1:21" x14ac:dyDescent="0.2">
      <c r="A788" s="10" t="str">
        <f>HYPERLINK("http://www.ofsted.gov.uk/inspection-reports/find-inspection-report/provider/ELS/137770 ","Ofsted School Webpage")</f>
        <v>Ofsted School Webpage</v>
      </c>
      <c r="B788" s="92">
        <v>137770</v>
      </c>
      <c r="C788" s="92">
        <v>9374190</v>
      </c>
      <c r="D788" s="92" t="s">
        <v>2250</v>
      </c>
      <c r="E788" s="92" t="s">
        <v>95</v>
      </c>
      <c r="F788" s="92" t="s">
        <v>429</v>
      </c>
      <c r="G788" s="9">
        <v>40909</v>
      </c>
      <c r="H788" s="92" t="s">
        <v>299</v>
      </c>
      <c r="I788" s="92" t="s">
        <v>300</v>
      </c>
      <c r="J788" s="92" t="s">
        <v>273</v>
      </c>
      <c r="K788" s="92" t="s">
        <v>273</v>
      </c>
      <c r="L788" s="92" t="s">
        <v>274</v>
      </c>
      <c r="M788" s="92" t="s">
        <v>226</v>
      </c>
      <c r="N788" s="92" t="s">
        <v>226</v>
      </c>
      <c r="O788" s="92" t="s">
        <v>235</v>
      </c>
      <c r="P788" s="92" t="s">
        <v>764</v>
      </c>
      <c r="Q788" s="92" t="s">
        <v>2251</v>
      </c>
      <c r="R788" s="92">
        <v>2</v>
      </c>
      <c r="S788" s="92">
        <v>1063</v>
      </c>
      <c r="T788" s="9">
        <v>44147</v>
      </c>
      <c r="U788" s="9">
        <v>44172</v>
      </c>
    </row>
    <row r="789" spans="1:21" x14ac:dyDescent="0.2">
      <c r="A789" s="10" t="str">
        <f>HYPERLINK("http://www.ofsted.gov.uk/inspection-reports/find-inspection-report/provider/ELS/138613 ","Ofsted School Webpage")</f>
        <v>Ofsted School Webpage</v>
      </c>
      <c r="B789" s="92">
        <v>138613</v>
      </c>
      <c r="C789" s="92">
        <v>3122078</v>
      </c>
      <c r="D789" s="92" t="s">
        <v>2252</v>
      </c>
      <c r="E789" s="92" t="s">
        <v>94</v>
      </c>
      <c r="F789" s="92" t="s">
        <v>429</v>
      </c>
      <c r="G789" s="9">
        <v>41153</v>
      </c>
      <c r="H789" s="92" t="s">
        <v>271</v>
      </c>
      <c r="I789" s="92" t="s">
        <v>272</v>
      </c>
      <c r="J789" s="92" t="s">
        <v>273</v>
      </c>
      <c r="K789" s="92" t="s">
        <v>273</v>
      </c>
      <c r="L789" s="92" t="s">
        <v>274</v>
      </c>
      <c r="M789" s="92" t="s">
        <v>122</v>
      </c>
      <c r="N789" s="92" t="s">
        <v>122</v>
      </c>
      <c r="O789" s="92" t="s">
        <v>146</v>
      </c>
      <c r="P789" s="92" t="s">
        <v>1987</v>
      </c>
      <c r="Q789" s="92" t="s">
        <v>2253</v>
      </c>
      <c r="R789" s="92">
        <v>4</v>
      </c>
      <c r="S789" s="92">
        <v>944</v>
      </c>
      <c r="T789" s="9">
        <v>44147</v>
      </c>
      <c r="U789" s="9">
        <v>44172</v>
      </c>
    </row>
    <row r="790" spans="1:21" x14ac:dyDescent="0.2">
      <c r="A790" s="10" t="str">
        <f>HYPERLINK("http://www.ofsted.gov.uk/inspection-reports/find-inspection-report/provider/ELS/137701 ","Ofsted School Webpage")</f>
        <v>Ofsted School Webpage</v>
      </c>
      <c r="B790" s="92">
        <v>137701</v>
      </c>
      <c r="C790" s="92">
        <v>3334110</v>
      </c>
      <c r="D790" s="92" t="s">
        <v>2254</v>
      </c>
      <c r="E790" s="92" t="s">
        <v>95</v>
      </c>
      <c r="F790" s="92" t="s">
        <v>429</v>
      </c>
      <c r="G790" s="9">
        <v>40878</v>
      </c>
      <c r="H790" s="92" t="s">
        <v>299</v>
      </c>
      <c r="I790" s="92" t="s">
        <v>272</v>
      </c>
      <c r="J790" s="92" t="s">
        <v>273</v>
      </c>
      <c r="K790" s="92" t="s">
        <v>273</v>
      </c>
      <c r="L790" s="92" t="s">
        <v>274</v>
      </c>
      <c r="M790" s="92" t="s">
        <v>226</v>
      </c>
      <c r="N790" s="92" t="s">
        <v>226</v>
      </c>
      <c r="O790" s="92" t="s">
        <v>228</v>
      </c>
      <c r="P790" s="92" t="s">
        <v>312</v>
      </c>
      <c r="Q790" s="92" t="s">
        <v>2255</v>
      </c>
      <c r="R790" s="92">
        <v>5</v>
      </c>
      <c r="S790" s="92">
        <v>1449</v>
      </c>
      <c r="T790" s="9">
        <v>44147</v>
      </c>
      <c r="U790" s="9">
        <v>44171</v>
      </c>
    </row>
    <row r="791" spans="1:21" x14ac:dyDescent="0.2">
      <c r="A791" s="10" t="str">
        <f>HYPERLINK("http://www.ofsted.gov.uk/inspection-reports/find-inspection-report/provider/ELS/138390 ","Ofsted School Webpage")</f>
        <v>Ofsted School Webpage</v>
      </c>
      <c r="B791" s="92">
        <v>138390</v>
      </c>
      <c r="C791" s="92">
        <v>8452001</v>
      </c>
      <c r="D791" s="92" t="s">
        <v>2256</v>
      </c>
      <c r="E791" s="92" t="s">
        <v>94</v>
      </c>
      <c r="F791" s="92" t="s">
        <v>409</v>
      </c>
      <c r="G791" s="9">
        <v>41153</v>
      </c>
      <c r="H791" s="92" t="s">
        <v>271</v>
      </c>
      <c r="I791" s="92" t="s">
        <v>271</v>
      </c>
      <c r="J791" s="92" t="s">
        <v>273</v>
      </c>
      <c r="K791" s="92" t="s">
        <v>410</v>
      </c>
      <c r="L791" s="92" t="s">
        <v>274</v>
      </c>
      <c r="M791" s="92" t="s">
        <v>192</v>
      </c>
      <c r="N791" s="92" t="s">
        <v>192</v>
      </c>
      <c r="O791" s="92" t="s">
        <v>203</v>
      </c>
      <c r="P791" s="92" t="s">
        <v>804</v>
      </c>
      <c r="Q791" s="92" t="s">
        <v>2257</v>
      </c>
      <c r="R791" s="92">
        <v>5</v>
      </c>
      <c r="S791" s="92">
        <v>408</v>
      </c>
      <c r="T791" s="9">
        <v>44147</v>
      </c>
      <c r="U791" s="9">
        <v>44200</v>
      </c>
    </row>
    <row r="792" spans="1:21" x14ac:dyDescent="0.2">
      <c r="A792" s="10" t="str">
        <f>HYPERLINK("http://www.ofsted.gov.uk/inspection-reports/find-inspection-report/provider/ELS/145021 ","Ofsted School Webpage")</f>
        <v>Ofsted School Webpage</v>
      </c>
      <c r="B792" s="92">
        <v>145021</v>
      </c>
      <c r="C792" s="92">
        <v>8022007</v>
      </c>
      <c r="D792" s="92" t="s">
        <v>2258</v>
      </c>
      <c r="E792" s="92" t="s">
        <v>94</v>
      </c>
      <c r="F792" s="92" t="s">
        <v>409</v>
      </c>
      <c r="G792" s="9">
        <v>42522</v>
      </c>
      <c r="H792" s="92" t="s">
        <v>484</v>
      </c>
      <c r="I792" s="92" t="s">
        <v>271</v>
      </c>
      <c r="J792" s="92" t="s">
        <v>346</v>
      </c>
      <c r="K792" s="92" t="s">
        <v>410</v>
      </c>
      <c r="L792" s="92" t="s">
        <v>347</v>
      </c>
      <c r="M792" s="92" t="s">
        <v>211</v>
      </c>
      <c r="N792" s="92" t="s">
        <v>211</v>
      </c>
      <c r="O792" s="92" t="s">
        <v>222</v>
      </c>
      <c r="P792" s="92" t="s">
        <v>222</v>
      </c>
      <c r="Q792" s="92" t="s">
        <v>2259</v>
      </c>
      <c r="R792" s="92">
        <v>5</v>
      </c>
      <c r="S792" s="92">
        <v>78</v>
      </c>
      <c r="T792" s="9">
        <v>44147</v>
      </c>
      <c r="U792" s="9">
        <v>44165</v>
      </c>
    </row>
    <row r="793" spans="1:21" x14ac:dyDescent="0.2">
      <c r="A793" s="10" t="str">
        <f>HYPERLINK("http://www.ofsted.gov.uk/inspection-reports/find-inspection-report/provider/ELS/142489 ","Ofsted School Webpage")</f>
        <v>Ofsted School Webpage</v>
      </c>
      <c r="B793" s="92">
        <v>142489</v>
      </c>
      <c r="C793" s="92">
        <v>3172001</v>
      </c>
      <c r="D793" s="92" t="s">
        <v>2260</v>
      </c>
      <c r="E793" s="92" t="s">
        <v>94</v>
      </c>
      <c r="F793" s="92" t="s">
        <v>429</v>
      </c>
      <c r="G793" s="9">
        <v>42339</v>
      </c>
      <c r="H793" s="92" t="s">
        <v>271</v>
      </c>
      <c r="I793" s="92" t="s">
        <v>272</v>
      </c>
      <c r="J793" s="92" t="s">
        <v>2261</v>
      </c>
      <c r="K793" s="92" t="s">
        <v>273</v>
      </c>
      <c r="L793" s="92" t="s">
        <v>2261</v>
      </c>
      <c r="M793" s="92" t="s">
        <v>122</v>
      </c>
      <c r="N793" s="92" t="s">
        <v>122</v>
      </c>
      <c r="O793" s="92" t="s">
        <v>150</v>
      </c>
      <c r="P793" s="92" t="s">
        <v>2262</v>
      </c>
      <c r="Q793" s="92" t="s">
        <v>2263</v>
      </c>
      <c r="R793" s="92">
        <v>3</v>
      </c>
      <c r="S793" s="92">
        <v>759</v>
      </c>
      <c r="T793" s="9">
        <v>44147</v>
      </c>
      <c r="U793" s="9">
        <v>44202</v>
      </c>
    </row>
    <row r="794" spans="1:21" x14ac:dyDescent="0.2">
      <c r="A794" s="10" t="str">
        <f>HYPERLINK("http://www.ofsted.gov.uk/inspection-reports/find-inspection-report/provider/ELS/142080 ","Ofsted School Webpage")</f>
        <v>Ofsted School Webpage</v>
      </c>
      <c r="B794" s="92">
        <v>142080</v>
      </c>
      <c r="C794" s="92">
        <v>3364003</v>
      </c>
      <c r="D794" s="92" t="s">
        <v>2264</v>
      </c>
      <c r="E794" s="92" t="s">
        <v>95</v>
      </c>
      <c r="F794" s="92" t="s">
        <v>491</v>
      </c>
      <c r="G794" s="9">
        <v>42248</v>
      </c>
      <c r="H794" s="92" t="s">
        <v>484</v>
      </c>
      <c r="I794" s="92" t="s">
        <v>300</v>
      </c>
      <c r="J794" s="92" t="s">
        <v>410</v>
      </c>
      <c r="K794" s="92" t="s">
        <v>2265</v>
      </c>
      <c r="L794" s="92" t="s">
        <v>274</v>
      </c>
      <c r="M794" s="92" t="s">
        <v>226</v>
      </c>
      <c r="N794" s="92" t="s">
        <v>226</v>
      </c>
      <c r="O794" s="92" t="s">
        <v>231</v>
      </c>
      <c r="P794" s="92" t="s">
        <v>2266</v>
      </c>
      <c r="Q794" s="92" t="s">
        <v>2267</v>
      </c>
      <c r="R794" s="92">
        <v>5</v>
      </c>
      <c r="S794" s="92">
        <v>618</v>
      </c>
      <c r="T794" s="9">
        <v>44147</v>
      </c>
      <c r="U794" s="9">
        <v>44172</v>
      </c>
    </row>
    <row r="795" spans="1:21" x14ac:dyDescent="0.2">
      <c r="A795" s="10" t="str">
        <f>HYPERLINK("http://www.ofsted.gov.uk/inspection-reports/find-inspection-report/provider/ELS/143143 ","Ofsted School Webpage")</f>
        <v>Ofsted School Webpage</v>
      </c>
      <c r="B795" s="92">
        <v>143143</v>
      </c>
      <c r="C795" s="92">
        <v>9332024</v>
      </c>
      <c r="D795" s="92" t="s">
        <v>2268</v>
      </c>
      <c r="E795" s="92" t="s">
        <v>94</v>
      </c>
      <c r="F795" s="92" t="s">
        <v>409</v>
      </c>
      <c r="G795" s="9">
        <v>42614</v>
      </c>
      <c r="H795" s="92" t="s">
        <v>271</v>
      </c>
      <c r="I795" s="92" t="s">
        <v>272</v>
      </c>
      <c r="J795" s="92" t="s">
        <v>273</v>
      </c>
      <c r="K795" s="92" t="s">
        <v>484</v>
      </c>
      <c r="L795" s="92" t="s">
        <v>274</v>
      </c>
      <c r="M795" s="92" t="s">
        <v>211</v>
      </c>
      <c r="N795" s="92" t="s">
        <v>211</v>
      </c>
      <c r="O795" s="92" t="s">
        <v>218</v>
      </c>
      <c r="P795" s="92" t="s">
        <v>579</v>
      </c>
      <c r="Q795" s="92" t="s">
        <v>2269</v>
      </c>
      <c r="R795" s="92">
        <v>5</v>
      </c>
      <c r="S795" s="92">
        <v>166</v>
      </c>
      <c r="T795" s="9">
        <v>44147</v>
      </c>
      <c r="U795" s="9">
        <v>44165</v>
      </c>
    </row>
    <row r="796" spans="1:21" x14ac:dyDescent="0.2">
      <c r="A796" s="10" t="str">
        <f>HYPERLINK("http://www.ofsted.gov.uk/inspection-reports/find-inspection-report/provider/ELS/140590 ","Ofsted School Webpage")</f>
        <v>Ofsted School Webpage</v>
      </c>
      <c r="B796" s="92">
        <v>140590</v>
      </c>
      <c r="C796" s="92">
        <v>3723338</v>
      </c>
      <c r="D796" s="92" t="s">
        <v>634</v>
      </c>
      <c r="E796" s="92" t="s">
        <v>94</v>
      </c>
      <c r="F796" s="92" t="s">
        <v>429</v>
      </c>
      <c r="G796" s="9">
        <v>41671</v>
      </c>
      <c r="H796" s="92" t="s">
        <v>271</v>
      </c>
      <c r="I796" s="92" t="s">
        <v>272</v>
      </c>
      <c r="J796" s="92" t="s">
        <v>352</v>
      </c>
      <c r="K796" s="92" t="s">
        <v>273</v>
      </c>
      <c r="L796" s="92" t="s">
        <v>347</v>
      </c>
      <c r="M796" s="92" t="s">
        <v>261</v>
      </c>
      <c r="N796" s="92" t="s">
        <v>241</v>
      </c>
      <c r="O796" s="92" t="s">
        <v>242</v>
      </c>
      <c r="P796" s="92" t="s">
        <v>275</v>
      </c>
      <c r="Q796" s="92" t="s">
        <v>2270</v>
      </c>
      <c r="R796" s="92">
        <v>5</v>
      </c>
      <c r="S796" s="92">
        <v>160</v>
      </c>
      <c r="T796" s="9">
        <v>44147</v>
      </c>
      <c r="U796" s="9">
        <v>44178</v>
      </c>
    </row>
    <row r="797" spans="1:21" x14ac:dyDescent="0.2">
      <c r="A797" s="10" t="str">
        <f>HYPERLINK("http://www.ofsted.gov.uk/inspection-reports/find-inspection-report/provider/ELS/143117 ","Ofsted School Webpage")</f>
        <v>Ofsted School Webpage</v>
      </c>
      <c r="B797" s="92">
        <v>143117</v>
      </c>
      <c r="C797" s="92">
        <v>8302023</v>
      </c>
      <c r="D797" s="92" t="s">
        <v>2271</v>
      </c>
      <c r="E797" s="92" t="s">
        <v>94</v>
      </c>
      <c r="F797" s="92" t="s">
        <v>409</v>
      </c>
      <c r="G797" s="9">
        <v>42614</v>
      </c>
      <c r="H797" s="92" t="s">
        <v>271</v>
      </c>
      <c r="I797" s="92" t="s">
        <v>272</v>
      </c>
      <c r="J797" s="92" t="s">
        <v>273</v>
      </c>
      <c r="K797" s="92" t="s">
        <v>484</v>
      </c>
      <c r="L797" s="92" t="s">
        <v>274</v>
      </c>
      <c r="M797" s="92" t="s">
        <v>100</v>
      </c>
      <c r="N797" s="92" t="s">
        <v>100</v>
      </c>
      <c r="O797" s="92" t="s">
        <v>101</v>
      </c>
      <c r="P797" s="92" t="s">
        <v>293</v>
      </c>
      <c r="Q797" s="92" t="s">
        <v>2272</v>
      </c>
      <c r="R797" s="92">
        <v>5</v>
      </c>
      <c r="S797" s="92">
        <v>169</v>
      </c>
      <c r="T797" s="9">
        <v>44147</v>
      </c>
      <c r="U797" s="9">
        <v>44173</v>
      </c>
    </row>
    <row r="798" spans="1:21" x14ac:dyDescent="0.2">
      <c r="A798" s="10" t="str">
        <f>HYPERLINK("http://www.ofsted.gov.uk/inspection-reports/find-inspection-report/provider/ELS/137794 ","Ofsted School Webpage")</f>
        <v>Ofsted School Webpage</v>
      </c>
      <c r="B798" s="92">
        <v>137794</v>
      </c>
      <c r="C798" s="92">
        <v>9252009</v>
      </c>
      <c r="D798" s="92" t="s">
        <v>2273</v>
      </c>
      <c r="E798" s="92" t="s">
        <v>94</v>
      </c>
      <c r="F798" s="92" t="s">
        <v>429</v>
      </c>
      <c r="G798" s="9">
        <v>40909</v>
      </c>
      <c r="H798" s="92" t="s">
        <v>271</v>
      </c>
      <c r="I798" s="92" t="s">
        <v>271</v>
      </c>
      <c r="J798" s="92" t="s">
        <v>273</v>
      </c>
      <c r="K798" s="92" t="s">
        <v>273</v>
      </c>
      <c r="L798" s="92" t="s">
        <v>274</v>
      </c>
      <c r="M798" s="92" t="s">
        <v>100</v>
      </c>
      <c r="N798" s="92" t="s">
        <v>100</v>
      </c>
      <c r="O798" s="92" t="s">
        <v>104</v>
      </c>
      <c r="P798" s="92" t="s">
        <v>2274</v>
      </c>
      <c r="Q798" s="92" t="s">
        <v>2275</v>
      </c>
      <c r="R798" s="92">
        <v>2</v>
      </c>
      <c r="S798" s="92">
        <v>398</v>
      </c>
      <c r="T798" s="9">
        <v>44147</v>
      </c>
      <c r="U798" s="9">
        <v>44178</v>
      </c>
    </row>
    <row r="799" spans="1:21" x14ac:dyDescent="0.2">
      <c r="A799" s="10" t="str">
        <f>HYPERLINK("http://www.ofsted.gov.uk/inspection-reports/find-inspection-report/provider/ELS/139142 ","Ofsted School Webpage")</f>
        <v>Ofsted School Webpage</v>
      </c>
      <c r="B799" s="92">
        <v>139142</v>
      </c>
      <c r="C799" s="92">
        <v>9252122</v>
      </c>
      <c r="D799" s="92" t="s">
        <v>2276</v>
      </c>
      <c r="E799" s="92" t="s">
        <v>94</v>
      </c>
      <c r="F799" s="92" t="s">
        <v>429</v>
      </c>
      <c r="G799" s="9">
        <v>41275</v>
      </c>
      <c r="H799" s="92" t="s">
        <v>271</v>
      </c>
      <c r="I799" s="92" t="s">
        <v>272</v>
      </c>
      <c r="J799" s="92" t="s">
        <v>273</v>
      </c>
      <c r="K799" s="92" t="s">
        <v>273</v>
      </c>
      <c r="L799" s="92" t="s">
        <v>274</v>
      </c>
      <c r="M799" s="92" t="s">
        <v>100</v>
      </c>
      <c r="N799" s="92" t="s">
        <v>100</v>
      </c>
      <c r="O799" s="92" t="s">
        <v>104</v>
      </c>
      <c r="P799" s="92" t="s">
        <v>2274</v>
      </c>
      <c r="Q799" s="92" t="s">
        <v>2277</v>
      </c>
      <c r="R799" s="92">
        <v>5</v>
      </c>
      <c r="S799" s="92">
        <v>86</v>
      </c>
      <c r="T799" s="9">
        <v>44147</v>
      </c>
      <c r="U799" s="9">
        <v>44175</v>
      </c>
    </row>
    <row r="800" spans="1:21" x14ac:dyDescent="0.2">
      <c r="A800" s="10" t="str">
        <f>HYPERLINK("http://www.ofsted.gov.uk/inspection-reports/find-inspection-report/provider/ELS/101239 ","Ofsted School Webpage")</f>
        <v>Ofsted School Webpage</v>
      </c>
      <c r="B800" s="92">
        <v>101239</v>
      </c>
      <c r="C800" s="92">
        <v>3013506</v>
      </c>
      <c r="D800" s="92" t="s">
        <v>2278</v>
      </c>
      <c r="E800" s="92" t="s">
        <v>94</v>
      </c>
      <c r="F800" s="92" t="s">
        <v>351</v>
      </c>
      <c r="G800" s="92" t="s">
        <v>270</v>
      </c>
      <c r="H800" s="92" t="s">
        <v>271</v>
      </c>
      <c r="I800" s="92" t="s">
        <v>272</v>
      </c>
      <c r="J800" s="92" t="s">
        <v>352</v>
      </c>
      <c r="K800" s="92" t="s">
        <v>273</v>
      </c>
      <c r="L800" s="92" t="s">
        <v>347</v>
      </c>
      <c r="M800" s="92" t="s">
        <v>122</v>
      </c>
      <c r="N800" s="92" t="s">
        <v>122</v>
      </c>
      <c r="O800" s="92" t="s">
        <v>140</v>
      </c>
      <c r="P800" s="92" t="s">
        <v>2279</v>
      </c>
      <c r="Q800" s="92" t="s">
        <v>2280</v>
      </c>
      <c r="R800" s="92">
        <v>4</v>
      </c>
      <c r="S800" s="92">
        <v>232</v>
      </c>
      <c r="T800" s="9">
        <v>44147</v>
      </c>
      <c r="U800" s="9">
        <v>44213</v>
      </c>
    </row>
    <row r="801" spans="1:21" x14ac:dyDescent="0.2">
      <c r="A801" s="10" t="str">
        <f>HYPERLINK("http://www.ofsted.gov.uk/inspection-reports/find-inspection-report/provider/ELS/122743 ","Ofsted School Webpage")</f>
        <v>Ofsted School Webpage</v>
      </c>
      <c r="B801" s="92">
        <v>122743</v>
      </c>
      <c r="C801" s="92">
        <v>8913018</v>
      </c>
      <c r="D801" s="92" t="s">
        <v>2281</v>
      </c>
      <c r="E801" s="92" t="s">
        <v>94</v>
      </c>
      <c r="F801" s="92" t="s">
        <v>345</v>
      </c>
      <c r="G801" s="92" t="s">
        <v>270</v>
      </c>
      <c r="H801" s="92" t="s">
        <v>271</v>
      </c>
      <c r="I801" s="92" t="s">
        <v>272</v>
      </c>
      <c r="J801" s="92" t="s">
        <v>346</v>
      </c>
      <c r="K801" s="92" t="s">
        <v>273</v>
      </c>
      <c r="L801" s="92" t="s">
        <v>347</v>
      </c>
      <c r="M801" s="92" t="s">
        <v>100</v>
      </c>
      <c r="N801" s="92" t="s">
        <v>100</v>
      </c>
      <c r="O801" s="92" t="s">
        <v>105</v>
      </c>
      <c r="P801" s="92" t="s">
        <v>2076</v>
      </c>
      <c r="Q801" s="92" t="s">
        <v>2282</v>
      </c>
      <c r="R801" s="92">
        <v>2</v>
      </c>
      <c r="S801" s="92">
        <v>210</v>
      </c>
      <c r="T801" s="9">
        <v>44147</v>
      </c>
      <c r="U801" s="9">
        <v>44168</v>
      </c>
    </row>
    <row r="802" spans="1:21" x14ac:dyDescent="0.2">
      <c r="A802" s="10" t="str">
        <f>HYPERLINK("http://www.ofsted.gov.uk/inspection-reports/find-inspection-report/provider/ELS/118687 ","Ofsted School Webpage")</f>
        <v>Ofsted School Webpage</v>
      </c>
      <c r="B802" s="92">
        <v>118687</v>
      </c>
      <c r="C802" s="92">
        <v>8863169</v>
      </c>
      <c r="D802" s="92" t="s">
        <v>2283</v>
      </c>
      <c r="E802" s="92" t="s">
        <v>94</v>
      </c>
      <c r="F802" s="92" t="s">
        <v>345</v>
      </c>
      <c r="G802" s="92" t="s">
        <v>270</v>
      </c>
      <c r="H802" s="92" t="s">
        <v>299</v>
      </c>
      <c r="I802" s="92" t="s">
        <v>272</v>
      </c>
      <c r="J802" s="92" t="s">
        <v>346</v>
      </c>
      <c r="K802" s="92" t="s">
        <v>273</v>
      </c>
      <c r="L802" s="92" t="s">
        <v>347</v>
      </c>
      <c r="M802" s="92" t="s">
        <v>192</v>
      </c>
      <c r="N802" s="92" t="s">
        <v>192</v>
      </c>
      <c r="O802" s="92" t="s">
        <v>194</v>
      </c>
      <c r="P802" s="92" t="s">
        <v>1778</v>
      </c>
      <c r="Q802" s="92" t="s">
        <v>2284</v>
      </c>
      <c r="R802" s="92">
        <v>3</v>
      </c>
      <c r="S802" s="92">
        <v>162</v>
      </c>
      <c r="T802" s="9">
        <v>44147</v>
      </c>
      <c r="U802" s="9">
        <v>44182</v>
      </c>
    </row>
    <row r="803" spans="1:21" x14ac:dyDescent="0.2">
      <c r="A803" s="10" t="str">
        <f>HYPERLINK("http://www.ofsted.gov.uk/inspection-reports/find-inspection-report/provider/ELS/103957 ","Ofsted School Webpage")</f>
        <v>Ofsted School Webpage</v>
      </c>
      <c r="B803" s="92">
        <v>103957</v>
      </c>
      <c r="C803" s="92">
        <v>3332148</v>
      </c>
      <c r="D803" s="92" t="s">
        <v>2285</v>
      </c>
      <c r="E803" s="92" t="s">
        <v>94</v>
      </c>
      <c r="F803" s="92" t="s">
        <v>397</v>
      </c>
      <c r="G803" s="92" t="s">
        <v>270</v>
      </c>
      <c r="H803" s="92" t="s">
        <v>271</v>
      </c>
      <c r="I803" s="92" t="s">
        <v>272</v>
      </c>
      <c r="J803" s="92" t="s">
        <v>273</v>
      </c>
      <c r="K803" s="92" t="s">
        <v>273</v>
      </c>
      <c r="L803" s="92" t="s">
        <v>274</v>
      </c>
      <c r="M803" s="92" t="s">
        <v>226</v>
      </c>
      <c r="N803" s="92" t="s">
        <v>226</v>
      </c>
      <c r="O803" s="92" t="s">
        <v>228</v>
      </c>
      <c r="P803" s="92" t="s">
        <v>2286</v>
      </c>
      <c r="Q803" s="92" t="s">
        <v>2287</v>
      </c>
      <c r="R803" s="92">
        <v>5</v>
      </c>
      <c r="S803" s="92">
        <v>405</v>
      </c>
      <c r="T803" s="9">
        <v>44147</v>
      </c>
      <c r="U803" s="9">
        <v>44166</v>
      </c>
    </row>
    <row r="804" spans="1:21" x14ac:dyDescent="0.2">
      <c r="A804" s="10" t="str">
        <f>HYPERLINK("http://www.ofsted.gov.uk/inspection-reports/find-inspection-report/provider/ELS/138799 ","Ofsted School Webpage")</f>
        <v>Ofsted School Webpage</v>
      </c>
      <c r="B804" s="92">
        <v>138799</v>
      </c>
      <c r="C804" s="92">
        <v>3302038</v>
      </c>
      <c r="D804" s="92" t="s">
        <v>2288</v>
      </c>
      <c r="E804" s="92" t="s">
        <v>94</v>
      </c>
      <c r="F804" s="92" t="s">
        <v>409</v>
      </c>
      <c r="G804" s="9">
        <v>41183</v>
      </c>
      <c r="H804" s="92" t="s">
        <v>271</v>
      </c>
      <c r="I804" s="92" t="s">
        <v>271</v>
      </c>
      <c r="J804" s="92" t="s">
        <v>410</v>
      </c>
      <c r="K804" s="92" t="s">
        <v>410</v>
      </c>
      <c r="L804" s="92" t="s">
        <v>274</v>
      </c>
      <c r="M804" s="92" t="s">
        <v>226</v>
      </c>
      <c r="N804" s="92" t="s">
        <v>226</v>
      </c>
      <c r="O804" s="92" t="s">
        <v>232</v>
      </c>
      <c r="P804" s="92" t="s">
        <v>1047</v>
      </c>
      <c r="Q804" s="92" t="s">
        <v>1048</v>
      </c>
      <c r="R804" s="92">
        <v>5</v>
      </c>
      <c r="S804" s="92">
        <v>860</v>
      </c>
      <c r="T804" s="9">
        <v>44147</v>
      </c>
      <c r="U804" s="9">
        <v>44168</v>
      </c>
    </row>
    <row r="805" spans="1:21" x14ac:dyDescent="0.2">
      <c r="A805" s="10" t="str">
        <f>HYPERLINK("http://www.ofsted.gov.uk/inspection-reports/find-inspection-report/provider/ELS/109435 ","Ofsted School Webpage")</f>
        <v>Ofsted School Webpage</v>
      </c>
      <c r="B805" s="92">
        <v>109435</v>
      </c>
      <c r="C805" s="92">
        <v>8222009</v>
      </c>
      <c r="D805" s="92" t="s">
        <v>2289</v>
      </c>
      <c r="E805" s="92" t="s">
        <v>94</v>
      </c>
      <c r="F805" s="92" t="s">
        <v>397</v>
      </c>
      <c r="G805" s="92" t="s">
        <v>270</v>
      </c>
      <c r="H805" s="92" t="s">
        <v>271</v>
      </c>
      <c r="I805" s="92" t="s">
        <v>272</v>
      </c>
      <c r="J805" s="92" t="s">
        <v>410</v>
      </c>
      <c r="K805" s="92" t="s">
        <v>273</v>
      </c>
      <c r="L805" s="92" t="s">
        <v>274</v>
      </c>
      <c r="M805" s="92" t="s">
        <v>110</v>
      </c>
      <c r="N805" s="92" t="s">
        <v>110</v>
      </c>
      <c r="O805" s="92" t="s">
        <v>111</v>
      </c>
      <c r="P805" s="92" t="s">
        <v>111</v>
      </c>
      <c r="Q805" s="92" t="s">
        <v>2290</v>
      </c>
      <c r="R805" s="92">
        <v>2</v>
      </c>
      <c r="S805" s="92">
        <v>679</v>
      </c>
      <c r="T805" s="9">
        <v>44147</v>
      </c>
      <c r="U805" s="9">
        <v>44171</v>
      </c>
    </row>
    <row r="806" spans="1:21" x14ac:dyDescent="0.2">
      <c r="A806" s="10" t="str">
        <f>HYPERLINK("http://www.ofsted.gov.uk/inspection-reports/find-inspection-report/provider/ELS/105203 ","Ofsted School Webpage")</f>
        <v>Ofsted School Webpage</v>
      </c>
      <c r="B806" s="92">
        <v>105203</v>
      </c>
      <c r="C806" s="92">
        <v>3503000</v>
      </c>
      <c r="D806" s="92" t="s">
        <v>2291</v>
      </c>
      <c r="E806" s="92" t="s">
        <v>94</v>
      </c>
      <c r="F806" s="92" t="s">
        <v>345</v>
      </c>
      <c r="G806" s="92" t="s">
        <v>270</v>
      </c>
      <c r="H806" s="92" t="s">
        <v>271</v>
      </c>
      <c r="I806" s="92" t="s">
        <v>272</v>
      </c>
      <c r="J806" s="92" t="s">
        <v>346</v>
      </c>
      <c r="K806" s="92" t="s">
        <v>273</v>
      </c>
      <c r="L806" s="92" t="s">
        <v>347</v>
      </c>
      <c r="M806" s="92" t="s">
        <v>168</v>
      </c>
      <c r="N806" s="92" t="s">
        <v>168</v>
      </c>
      <c r="O806" s="92" t="s">
        <v>187</v>
      </c>
      <c r="P806" s="92" t="s">
        <v>2292</v>
      </c>
      <c r="Q806" s="92" t="s">
        <v>2293</v>
      </c>
      <c r="R806" s="92">
        <v>5</v>
      </c>
      <c r="S806" s="92">
        <v>466</v>
      </c>
      <c r="T806" s="9">
        <v>44147</v>
      </c>
      <c r="U806" s="9">
        <v>44166</v>
      </c>
    </row>
    <row r="807" spans="1:21" x14ac:dyDescent="0.2">
      <c r="A807" s="10" t="str">
        <f>HYPERLINK("http://www.ofsted.gov.uk/inspection-reports/find-inspection-report/provider/ELS/114951 ","Ofsted School Webpage")</f>
        <v>Ofsted School Webpage</v>
      </c>
      <c r="B807" s="92">
        <v>114951</v>
      </c>
      <c r="C807" s="92">
        <v>8815276</v>
      </c>
      <c r="D807" s="92" t="s">
        <v>2294</v>
      </c>
      <c r="E807" s="92" t="s">
        <v>94</v>
      </c>
      <c r="F807" s="92" t="s">
        <v>397</v>
      </c>
      <c r="G807" s="92" t="s">
        <v>270</v>
      </c>
      <c r="H807" s="92" t="s">
        <v>271</v>
      </c>
      <c r="I807" s="92" t="s">
        <v>272</v>
      </c>
      <c r="J807" s="92" t="s">
        <v>410</v>
      </c>
      <c r="K807" s="92" t="s">
        <v>273</v>
      </c>
      <c r="L807" s="92" t="s">
        <v>274</v>
      </c>
      <c r="M807" s="92" t="s">
        <v>110</v>
      </c>
      <c r="N807" s="92" t="s">
        <v>110</v>
      </c>
      <c r="O807" s="92" t="s">
        <v>119</v>
      </c>
      <c r="P807" s="92" t="s">
        <v>1076</v>
      </c>
      <c r="Q807" s="92" t="s">
        <v>2295</v>
      </c>
      <c r="R807" s="92">
        <v>3</v>
      </c>
      <c r="S807" s="92">
        <v>255</v>
      </c>
      <c r="T807" s="9">
        <v>44147</v>
      </c>
      <c r="U807" s="9">
        <v>44171</v>
      </c>
    </row>
    <row r="808" spans="1:21" x14ac:dyDescent="0.2">
      <c r="A808" s="10" t="str">
        <f>HYPERLINK("http://www.ofsted.gov.uk/inspection-reports/find-inspection-report/provider/ELS/100197 ","Ofsted School Webpage")</f>
        <v>Ofsted School Webpage</v>
      </c>
      <c r="B808" s="92">
        <v>100197</v>
      </c>
      <c r="C808" s="92">
        <v>2035200</v>
      </c>
      <c r="D808" s="92" t="s">
        <v>2296</v>
      </c>
      <c r="E808" s="92" t="s">
        <v>94</v>
      </c>
      <c r="F808" s="92" t="s">
        <v>397</v>
      </c>
      <c r="G808" s="92" t="s">
        <v>270</v>
      </c>
      <c r="H808" s="92" t="s">
        <v>271</v>
      </c>
      <c r="I808" s="92" t="s">
        <v>272</v>
      </c>
      <c r="J808" s="92" t="s">
        <v>410</v>
      </c>
      <c r="K808" s="92" t="s">
        <v>273</v>
      </c>
      <c r="L808" s="92" t="s">
        <v>274</v>
      </c>
      <c r="M808" s="92" t="s">
        <v>122</v>
      </c>
      <c r="N808" s="92" t="s">
        <v>122</v>
      </c>
      <c r="O808" s="92" t="s">
        <v>142</v>
      </c>
      <c r="P808" s="92" t="s">
        <v>601</v>
      </c>
      <c r="Q808" s="92" t="s">
        <v>2297</v>
      </c>
      <c r="R808" s="92">
        <v>4</v>
      </c>
      <c r="S808" s="92">
        <v>538</v>
      </c>
      <c r="T808" s="9">
        <v>44147</v>
      </c>
      <c r="U808" s="9">
        <v>44213</v>
      </c>
    </row>
    <row r="809" spans="1:21" x14ac:dyDescent="0.2">
      <c r="A809" s="10" t="str">
        <f>HYPERLINK("http://www.ofsted.gov.uk/inspection-reports/find-inspection-report/provider/ELS/131189 ","Ofsted School Webpage")</f>
        <v>Ofsted School Webpage</v>
      </c>
      <c r="B809" s="92">
        <v>131189</v>
      </c>
      <c r="C809" s="92">
        <v>9381109</v>
      </c>
      <c r="D809" s="92" t="s">
        <v>2298</v>
      </c>
      <c r="E809" s="92" t="s">
        <v>98</v>
      </c>
      <c r="F809" s="92" t="s">
        <v>405</v>
      </c>
      <c r="G809" s="9">
        <v>38720</v>
      </c>
      <c r="H809" s="92" t="s">
        <v>271</v>
      </c>
      <c r="I809" s="92" t="s">
        <v>271</v>
      </c>
      <c r="J809" s="92" t="s">
        <v>273</v>
      </c>
      <c r="K809" s="92" t="s">
        <v>273</v>
      </c>
      <c r="L809" s="92" t="s">
        <v>274</v>
      </c>
      <c r="M809" s="92" t="s">
        <v>192</v>
      </c>
      <c r="N809" s="92" t="s">
        <v>192</v>
      </c>
      <c r="O809" s="92" t="s">
        <v>200</v>
      </c>
      <c r="P809" s="92" t="s">
        <v>2299</v>
      </c>
      <c r="Q809" s="92" t="s">
        <v>2300</v>
      </c>
      <c r="R809" s="92" t="s">
        <v>270</v>
      </c>
      <c r="S809" s="92">
        <v>0</v>
      </c>
      <c r="T809" s="9">
        <v>44147</v>
      </c>
      <c r="U809" s="9">
        <v>44174</v>
      </c>
    </row>
    <row r="810" spans="1:21" x14ac:dyDescent="0.2">
      <c r="A810" s="10" t="str">
        <f>HYPERLINK("http://www.ofsted.gov.uk/inspection-reports/find-inspection-report/provider/ELS/130981 ","Ofsted School Webpage")</f>
        <v>Ofsted School Webpage</v>
      </c>
      <c r="B810" s="92">
        <v>130981</v>
      </c>
      <c r="C810" s="92">
        <v>3841101</v>
      </c>
      <c r="D810" s="92" t="s">
        <v>2301</v>
      </c>
      <c r="E810" s="92" t="s">
        <v>98</v>
      </c>
      <c r="F810" s="92" t="s">
        <v>405</v>
      </c>
      <c r="G810" s="92" t="s">
        <v>270</v>
      </c>
      <c r="H810" s="92" t="s">
        <v>271</v>
      </c>
      <c r="I810" s="92" t="s">
        <v>271</v>
      </c>
      <c r="J810" s="92" t="s">
        <v>273</v>
      </c>
      <c r="K810" s="92" t="s">
        <v>273</v>
      </c>
      <c r="L810" s="92" t="s">
        <v>274</v>
      </c>
      <c r="M810" s="92" t="s">
        <v>261</v>
      </c>
      <c r="N810" s="92" t="s">
        <v>241</v>
      </c>
      <c r="O810" s="92" t="s">
        <v>246</v>
      </c>
      <c r="P810" s="92" t="s">
        <v>246</v>
      </c>
      <c r="Q810" s="92" t="s">
        <v>2302</v>
      </c>
      <c r="R810" s="92">
        <v>4</v>
      </c>
      <c r="S810" s="92">
        <v>54</v>
      </c>
      <c r="T810" s="9">
        <v>44147</v>
      </c>
      <c r="U810" s="9">
        <v>44174</v>
      </c>
    </row>
    <row r="811" spans="1:21" x14ac:dyDescent="0.2">
      <c r="A811" s="10" t="str">
        <f>HYPERLINK("http://www.ofsted.gov.uk/inspection-reports/find-inspection-report/provider/ELS/137035 ","Ofsted School Webpage")</f>
        <v>Ofsted School Webpage</v>
      </c>
      <c r="B811" s="92">
        <v>137035</v>
      </c>
      <c r="C811" s="92">
        <v>3052011</v>
      </c>
      <c r="D811" s="92" t="s">
        <v>2303</v>
      </c>
      <c r="E811" s="92" t="s">
        <v>94</v>
      </c>
      <c r="F811" s="92" t="s">
        <v>429</v>
      </c>
      <c r="G811" s="9">
        <v>40756</v>
      </c>
      <c r="H811" s="92" t="s">
        <v>271</v>
      </c>
      <c r="I811" s="92" t="s">
        <v>271</v>
      </c>
      <c r="J811" s="92" t="s">
        <v>273</v>
      </c>
      <c r="K811" s="92" t="s">
        <v>273</v>
      </c>
      <c r="L811" s="92" t="s">
        <v>274</v>
      </c>
      <c r="M811" s="92" t="s">
        <v>122</v>
      </c>
      <c r="N811" s="92" t="s">
        <v>122</v>
      </c>
      <c r="O811" s="92" t="s">
        <v>139</v>
      </c>
      <c r="P811" s="92" t="s">
        <v>723</v>
      </c>
      <c r="Q811" s="92" t="s">
        <v>2304</v>
      </c>
      <c r="R811" s="92">
        <v>3</v>
      </c>
      <c r="S811" s="92">
        <v>466</v>
      </c>
      <c r="T811" s="9">
        <v>44147</v>
      </c>
      <c r="U811" s="9">
        <v>44213</v>
      </c>
    </row>
    <row r="812" spans="1:21" x14ac:dyDescent="0.2">
      <c r="A812" s="10" t="str">
        <f>HYPERLINK("http://www.ofsted.gov.uk/inspection-reports/find-inspection-report/provider/ELS/140349 ","Ofsted School Webpage")</f>
        <v>Ofsted School Webpage</v>
      </c>
      <c r="B812" s="92">
        <v>140349</v>
      </c>
      <c r="C812" s="92">
        <v>9362027</v>
      </c>
      <c r="D812" s="92" t="s">
        <v>2305</v>
      </c>
      <c r="E812" s="92" t="s">
        <v>94</v>
      </c>
      <c r="F812" s="92" t="s">
        <v>409</v>
      </c>
      <c r="G812" s="9">
        <v>41609</v>
      </c>
      <c r="H812" s="92" t="s">
        <v>271</v>
      </c>
      <c r="I812" s="92" t="s">
        <v>272</v>
      </c>
      <c r="J812" s="92" t="s">
        <v>273</v>
      </c>
      <c r="K812" s="92" t="s">
        <v>410</v>
      </c>
      <c r="L812" s="92" t="s">
        <v>274</v>
      </c>
      <c r="M812" s="92" t="s">
        <v>192</v>
      </c>
      <c r="N812" s="92" t="s">
        <v>192</v>
      </c>
      <c r="O812" s="92" t="s">
        <v>198</v>
      </c>
      <c r="P812" s="92" t="s">
        <v>862</v>
      </c>
      <c r="Q812" s="92" t="s">
        <v>2306</v>
      </c>
      <c r="R812" s="92">
        <v>4</v>
      </c>
      <c r="S812" s="92">
        <v>211</v>
      </c>
      <c r="T812" s="9">
        <v>44147</v>
      </c>
      <c r="U812" s="9">
        <v>44200</v>
      </c>
    </row>
    <row r="813" spans="1:21" x14ac:dyDescent="0.2">
      <c r="A813" s="10" t="str">
        <f>HYPERLINK("http://www.ofsted.gov.uk/inspection-reports/find-inspection-report/provider/ELS/137065 ","Ofsted School Webpage")</f>
        <v>Ofsted School Webpage</v>
      </c>
      <c r="B813" s="92">
        <v>137065</v>
      </c>
      <c r="C813" s="92">
        <v>3834065</v>
      </c>
      <c r="D813" s="92" t="s">
        <v>2307</v>
      </c>
      <c r="E813" s="92" t="s">
        <v>95</v>
      </c>
      <c r="F813" s="92" t="s">
        <v>409</v>
      </c>
      <c r="G813" s="9">
        <v>41153</v>
      </c>
      <c r="H813" s="92" t="s">
        <v>299</v>
      </c>
      <c r="I813" s="92" t="s">
        <v>300</v>
      </c>
      <c r="J813" s="92" t="s">
        <v>273</v>
      </c>
      <c r="K813" s="92" t="s">
        <v>410</v>
      </c>
      <c r="L813" s="92" t="s">
        <v>274</v>
      </c>
      <c r="M813" s="92" t="s">
        <v>261</v>
      </c>
      <c r="N813" s="92" t="s">
        <v>241</v>
      </c>
      <c r="O813" s="92" t="s">
        <v>244</v>
      </c>
      <c r="P813" s="92" t="s">
        <v>2130</v>
      </c>
      <c r="Q813" s="92" t="s">
        <v>2308</v>
      </c>
      <c r="R813" s="92">
        <v>5</v>
      </c>
      <c r="S813" s="92">
        <v>932</v>
      </c>
      <c r="T813" s="9">
        <v>44147</v>
      </c>
      <c r="U813" s="9">
        <v>44171</v>
      </c>
    </row>
    <row r="814" spans="1:21" x14ac:dyDescent="0.2">
      <c r="A814" s="10" t="str">
        <f>HYPERLINK("http://www.ofsted.gov.uk/inspection-reports/find-inspection-report/provider/ELS/103623 ","Ofsted School Webpage")</f>
        <v>Ofsted School Webpage</v>
      </c>
      <c r="B814" s="92">
        <v>103623</v>
      </c>
      <c r="C814" s="92">
        <v>3307047</v>
      </c>
      <c r="D814" s="92" t="s">
        <v>2309</v>
      </c>
      <c r="E814" s="92" t="s">
        <v>96</v>
      </c>
      <c r="F814" s="92" t="s">
        <v>401</v>
      </c>
      <c r="G814" s="92" t="s">
        <v>270</v>
      </c>
      <c r="H814" s="92" t="s">
        <v>271</v>
      </c>
      <c r="I814" s="92" t="s">
        <v>271</v>
      </c>
      <c r="J814" s="92" t="s">
        <v>273</v>
      </c>
      <c r="K814" s="92" t="s">
        <v>273</v>
      </c>
      <c r="L814" s="92" t="s">
        <v>274</v>
      </c>
      <c r="M814" s="92" t="s">
        <v>226</v>
      </c>
      <c r="N814" s="92" t="s">
        <v>226</v>
      </c>
      <c r="O814" s="92" t="s">
        <v>232</v>
      </c>
      <c r="P814" s="92" t="s">
        <v>1322</v>
      </c>
      <c r="Q814" s="92" t="s">
        <v>2310</v>
      </c>
      <c r="R814" s="92">
        <v>5</v>
      </c>
      <c r="S814" s="92">
        <v>96</v>
      </c>
      <c r="T814" s="9">
        <v>44147</v>
      </c>
      <c r="U814" s="9">
        <v>44181</v>
      </c>
    </row>
    <row r="815" spans="1:21" x14ac:dyDescent="0.2">
      <c r="A815" s="10" t="str">
        <f>HYPERLINK("http://www.ofsted.gov.uk/inspection-reports/find-inspection-report/provider/ELS/141548 ","Ofsted School Webpage")</f>
        <v>Ofsted School Webpage</v>
      </c>
      <c r="B815" s="92">
        <v>141548</v>
      </c>
      <c r="C815" s="92">
        <v>8862055</v>
      </c>
      <c r="D815" s="92" t="s">
        <v>2311</v>
      </c>
      <c r="E815" s="92" t="s">
        <v>94</v>
      </c>
      <c r="F815" s="92" t="s">
        <v>409</v>
      </c>
      <c r="G815" s="9">
        <v>41944</v>
      </c>
      <c r="H815" s="92" t="s">
        <v>271</v>
      </c>
      <c r="I815" s="92" t="s">
        <v>272</v>
      </c>
      <c r="J815" s="92" t="s">
        <v>273</v>
      </c>
      <c r="K815" s="92" t="s">
        <v>410</v>
      </c>
      <c r="L815" s="92" t="s">
        <v>274</v>
      </c>
      <c r="M815" s="92" t="s">
        <v>192</v>
      </c>
      <c r="N815" s="92" t="s">
        <v>192</v>
      </c>
      <c r="O815" s="92" t="s">
        <v>194</v>
      </c>
      <c r="P815" s="92" t="s">
        <v>1218</v>
      </c>
      <c r="Q815" s="92" t="s">
        <v>2312</v>
      </c>
      <c r="R815" s="92">
        <v>4</v>
      </c>
      <c r="S815" s="92">
        <v>411</v>
      </c>
      <c r="T815" s="9">
        <v>44147</v>
      </c>
      <c r="U815" s="9">
        <v>44213</v>
      </c>
    </row>
    <row r="816" spans="1:21" x14ac:dyDescent="0.2">
      <c r="A816" s="10" t="str">
        <f>HYPERLINK("http://www.ofsted.gov.uk/inspection-reports/find-inspection-report/provider/ELS/114706 ","Ofsted School Webpage")</f>
        <v>Ofsted School Webpage</v>
      </c>
      <c r="B816" s="92">
        <v>114706</v>
      </c>
      <c r="C816" s="92">
        <v>8812003</v>
      </c>
      <c r="D816" s="92" t="s">
        <v>2313</v>
      </c>
      <c r="E816" s="92" t="s">
        <v>94</v>
      </c>
      <c r="F816" s="92" t="s">
        <v>269</v>
      </c>
      <c r="G816" s="92" t="s">
        <v>270</v>
      </c>
      <c r="H816" s="92" t="s">
        <v>271</v>
      </c>
      <c r="I816" s="92" t="s">
        <v>272</v>
      </c>
      <c r="J816" s="92" t="s">
        <v>273</v>
      </c>
      <c r="K816" s="92" t="s">
        <v>273</v>
      </c>
      <c r="L816" s="92" t="s">
        <v>274</v>
      </c>
      <c r="M816" s="92" t="s">
        <v>110</v>
      </c>
      <c r="N816" s="92" t="s">
        <v>110</v>
      </c>
      <c r="O816" s="92" t="s">
        <v>119</v>
      </c>
      <c r="P816" s="92" t="s">
        <v>2167</v>
      </c>
      <c r="Q816" s="92" t="s">
        <v>2314</v>
      </c>
      <c r="R816" s="92">
        <v>2</v>
      </c>
      <c r="S816" s="92">
        <v>421</v>
      </c>
      <c r="T816" s="9">
        <v>44147</v>
      </c>
      <c r="U816" s="9">
        <v>44175</v>
      </c>
    </row>
    <row r="817" spans="1:21" x14ac:dyDescent="0.2">
      <c r="A817" s="10" t="str">
        <f>HYPERLINK("http://www.ofsted.gov.uk/inspection-reports/find-inspection-report/provider/ELS/121310 ","Ofsted School Webpage")</f>
        <v>Ofsted School Webpage</v>
      </c>
      <c r="B817" s="92">
        <v>121310</v>
      </c>
      <c r="C817" s="92">
        <v>8152083</v>
      </c>
      <c r="D817" s="92" t="s">
        <v>2315</v>
      </c>
      <c r="E817" s="92" t="s">
        <v>94</v>
      </c>
      <c r="F817" s="92" t="s">
        <v>269</v>
      </c>
      <c r="G817" s="92" t="s">
        <v>270</v>
      </c>
      <c r="H817" s="92" t="s">
        <v>271</v>
      </c>
      <c r="I817" s="92" t="s">
        <v>272</v>
      </c>
      <c r="J817" s="92" t="s">
        <v>273</v>
      </c>
      <c r="K817" s="92" t="s">
        <v>273</v>
      </c>
      <c r="L817" s="92" t="s">
        <v>274</v>
      </c>
      <c r="M817" s="92" t="s">
        <v>261</v>
      </c>
      <c r="N817" s="92" t="s">
        <v>241</v>
      </c>
      <c r="O817" s="92" t="s">
        <v>247</v>
      </c>
      <c r="P817" s="92" t="s">
        <v>638</v>
      </c>
      <c r="Q817" s="92" t="s">
        <v>2316</v>
      </c>
      <c r="R817" s="92">
        <v>1</v>
      </c>
      <c r="S817" s="92">
        <v>42</v>
      </c>
      <c r="T817" s="9">
        <v>44147</v>
      </c>
      <c r="U817" s="9">
        <v>44173</v>
      </c>
    </row>
    <row r="818" spans="1:21" x14ac:dyDescent="0.2">
      <c r="A818" s="10" t="str">
        <f>HYPERLINK("http://www.ofsted.gov.uk/inspection-reports/find-inspection-report/provider/ELS/121901 ","Ofsted School Webpage")</f>
        <v>Ofsted School Webpage</v>
      </c>
      <c r="B818" s="92">
        <v>121901</v>
      </c>
      <c r="C818" s="92">
        <v>9282144</v>
      </c>
      <c r="D818" s="92" t="s">
        <v>2317</v>
      </c>
      <c r="E818" s="92" t="s">
        <v>94</v>
      </c>
      <c r="F818" s="92" t="s">
        <v>269</v>
      </c>
      <c r="G818" s="92" t="s">
        <v>270</v>
      </c>
      <c r="H818" s="92" t="s">
        <v>271</v>
      </c>
      <c r="I818" s="92" t="s">
        <v>272</v>
      </c>
      <c r="J818" s="92" t="s">
        <v>273</v>
      </c>
      <c r="K818" s="92" t="s">
        <v>273</v>
      </c>
      <c r="L818" s="92" t="s">
        <v>274</v>
      </c>
      <c r="M818" s="92" t="s">
        <v>100</v>
      </c>
      <c r="N818" s="92" t="s">
        <v>100</v>
      </c>
      <c r="O818" s="92" t="s">
        <v>107</v>
      </c>
      <c r="P818" s="92" t="s">
        <v>1972</v>
      </c>
      <c r="Q818" s="92" t="s">
        <v>2318</v>
      </c>
      <c r="R818" s="92">
        <v>3</v>
      </c>
      <c r="S818" s="92">
        <v>372</v>
      </c>
      <c r="T818" s="9">
        <v>44147</v>
      </c>
      <c r="U818" s="9">
        <v>44166</v>
      </c>
    </row>
    <row r="819" spans="1:21" x14ac:dyDescent="0.2">
      <c r="A819" s="10" t="str">
        <f>HYPERLINK("http://www.ofsted.gov.uk/inspection-reports/find-inspection-report/provider/ELS/134788 ","Ofsted School Webpage")</f>
        <v>Ofsted School Webpage</v>
      </c>
      <c r="B819" s="92">
        <v>134788</v>
      </c>
      <c r="C819" s="92">
        <v>8653464</v>
      </c>
      <c r="D819" s="92" t="s">
        <v>2319</v>
      </c>
      <c r="E819" s="92" t="s">
        <v>94</v>
      </c>
      <c r="F819" s="92" t="s">
        <v>269</v>
      </c>
      <c r="G819" s="9">
        <v>40787</v>
      </c>
      <c r="H819" s="92" t="s">
        <v>271</v>
      </c>
      <c r="I819" s="92" t="s">
        <v>272</v>
      </c>
      <c r="J819" s="92" t="s">
        <v>273</v>
      </c>
      <c r="K819" s="92" t="s">
        <v>273</v>
      </c>
      <c r="L819" s="92" t="s">
        <v>274</v>
      </c>
      <c r="M819" s="92" t="s">
        <v>211</v>
      </c>
      <c r="N819" s="92" t="s">
        <v>211</v>
      </c>
      <c r="O819" s="92" t="s">
        <v>225</v>
      </c>
      <c r="P819" s="92" t="s">
        <v>1746</v>
      </c>
      <c r="Q819" s="92" t="s">
        <v>2320</v>
      </c>
      <c r="R819" s="92">
        <v>3</v>
      </c>
      <c r="S819" s="92">
        <v>257</v>
      </c>
      <c r="T819" s="9">
        <v>44147</v>
      </c>
      <c r="U819" s="9">
        <v>44172</v>
      </c>
    </row>
    <row r="820" spans="1:21" x14ac:dyDescent="0.2">
      <c r="A820" s="10" t="str">
        <f>HYPERLINK("http://www.ofsted.gov.uk/inspection-reports/find-inspection-report/provider/ELS/100407 ","Ofsted School Webpage")</f>
        <v>Ofsted School Webpage</v>
      </c>
      <c r="B820" s="92">
        <v>100407</v>
      </c>
      <c r="C820" s="92">
        <v>2062279</v>
      </c>
      <c r="D820" s="92" t="s">
        <v>2321</v>
      </c>
      <c r="E820" s="92" t="s">
        <v>94</v>
      </c>
      <c r="F820" s="92" t="s">
        <v>269</v>
      </c>
      <c r="G820" s="92" t="s">
        <v>270</v>
      </c>
      <c r="H820" s="92" t="s">
        <v>271</v>
      </c>
      <c r="I820" s="92" t="s">
        <v>272</v>
      </c>
      <c r="J820" s="92" t="s">
        <v>273</v>
      </c>
      <c r="K820" s="92" t="s">
        <v>273</v>
      </c>
      <c r="L820" s="92" t="s">
        <v>274</v>
      </c>
      <c r="M820" s="92" t="s">
        <v>122</v>
      </c>
      <c r="N820" s="92" t="s">
        <v>122</v>
      </c>
      <c r="O820" s="92" t="s">
        <v>133</v>
      </c>
      <c r="P820" s="92" t="s">
        <v>553</v>
      </c>
      <c r="Q820" s="92" t="s">
        <v>2322</v>
      </c>
      <c r="R820" s="92">
        <v>5</v>
      </c>
      <c r="S820" s="92">
        <v>329</v>
      </c>
      <c r="T820" s="9">
        <v>44147</v>
      </c>
      <c r="U820" s="9">
        <v>44213</v>
      </c>
    </row>
    <row r="821" spans="1:21" x14ac:dyDescent="0.2">
      <c r="A821" s="10" t="str">
        <f>HYPERLINK("http://www.ofsted.gov.uk/inspection-reports/find-inspection-report/provider/ELS/105788 ","Ofsted School Webpage")</f>
        <v>Ofsted School Webpage</v>
      </c>
      <c r="B821" s="92">
        <v>105788</v>
      </c>
      <c r="C821" s="92">
        <v>3542043</v>
      </c>
      <c r="D821" s="92" t="s">
        <v>2323</v>
      </c>
      <c r="E821" s="92" t="s">
        <v>94</v>
      </c>
      <c r="F821" s="92" t="s">
        <v>269</v>
      </c>
      <c r="G821" s="92" t="s">
        <v>270</v>
      </c>
      <c r="H821" s="92" t="s">
        <v>271</v>
      </c>
      <c r="I821" s="92" t="s">
        <v>272</v>
      </c>
      <c r="J821" s="92" t="s">
        <v>273</v>
      </c>
      <c r="K821" s="92" t="s">
        <v>273</v>
      </c>
      <c r="L821" s="92" t="s">
        <v>274</v>
      </c>
      <c r="M821" s="92" t="s">
        <v>168</v>
      </c>
      <c r="N821" s="92" t="s">
        <v>168</v>
      </c>
      <c r="O821" s="92" t="s">
        <v>173</v>
      </c>
      <c r="P821" s="92" t="s">
        <v>173</v>
      </c>
      <c r="Q821" s="92" t="s">
        <v>2324</v>
      </c>
      <c r="R821" s="92">
        <v>5</v>
      </c>
      <c r="S821" s="92">
        <v>250</v>
      </c>
      <c r="T821" s="9">
        <v>44147</v>
      </c>
      <c r="U821" s="9">
        <v>44179</v>
      </c>
    </row>
    <row r="822" spans="1:21" x14ac:dyDescent="0.2">
      <c r="A822" s="10" t="str">
        <f>HYPERLINK("http://www.ofsted.gov.uk/inspection-reports/find-inspection-report/provider/ELS/125931 ","Ofsted School Webpage")</f>
        <v>Ofsted School Webpage</v>
      </c>
      <c r="B822" s="92">
        <v>125931</v>
      </c>
      <c r="C822" s="92">
        <v>9382202</v>
      </c>
      <c r="D822" s="92" t="s">
        <v>2325</v>
      </c>
      <c r="E822" s="92" t="s">
        <v>94</v>
      </c>
      <c r="F822" s="92" t="s">
        <v>269</v>
      </c>
      <c r="G822" s="92" t="s">
        <v>270</v>
      </c>
      <c r="H822" s="92" t="s">
        <v>271</v>
      </c>
      <c r="I822" s="92" t="s">
        <v>272</v>
      </c>
      <c r="J822" s="92" t="s">
        <v>273</v>
      </c>
      <c r="K822" s="92" t="s">
        <v>273</v>
      </c>
      <c r="L822" s="92" t="s">
        <v>274</v>
      </c>
      <c r="M822" s="92" t="s">
        <v>192</v>
      </c>
      <c r="N822" s="92" t="s">
        <v>192</v>
      </c>
      <c r="O822" s="92" t="s">
        <v>200</v>
      </c>
      <c r="P822" s="92" t="s">
        <v>2299</v>
      </c>
      <c r="Q822" s="92" t="s">
        <v>2326</v>
      </c>
      <c r="R822" s="92">
        <v>1</v>
      </c>
      <c r="S822" s="92">
        <v>392</v>
      </c>
      <c r="T822" s="9">
        <v>44147</v>
      </c>
      <c r="U822" s="9">
        <v>44209</v>
      </c>
    </row>
    <row r="823" spans="1:21" x14ac:dyDescent="0.2">
      <c r="A823" s="10" t="str">
        <f>HYPERLINK("http://www.ofsted.gov.uk/inspection-reports/find-inspection-report/provider/ELS/117733 ","Ofsted School Webpage")</f>
        <v>Ofsted School Webpage</v>
      </c>
      <c r="B823" s="92">
        <v>117733</v>
      </c>
      <c r="C823" s="92">
        <v>8122113</v>
      </c>
      <c r="D823" s="92" t="s">
        <v>2327</v>
      </c>
      <c r="E823" s="92" t="s">
        <v>94</v>
      </c>
      <c r="F823" s="92" t="s">
        <v>269</v>
      </c>
      <c r="G823" s="92" t="s">
        <v>270</v>
      </c>
      <c r="H823" s="92" t="s">
        <v>271</v>
      </c>
      <c r="I823" s="92" t="s">
        <v>272</v>
      </c>
      <c r="J823" s="92" t="s">
        <v>273</v>
      </c>
      <c r="K823" s="92" t="s">
        <v>273</v>
      </c>
      <c r="L823" s="92" t="s">
        <v>274</v>
      </c>
      <c r="M823" s="92" t="s">
        <v>261</v>
      </c>
      <c r="N823" s="92" t="s">
        <v>241</v>
      </c>
      <c r="O823" s="92" t="s">
        <v>254</v>
      </c>
      <c r="P823" s="92" t="s">
        <v>2328</v>
      </c>
      <c r="Q823" s="92" t="s">
        <v>2329</v>
      </c>
      <c r="R823" s="92">
        <v>5</v>
      </c>
      <c r="S823" s="92">
        <v>312</v>
      </c>
      <c r="T823" s="9">
        <v>44147</v>
      </c>
      <c r="U823" s="9">
        <v>44171</v>
      </c>
    </row>
    <row r="824" spans="1:21" x14ac:dyDescent="0.2">
      <c r="A824" s="10" t="str">
        <f>HYPERLINK("http://www.ofsted.gov.uk/inspection-reports/find-inspection-report/provider/ELS/104775 ","Ofsted School Webpage")</f>
        <v>Ofsted School Webpage</v>
      </c>
      <c r="B824" s="92">
        <v>104775</v>
      </c>
      <c r="C824" s="92">
        <v>3422056</v>
      </c>
      <c r="D824" s="92" t="s">
        <v>2330</v>
      </c>
      <c r="E824" s="92" t="s">
        <v>94</v>
      </c>
      <c r="F824" s="92" t="s">
        <v>269</v>
      </c>
      <c r="G824" s="92" t="s">
        <v>270</v>
      </c>
      <c r="H824" s="92" t="s">
        <v>271</v>
      </c>
      <c r="I824" s="92" t="s">
        <v>272</v>
      </c>
      <c r="J824" s="92" t="s">
        <v>273</v>
      </c>
      <c r="K824" s="92" t="s">
        <v>273</v>
      </c>
      <c r="L824" s="92" t="s">
        <v>274</v>
      </c>
      <c r="M824" s="92" t="s">
        <v>168</v>
      </c>
      <c r="N824" s="92" t="s">
        <v>168</v>
      </c>
      <c r="O824" s="92" t="s">
        <v>182</v>
      </c>
      <c r="P824" s="92" t="s">
        <v>801</v>
      </c>
      <c r="Q824" s="92" t="s">
        <v>2331</v>
      </c>
      <c r="R824" s="92">
        <v>4</v>
      </c>
      <c r="S824" s="92">
        <v>600</v>
      </c>
      <c r="T824" s="9">
        <v>44147</v>
      </c>
      <c r="U824" s="9">
        <v>44178</v>
      </c>
    </row>
    <row r="825" spans="1:21" x14ac:dyDescent="0.2">
      <c r="A825" s="10" t="str">
        <f>HYPERLINK("http://www.ofsted.gov.uk/inspection-reports/find-inspection-report/provider/ELS/116078 ","Ofsted School Webpage")</f>
        <v>Ofsted School Webpage</v>
      </c>
      <c r="B825" s="92">
        <v>116078</v>
      </c>
      <c r="C825" s="92">
        <v>8502387</v>
      </c>
      <c r="D825" s="92" t="s">
        <v>959</v>
      </c>
      <c r="E825" s="92" t="s">
        <v>94</v>
      </c>
      <c r="F825" s="92" t="s">
        <v>269</v>
      </c>
      <c r="G825" s="92" t="s">
        <v>270</v>
      </c>
      <c r="H825" s="92" t="s">
        <v>271</v>
      </c>
      <c r="I825" s="92" t="s">
        <v>272</v>
      </c>
      <c r="J825" s="92" t="s">
        <v>273</v>
      </c>
      <c r="K825" s="92" t="s">
        <v>273</v>
      </c>
      <c r="L825" s="92" t="s">
        <v>274</v>
      </c>
      <c r="M825" s="92" t="s">
        <v>192</v>
      </c>
      <c r="N825" s="92" t="s">
        <v>192</v>
      </c>
      <c r="O825" s="92" t="s">
        <v>193</v>
      </c>
      <c r="P825" s="92" t="s">
        <v>2332</v>
      </c>
      <c r="Q825" s="92" t="s">
        <v>2333</v>
      </c>
      <c r="R825" s="92">
        <v>3</v>
      </c>
      <c r="S825" s="92">
        <v>401</v>
      </c>
      <c r="T825" s="9">
        <v>44147</v>
      </c>
      <c r="U825" s="9">
        <v>44167</v>
      </c>
    </row>
    <row r="826" spans="1:21" x14ac:dyDescent="0.2">
      <c r="A826" s="10" t="str">
        <f>HYPERLINK("http://www.ofsted.gov.uk/inspection-reports/find-inspection-report/provider/ELS/104863 ","Ofsted School Webpage")</f>
        <v>Ofsted School Webpage</v>
      </c>
      <c r="B826" s="92">
        <v>104863</v>
      </c>
      <c r="C826" s="92">
        <v>3432035</v>
      </c>
      <c r="D826" s="92" t="s">
        <v>2334</v>
      </c>
      <c r="E826" s="92" t="s">
        <v>94</v>
      </c>
      <c r="F826" s="92" t="s">
        <v>269</v>
      </c>
      <c r="G826" s="92" t="s">
        <v>270</v>
      </c>
      <c r="H826" s="92" t="s">
        <v>271</v>
      </c>
      <c r="I826" s="92" t="s">
        <v>272</v>
      </c>
      <c r="J826" s="92" t="s">
        <v>273</v>
      </c>
      <c r="K826" s="92" t="s">
        <v>273</v>
      </c>
      <c r="L826" s="92" t="s">
        <v>274</v>
      </c>
      <c r="M826" s="92" t="s">
        <v>168</v>
      </c>
      <c r="N826" s="92" t="s">
        <v>168</v>
      </c>
      <c r="O826" s="92" t="s">
        <v>183</v>
      </c>
      <c r="P826" s="92" t="s">
        <v>2335</v>
      </c>
      <c r="Q826" s="92" t="s">
        <v>2336</v>
      </c>
      <c r="R826" s="92">
        <v>3</v>
      </c>
      <c r="S826" s="92">
        <v>464</v>
      </c>
      <c r="T826" s="9">
        <v>44147</v>
      </c>
      <c r="U826" s="9">
        <v>44168</v>
      </c>
    </row>
    <row r="827" spans="1:21" x14ac:dyDescent="0.2">
      <c r="A827" s="10" t="str">
        <f>HYPERLINK("http://www.ofsted.gov.uk/inspection-reports/find-inspection-report/provider/ELS/131505 ","Ofsted School Webpage")</f>
        <v>Ofsted School Webpage</v>
      </c>
      <c r="B827" s="92">
        <v>131505</v>
      </c>
      <c r="C827" s="92">
        <v>9192005</v>
      </c>
      <c r="D827" s="92" t="s">
        <v>2337</v>
      </c>
      <c r="E827" s="92" t="s">
        <v>94</v>
      </c>
      <c r="F827" s="92" t="s">
        <v>269</v>
      </c>
      <c r="G827" s="9">
        <v>36039</v>
      </c>
      <c r="H827" s="92" t="s">
        <v>271</v>
      </c>
      <c r="I827" s="92" t="s">
        <v>272</v>
      </c>
      <c r="J827" s="92" t="s">
        <v>273</v>
      </c>
      <c r="K827" s="92" t="s">
        <v>273</v>
      </c>
      <c r="L827" s="92" t="s">
        <v>274</v>
      </c>
      <c r="M827" s="92" t="s">
        <v>110</v>
      </c>
      <c r="N827" s="92" t="s">
        <v>110</v>
      </c>
      <c r="O827" s="92" t="s">
        <v>117</v>
      </c>
      <c r="P827" s="92" t="s">
        <v>998</v>
      </c>
      <c r="Q827" s="92" t="s">
        <v>2338</v>
      </c>
      <c r="R827" s="92">
        <v>4</v>
      </c>
      <c r="S827" s="92">
        <v>189</v>
      </c>
      <c r="T827" s="9">
        <v>44147</v>
      </c>
      <c r="U827" s="9">
        <v>44171</v>
      </c>
    </row>
    <row r="828" spans="1:21" x14ac:dyDescent="0.2">
      <c r="A828" s="10" t="str">
        <f>HYPERLINK("http://www.ofsted.gov.uk/inspection-reports/find-inspection-report/provider/ELS/109920 ","Ofsted School Webpage")</f>
        <v>Ofsted School Webpage</v>
      </c>
      <c r="B828" s="92">
        <v>109920</v>
      </c>
      <c r="C828" s="92">
        <v>8702226</v>
      </c>
      <c r="D828" s="92" t="s">
        <v>2339</v>
      </c>
      <c r="E828" s="92" t="s">
        <v>94</v>
      </c>
      <c r="F828" s="92" t="s">
        <v>269</v>
      </c>
      <c r="G828" s="92" t="s">
        <v>270</v>
      </c>
      <c r="H828" s="92" t="s">
        <v>271</v>
      </c>
      <c r="I828" s="92" t="s">
        <v>272</v>
      </c>
      <c r="J828" s="92" t="s">
        <v>273</v>
      </c>
      <c r="K828" s="92" t="s">
        <v>273</v>
      </c>
      <c r="L828" s="92" t="s">
        <v>274</v>
      </c>
      <c r="M828" s="92" t="s">
        <v>192</v>
      </c>
      <c r="N828" s="92" t="s">
        <v>192</v>
      </c>
      <c r="O828" s="92" t="s">
        <v>206</v>
      </c>
      <c r="P828" s="92" t="s">
        <v>2340</v>
      </c>
      <c r="Q828" s="92" t="s">
        <v>2341</v>
      </c>
      <c r="R828" s="92">
        <v>3</v>
      </c>
      <c r="S828" s="92">
        <v>664</v>
      </c>
      <c r="T828" s="9">
        <v>44147</v>
      </c>
      <c r="U828" s="9">
        <v>44165</v>
      </c>
    </row>
    <row r="829" spans="1:21" x14ac:dyDescent="0.2">
      <c r="A829" s="10" t="str">
        <f>HYPERLINK("http://www.ofsted.gov.uk/inspection-reports/find-inspection-report/provider/ELS/124008 ","Ofsted School Webpage")</f>
        <v>Ofsted School Webpage</v>
      </c>
      <c r="B829" s="92">
        <v>124008</v>
      </c>
      <c r="C829" s="92">
        <v>8612075</v>
      </c>
      <c r="D829" s="92" t="s">
        <v>2342</v>
      </c>
      <c r="E829" s="92" t="s">
        <v>94</v>
      </c>
      <c r="F829" s="92" t="s">
        <v>269</v>
      </c>
      <c r="G829" s="92" t="s">
        <v>270</v>
      </c>
      <c r="H829" s="92" t="s">
        <v>271</v>
      </c>
      <c r="I829" s="92" t="s">
        <v>272</v>
      </c>
      <c r="J829" s="92" t="s">
        <v>273</v>
      </c>
      <c r="K829" s="92" t="s">
        <v>273</v>
      </c>
      <c r="L829" s="92" t="s">
        <v>274</v>
      </c>
      <c r="M829" s="92" t="s">
        <v>226</v>
      </c>
      <c r="N829" s="92" t="s">
        <v>226</v>
      </c>
      <c r="O829" s="92" t="s">
        <v>234</v>
      </c>
      <c r="P829" s="92" t="s">
        <v>450</v>
      </c>
      <c r="Q829" s="92" t="s">
        <v>2343</v>
      </c>
      <c r="R829" s="92">
        <v>5</v>
      </c>
      <c r="S829" s="92">
        <v>437</v>
      </c>
      <c r="T829" s="9">
        <v>44147</v>
      </c>
      <c r="U829" s="9">
        <v>44168</v>
      </c>
    </row>
    <row r="830" spans="1:21" x14ac:dyDescent="0.2">
      <c r="A830" s="10" t="str">
        <f>HYPERLINK("http://www.ofsted.gov.uk/inspection-reports/find-inspection-report/provider/ELS/113250 ","Ofsted School Webpage")</f>
        <v>Ofsted School Webpage</v>
      </c>
      <c r="B830" s="92">
        <v>113250</v>
      </c>
      <c r="C830" s="92">
        <v>8782604</v>
      </c>
      <c r="D830" s="92" t="s">
        <v>2344</v>
      </c>
      <c r="E830" s="92" t="s">
        <v>94</v>
      </c>
      <c r="F830" s="92" t="s">
        <v>269</v>
      </c>
      <c r="G830" s="92" t="s">
        <v>270</v>
      </c>
      <c r="H830" s="92" t="s">
        <v>271</v>
      </c>
      <c r="I830" s="92" t="s">
        <v>272</v>
      </c>
      <c r="J830" s="92" t="s">
        <v>273</v>
      </c>
      <c r="K830" s="92" t="s">
        <v>273</v>
      </c>
      <c r="L830" s="92" t="s">
        <v>274</v>
      </c>
      <c r="M830" s="92" t="s">
        <v>211</v>
      </c>
      <c r="N830" s="92" t="s">
        <v>211</v>
      </c>
      <c r="O830" s="92" t="s">
        <v>220</v>
      </c>
      <c r="P830" s="92" t="s">
        <v>1300</v>
      </c>
      <c r="Q830" s="92" t="s">
        <v>2345</v>
      </c>
      <c r="R830" s="92">
        <v>3</v>
      </c>
      <c r="S830" s="92">
        <v>75</v>
      </c>
      <c r="T830" s="9">
        <v>44147</v>
      </c>
      <c r="U830" s="9">
        <v>44166</v>
      </c>
    </row>
    <row r="831" spans="1:21" x14ac:dyDescent="0.2">
      <c r="A831" s="10" t="str">
        <f>HYPERLINK("http://www.ofsted.gov.uk/inspection-reports/find-inspection-report/provider/ELS/121013 ","Ofsted School Webpage")</f>
        <v>Ofsted School Webpage</v>
      </c>
      <c r="B831" s="92">
        <v>121013</v>
      </c>
      <c r="C831" s="92">
        <v>9262411</v>
      </c>
      <c r="D831" s="92" t="s">
        <v>2346</v>
      </c>
      <c r="E831" s="92" t="s">
        <v>94</v>
      </c>
      <c r="F831" s="92" t="s">
        <v>269</v>
      </c>
      <c r="G831" s="92" t="s">
        <v>270</v>
      </c>
      <c r="H831" s="92" t="s">
        <v>271</v>
      </c>
      <c r="I831" s="92" t="s">
        <v>272</v>
      </c>
      <c r="J831" s="92" t="s">
        <v>273</v>
      </c>
      <c r="K831" s="92" t="s">
        <v>273</v>
      </c>
      <c r="L831" s="92" t="s">
        <v>274</v>
      </c>
      <c r="M831" s="92" t="s">
        <v>110</v>
      </c>
      <c r="N831" s="92" t="s">
        <v>110</v>
      </c>
      <c r="O831" s="92" t="s">
        <v>118</v>
      </c>
      <c r="P831" s="92" t="s">
        <v>780</v>
      </c>
      <c r="Q831" s="92" t="s">
        <v>2347</v>
      </c>
      <c r="R831" s="92">
        <v>3</v>
      </c>
      <c r="S831" s="92">
        <v>507</v>
      </c>
      <c r="T831" s="9">
        <v>44147</v>
      </c>
      <c r="U831" s="9">
        <v>44171</v>
      </c>
    </row>
    <row r="832" spans="1:21" x14ac:dyDescent="0.2">
      <c r="A832" s="10" t="str">
        <f>HYPERLINK("http://www.ofsted.gov.uk/inspection-reports/find-inspection-report/provider/ELS/121326 ","Ofsted School Webpage")</f>
        <v>Ofsted School Webpage</v>
      </c>
      <c r="B832" s="92">
        <v>121326</v>
      </c>
      <c r="C832" s="92">
        <v>8152150</v>
      </c>
      <c r="D832" s="92" t="s">
        <v>2348</v>
      </c>
      <c r="E832" s="92" t="s">
        <v>94</v>
      </c>
      <c r="F832" s="92" t="s">
        <v>269</v>
      </c>
      <c r="G832" s="9">
        <v>1</v>
      </c>
      <c r="H832" s="92" t="s">
        <v>271</v>
      </c>
      <c r="I832" s="92" t="s">
        <v>272</v>
      </c>
      <c r="J832" s="92" t="s">
        <v>273</v>
      </c>
      <c r="K832" s="92" t="s">
        <v>273</v>
      </c>
      <c r="L832" s="92" t="s">
        <v>274</v>
      </c>
      <c r="M832" s="92" t="s">
        <v>261</v>
      </c>
      <c r="N832" s="92" t="s">
        <v>241</v>
      </c>
      <c r="O832" s="92" t="s">
        <v>247</v>
      </c>
      <c r="P832" s="92" t="s">
        <v>751</v>
      </c>
      <c r="Q832" s="92" t="s">
        <v>2349</v>
      </c>
      <c r="R832" s="92">
        <v>1</v>
      </c>
      <c r="S832" s="92">
        <v>62</v>
      </c>
      <c r="T832" s="9">
        <v>44147</v>
      </c>
      <c r="U832" s="9">
        <v>44213</v>
      </c>
    </row>
    <row r="833" spans="1:21" x14ac:dyDescent="0.2">
      <c r="A833" s="10" t="str">
        <f>HYPERLINK("http://www.ofsted.gov.uk/inspection-reports/find-inspection-report/provider/ELS/117367 ","Ofsted School Webpage")</f>
        <v>Ofsted School Webpage</v>
      </c>
      <c r="B833" s="92">
        <v>117367</v>
      </c>
      <c r="C833" s="92">
        <v>9192468</v>
      </c>
      <c r="D833" s="92" t="s">
        <v>2350</v>
      </c>
      <c r="E833" s="92" t="s">
        <v>94</v>
      </c>
      <c r="F833" s="92" t="s">
        <v>269</v>
      </c>
      <c r="G833" s="92" t="s">
        <v>270</v>
      </c>
      <c r="H833" s="92" t="s">
        <v>271</v>
      </c>
      <c r="I833" s="92" t="s">
        <v>272</v>
      </c>
      <c r="J833" s="92" t="s">
        <v>273</v>
      </c>
      <c r="K833" s="92" t="s">
        <v>273</v>
      </c>
      <c r="L833" s="92" t="s">
        <v>274</v>
      </c>
      <c r="M833" s="92" t="s">
        <v>110</v>
      </c>
      <c r="N833" s="92" t="s">
        <v>110</v>
      </c>
      <c r="O833" s="92" t="s">
        <v>117</v>
      </c>
      <c r="P833" s="92" t="s">
        <v>2162</v>
      </c>
      <c r="Q833" s="92" t="s">
        <v>2351</v>
      </c>
      <c r="R833" s="92">
        <v>4</v>
      </c>
      <c r="S833" s="92">
        <v>415</v>
      </c>
      <c r="T833" s="9">
        <v>44147</v>
      </c>
      <c r="U833" s="9">
        <v>44179</v>
      </c>
    </row>
    <row r="834" spans="1:21" x14ac:dyDescent="0.2">
      <c r="A834" s="10" t="str">
        <f>HYPERLINK("http://www.ofsted.gov.uk/inspection-reports/find-inspection-report/provider/ELS/112736 ","Ofsted School Webpage")</f>
        <v>Ofsted School Webpage</v>
      </c>
      <c r="B834" s="92">
        <v>112736</v>
      </c>
      <c r="C834" s="92">
        <v>8312432</v>
      </c>
      <c r="D834" s="92" t="s">
        <v>2352</v>
      </c>
      <c r="E834" s="92" t="s">
        <v>94</v>
      </c>
      <c r="F834" s="92" t="s">
        <v>269</v>
      </c>
      <c r="G834" s="92" t="s">
        <v>270</v>
      </c>
      <c r="H834" s="92" t="s">
        <v>271</v>
      </c>
      <c r="I834" s="92" t="s">
        <v>272</v>
      </c>
      <c r="J834" s="92" t="s">
        <v>273</v>
      </c>
      <c r="K834" s="92" t="s">
        <v>273</v>
      </c>
      <c r="L834" s="92" t="s">
        <v>274</v>
      </c>
      <c r="M834" s="92" t="s">
        <v>100</v>
      </c>
      <c r="N834" s="92" t="s">
        <v>100</v>
      </c>
      <c r="O834" s="92" t="s">
        <v>106</v>
      </c>
      <c r="P834" s="92" t="s">
        <v>2353</v>
      </c>
      <c r="Q834" s="92" t="s">
        <v>2354</v>
      </c>
      <c r="R834" s="92">
        <v>4</v>
      </c>
      <c r="S834" s="92">
        <v>489</v>
      </c>
      <c r="T834" s="9">
        <v>44147</v>
      </c>
      <c r="U834" s="9">
        <v>44167</v>
      </c>
    </row>
    <row r="835" spans="1:21" x14ac:dyDescent="0.2">
      <c r="A835" s="10" t="str">
        <f>HYPERLINK("http://www.ofsted.gov.uk/inspection-reports/find-inspection-report/provider/ELS/117459 ","Ofsted School Webpage")</f>
        <v>Ofsted School Webpage</v>
      </c>
      <c r="B835" s="92">
        <v>117459</v>
      </c>
      <c r="C835" s="92">
        <v>9193373</v>
      </c>
      <c r="D835" s="92" t="s">
        <v>2355</v>
      </c>
      <c r="E835" s="92" t="s">
        <v>94</v>
      </c>
      <c r="F835" s="92" t="s">
        <v>351</v>
      </c>
      <c r="G835" s="92" t="s">
        <v>270</v>
      </c>
      <c r="H835" s="92" t="s">
        <v>271</v>
      </c>
      <c r="I835" s="92" t="s">
        <v>272</v>
      </c>
      <c r="J835" s="92" t="s">
        <v>346</v>
      </c>
      <c r="K835" s="92" t="s">
        <v>273</v>
      </c>
      <c r="L835" s="92" t="s">
        <v>347</v>
      </c>
      <c r="M835" s="92" t="s">
        <v>110</v>
      </c>
      <c r="N835" s="92" t="s">
        <v>110</v>
      </c>
      <c r="O835" s="92" t="s">
        <v>117</v>
      </c>
      <c r="P835" s="92" t="s">
        <v>2356</v>
      </c>
      <c r="Q835" s="92" t="s">
        <v>2357</v>
      </c>
      <c r="R835" s="92">
        <v>2</v>
      </c>
      <c r="S835" s="92">
        <v>134</v>
      </c>
      <c r="T835" s="9">
        <v>44147</v>
      </c>
      <c r="U835" s="9">
        <v>44171</v>
      </c>
    </row>
    <row r="836" spans="1:21" x14ac:dyDescent="0.2">
      <c r="A836" s="10" t="str">
        <f>HYPERLINK("http://www.ofsted.gov.uk/inspection-reports/find-inspection-report/provider/ELS/104481 ","Ofsted School Webpage")</f>
        <v>Ofsted School Webpage</v>
      </c>
      <c r="B836" s="92">
        <v>104481</v>
      </c>
      <c r="C836" s="92">
        <v>3403358</v>
      </c>
      <c r="D836" s="92" t="s">
        <v>2358</v>
      </c>
      <c r="E836" s="92" t="s">
        <v>94</v>
      </c>
      <c r="F836" s="92" t="s">
        <v>351</v>
      </c>
      <c r="G836" s="92" t="s">
        <v>270</v>
      </c>
      <c r="H836" s="92" t="s">
        <v>271</v>
      </c>
      <c r="I836" s="92" t="s">
        <v>272</v>
      </c>
      <c r="J836" s="92" t="s">
        <v>352</v>
      </c>
      <c r="K836" s="92" t="s">
        <v>273</v>
      </c>
      <c r="L836" s="92" t="s">
        <v>347</v>
      </c>
      <c r="M836" s="92" t="s">
        <v>168</v>
      </c>
      <c r="N836" s="92" t="s">
        <v>168</v>
      </c>
      <c r="O836" s="92" t="s">
        <v>178</v>
      </c>
      <c r="P836" s="92" t="s">
        <v>178</v>
      </c>
      <c r="Q836" s="92" t="s">
        <v>2359</v>
      </c>
      <c r="R836" s="92">
        <v>5</v>
      </c>
      <c r="S836" s="92">
        <v>438</v>
      </c>
      <c r="T836" s="9">
        <v>44147</v>
      </c>
      <c r="U836" s="9">
        <v>44175</v>
      </c>
    </row>
    <row r="837" spans="1:21" x14ac:dyDescent="0.2">
      <c r="A837" s="10" t="str">
        <f>HYPERLINK("http://www.ofsted.gov.uk/inspection-reports/find-inspection-report/provider/ELS/108002 ","Ofsted School Webpage")</f>
        <v>Ofsted School Webpage</v>
      </c>
      <c r="B837" s="92">
        <v>108002</v>
      </c>
      <c r="C837" s="92">
        <v>3833053</v>
      </c>
      <c r="D837" s="92" t="s">
        <v>2360</v>
      </c>
      <c r="E837" s="92" t="s">
        <v>94</v>
      </c>
      <c r="F837" s="92" t="s">
        <v>345</v>
      </c>
      <c r="G837" s="92" t="s">
        <v>270</v>
      </c>
      <c r="H837" s="92" t="s">
        <v>271</v>
      </c>
      <c r="I837" s="92" t="s">
        <v>272</v>
      </c>
      <c r="J837" s="92" t="s">
        <v>346</v>
      </c>
      <c r="K837" s="92" t="s">
        <v>273</v>
      </c>
      <c r="L837" s="92" t="s">
        <v>347</v>
      </c>
      <c r="M837" s="92" t="s">
        <v>261</v>
      </c>
      <c r="N837" s="92" t="s">
        <v>241</v>
      </c>
      <c r="O837" s="92" t="s">
        <v>244</v>
      </c>
      <c r="P837" s="92" t="s">
        <v>2130</v>
      </c>
      <c r="Q837" s="92" t="s">
        <v>2361</v>
      </c>
      <c r="R837" s="92">
        <v>5</v>
      </c>
      <c r="S837" s="92">
        <v>442</v>
      </c>
      <c r="T837" s="9">
        <v>44147</v>
      </c>
      <c r="U837" s="9">
        <v>44168</v>
      </c>
    </row>
    <row r="838" spans="1:21" x14ac:dyDescent="0.2">
      <c r="A838" s="10" t="str">
        <f>HYPERLINK("http://www.ofsted.gov.uk/inspection-reports/find-inspection-report/provider/ELS/108011 ","Ofsted School Webpage")</f>
        <v>Ofsted School Webpage</v>
      </c>
      <c r="B838" s="92">
        <v>108011</v>
      </c>
      <c r="C838" s="92">
        <v>3833357</v>
      </c>
      <c r="D838" s="92" t="s">
        <v>2362</v>
      </c>
      <c r="E838" s="92" t="s">
        <v>94</v>
      </c>
      <c r="F838" s="92" t="s">
        <v>351</v>
      </c>
      <c r="G838" s="92" t="s">
        <v>270</v>
      </c>
      <c r="H838" s="92" t="s">
        <v>271</v>
      </c>
      <c r="I838" s="92" t="s">
        <v>272</v>
      </c>
      <c r="J838" s="92" t="s">
        <v>346</v>
      </c>
      <c r="K838" s="92" t="s">
        <v>273</v>
      </c>
      <c r="L838" s="92" t="s">
        <v>347</v>
      </c>
      <c r="M838" s="92" t="s">
        <v>261</v>
      </c>
      <c r="N838" s="92" t="s">
        <v>241</v>
      </c>
      <c r="O838" s="92" t="s">
        <v>244</v>
      </c>
      <c r="P838" s="92" t="s">
        <v>371</v>
      </c>
      <c r="Q838" s="92" t="s">
        <v>2363</v>
      </c>
      <c r="R838" s="92">
        <v>1</v>
      </c>
      <c r="S838" s="92">
        <v>203</v>
      </c>
      <c r="T838" s="9">
        <v>44147</v>
      </c>
      <c r="U838" s="9">
        <v>44174</v>
      </c>
    </row>
    <row r="839" spans="1:21" x14ac:dyDescent="0.2">
      <c r="A839" s="10" t="str">
        <f>HYPERLINK("http://www.ofsted.gov.uk/inspection-reports/find-inspection-report/provider/ELS/100582 ","Ofsted School Webpage")</f>
        <v>Ofsted School Webpage</v>
      </c>
      <c r="B839" s="92">
        <v>100582</v>
      </c>
      <c r="C839" s="92">
        <v>2082902</v>
      </c>
      <c r="D839" s="92" t="s">
        <v>2364</v>
      </c>
      <c r="E839" s="92" t="s">
        <v>94</v>
      </c>
      <c r="F839" s="92" t="s">
        <v>269</v>
      </c>
      <c r="G839" s="92" t="s">
        <v>270</v>
      </c>
      <c r="H839" s="92" t="s">
        <v>271</v>
      </c>
      <c r="I839" s="92" t="s">
        <v>272</v>
      </c>
      <c r="J839" s="92" t="s">
        <v>273</v>
      </c>
      <c r="K839" s="92" t="s">
        <v>273</v>
      </c>
      <c r="L839" s="92" t="s">
        <v>274</v>
      </c>
      <c r="M839" s="92" t="s">
        <v>122</v>
      </c>
      <c r="N839" s="92" t="s">
        <v>122</v>
      </c>
      <c r="O839" s="92" t="s">
        <v>149</v>
      </c>
      <c r="P839" s="92" t="s">
        <v>2365</v>
      </c>
      <c r="Q839" s="92" t="s">
        <v>2366</v>
      </c>
      <c r="R839" s="92">
        <v>5</v>
      </c>
      <c r="S839" s="92">
        <v>591</v>
      </c>
      <c r="T839" s="9">
        <v>44147</v>
      </c>
      <c r="U839" s="9">
        <v>44178</v>
      </c>
    </row>
    <row r="840" spans="1:21" x14ac:dyDescent="0.2">
      <c r="A840" s="10" t="str">
        <f>HYPERLINK("http://www.ofsted.gov.uk/inspection-reports/find-inspection-report/provider/ELS/111964 ","Ofsted School Webpage")</f>
        <v>Ofsted School Webpage</v>
      </c>
      <c r="B840" s="92">
        <v>111964</v>
      </c>
      <c r="C840" s="92">
        <v>9082719</v>
      </c>
      <c r="D840" s="92" t="s">
        <v>2367</v>
      </c>
      <c r="E840" s="92" t="s">
        <v>94</v>
      </c>
      <c r="F840" s="92" t="s">
        <v>269</v>
      </c>
      <c r="G840" s="92" t="s">
        <v>270</v>
      </c>
      <c r="H840" s="92" t="s">
        <v>271</v>
      </c>
      <c r="I840" s="92" t="s">
        <v>272</v>
      </c>
      <c r="J840" s="92" t="s">
        <v>273</v>
      </c>
      <c r="K840" s="92" t="s">
        <v>273</v>
      </c>
      <c r="L840" s="92" t="s">
        <v>274</v>
      </c>
      <c r="M840" s="92" t="s">
        <v>211</v>
      </c>
      <c r="N840" s="92" t="s">
        <v>211</v>
      </c>
      <c r="O840" s="92" t="s">
        <v>219</v>
      </c>
      <c r="P840" s="92" t="s">
        <v>576</v>
      </c>
      <c r="Q840" s="92" t="s">
        <v>2368</v>
      </c>
      <c r="R840" s="92">
        <v>3</v>
      </c>
      <c r="S840" s="92">
        <v>97</v>
      </c>
      <c r="T840" s="9">
        <v>44147</v>
      </c>
      <c r="U840" s="9">
        <v>44165</v>
      </c>
    </row>
    <row r="841" spans="1:21" x14ac:dyDescent="0.2">
      <c r="A841" s="10" t="str">
        <f>HYPERLINK("http://www.ofsted.gov.uk/inspection-reports/find-inspection-report/provider/ELS/115999 ","Ofsted School Webpage")</f>
        <v>Ofsted School Webpage</v>
      </c>
      <c r="B841" s="92">
        <v>115999</v>
      </c>
      <c r="C841" s="92">
        <v>8502266</v>
      </c>
      <c r="D841" s="92" t="s">
        <v>2369</v>
      </c>
      <c r="E841" s="92" t="s">
        <v>94</v>
      </c>
      <c r="F841" s="92" t="s">
        <v>269</v>
      </c>
      <c r="G841" s="92" t="s">
        <v>270</v>
      </c>
      <c r="H841" s="92" t="s">
        <v>271</v>
      </c>
      <c r="I841" s="92" t="s">
        <v>272</v>
      </c>
      <c r="J841" s="92" t="s">
        <v>273</v>
      </c>
      <c r="K841" s="92" t="s">
        <v>273</v>
      </c>
      <c r="L841" s="92" t="s">
        <v>274</v>
      </c>
      <c r="M841" s="92" t="s">
        <v>192</v>
      </c>
      <c r="N841" s="92" t="s">
        <v>192</v>
      </c>
      <c r="O841" s="92" t="s">
        <v>193</v>
      </c>
      <c r="P841" s="92" t="s">
        <v>1919</v>
      </c>
      <c r="Q841" s="92" t="s">
        <v>2370</v>
      </c>
      <c r="R841" s="92">
        <v>1</v>
      </c>
      <c r="S841" s="92">
        <v>324</v>
      </c>
      <c r="T841" s="9">
        <v>44147</v>
      </c>
      <c r="U841" s="9">
        <v>44175</v>
      </c>
    </row>
    <row r="842" spans="1:21" x14ac:dyDescent="0.2">
      <c r="A842" s="10" t="str">
        <f>HYPERLINK("http://www.ofsted.gov.uk/inspection-reports/find-inspection-report/provider/ELS/116733 ","Ofsted School Webpage")</f>
        <v>Ofsted School Webpage</v>
      </c>
      <c r="B842" s="92">
        <v>116733</v>
      </c>
      <c r="C842" s="92">
        <v>8852141</v>
      </c>
      <c r="D842" s="92" t="s">
        <v>2371</v>
      </c>
      <c r="E842" s="92" t="s">
        <v>94</v>
      </c>
      <c r="F842" s="92" t="s">
        <v>269</v>
      </c>
      <c r="G842" s="92" t="s">
        <v>270</v>
      </c>
      <c r="H842" s="92" t="s">
        <v>271</v>
      </c>
      <c r="I842" s="92" t="s">
        <v>272</v>
      </c>
      <c r="J842" s="92" t="s">
        <v>273</v>
      </c>
      <c r="K842" s="92" t="s">
        <v>273</v>
      </c>
      <c r="L842" s="92" t="s">
        <v>274</v>
      </c>
      <c r="M842" s="92" t="s">
        <v>226</v>
      </c>
      <c r="N842" s="92" t="s">
        <v>226</v>
      </c>
      <c r="O842" s="92" t="s">
        <v>238</v>
      </c>
      <c r="P842" s="92" t="s">
        <v>2372</v>
      </c>
      <c r="Q842" s="92" t="s">
        <v>2373</v>
      </c>
      <c r="R842" s="92">
        <v>4</v>
      </c>
      <c r="S842" s="92">
        <v>188</v>
      </c>
      <c r="T842" s="9">
        <v>44152</v>
      </c>
      <c r="U842" s="9">
        <v>44178</v>
      </c>
    </row>
    <row r="843" spans="1:21" x14ac:dyDescent="0.2">
      <c r="A843" s="10" t="str">
        <f>HYPERLINK("http://www.ofsted.gov.uk/inspection-reports/find-inspection-report/provider/ELS/116106 ","Ofsted School Webpage")</f>
        <v>Ofsted School Webpage</v>
      </c>
      <c r="B843" s="92">
        <v>116106</v>
      </c>
      <c r="C843" s="92">
        <v>8522428</v>
      </c>
      <c r="D843" s="92" t="s">
        <v>2374</v>
      </c>
      <c r="E843" s="92" t="s">
        <v>94</v>
      </c>
      <c r="F843" s="92" t="s">
        <v>269</v>
      </c>
      <c r="G843" s="92" t="s">
        <v>270</v>
      </c>
      <c r="H843" s="92" t="s">
        <v>271</v>
      </c>
      <c r="I843" s="92" t="s">
        <v>272</v>
      </c>
      <c r="J843" s="92" t="s">
        <v>273</v>
      </c>
      <c r="K843" s="92" t="s">
        <v>273</v>
      </c>
      <c r="L843" s="92" t="s">
        <v>274</v>
      </c>
      <c r="M843" s="92" t="s">
        <v>192</v>
      </c>
      <c r="N843" s="92" t="s">
        <v>192</v>
      </c>
      <c r="O843" s="92" t="s">
        <v>202</v>
      </c>
      <c r="P843" s="92" t="s">
        <v>1255</v>
      </c>
      <c r="Q843" s="92" t="s">
        <v>2375</v>
      </c>
      <c r="R843" s="92">
        <v>4</v>
      </c>
      <c r="S843" s="92">
        <v>540</v>
      </c>
      <c r="T843" s="9">
        <v>44152</v>
      </c>
      <c r="U843" s="9">
        <v>44213</v>
      </c>
    </row>
    <row r="844" spans="1:21" x14ac:dyDescent="0.2">
      <c r="A844" s="10" t="str">
        <f>HYPERLINK("http://www.ofsted.gov.uk/inspection-reports/find-inspection-report/provider/ELS/106206 ","Ofsted School Webpage")</f>
        <v>Ofsted School Webpage</v>
      </c>
      <c r="B844" s="92">
        <v>106206</v>
      </c>
      <c r="C844" s="92">
        <v>3572042</v>
      </c>
      <c r="D844" s="92" t="s">
        <v>2376</v>
      </c>
      <c r="E844" s="92" t="s">
        <v>94</v>
      </c>
      <c r="F844" s="92" t="s">
        <v>269</v>
      </c>
      <c r="G844" s="92" t="s">
        <v>270</v>
      </c>
      <c r="H844" s="92" t="s">
        <v>271</v>
      </c>
      <c r="I844" s="92" t="s">
        <v>272</v>
      </c>
      <c r="J844" s="92" t="s">
        <v>273</v>
      </c>
      <c r="K844" s="92" t="s">
        <v>273</v>
      </c>
      <c r="L844" s="92" t="s">
        <v>274</v>
      </c>
      <c r="M844" s="92" t="s">
        <v>168</v>
      </c>
      <c r="N844" s="92" t="s">
        <v>168</v>
      </c>
      <c r="O844" s="92" t="s">
        <v>189</v>
      </c>
      <c r="P844" s="92" t="s">
        <v>2377</v>
      </c>
      <c r="Q844" s="92" t="s">
        <v>2378</v>
      </c>
      <c r="R844" s="92">
        <v>4</v>
      </c>
      <c r="S844" s="92">
        <v>466</v>
      </c>
      <c r="T844" s="9">
        <v>44152</v>
      </c>
      <c r="U844" s="9">
        <v>44180</v>
      </c>
    </row>
    <row r="845" spans="1:21" x14ac:dyDescent="0.2">
      <c r="A845" s="10" t="str">
        <f>HYPERLINK("http://www.ofsted.gov.uk/inspection-reports/find-inspection-report/provider/ELS/116779 ","Ofsted School Webpage")</f>
        <v>Ofsted School Webpage</v>
      </c>
      <c r="B845" s="92">
        <v>116779</v>
      </c>
      <c r="C845" s="92">
        <v>8852917</v>
      </c>
      <c r="D845" s="92" t="s">
        <v>2379</v>
      </c>
      <c r="E845" s="92" t="s">
        <v>94</v>
      </c>
      <c r="F845" s="92" t="s">
        <v>269</v>
      </c>
      <c r="G845" s="92" t="s">
        <v>270</v>
      </c>
      <c r="H845" s="92" t="s">
        <v>271</v>
      </c>
      <c r="I845" s="92" t="s">
        <v>272</v>
      </c>
      <c r="J845" s="92" t="s">
        <v>273</v>
      </c>
      <c r="K845" s="92" t="s">
        <v>273</v>
      </c>
      <c r="L845" s="92" t="s">
        <v>274</v>
      </c>
      <c r="M845" s="92" t="s">
        <v>226</v>
      </c>
      <c r="N845" s="92" t="s">
        <v>226</v>
      </c>
      <c r="O845" s="92" t="s">
        <v>238</v>
      </c>
      <c r="P845" s="92" t="s">
        <v>1621</v>
      </c>
      <c r="Q845" s="92" t="s">
        <v>2380</v>
      </c>
      <c r="R845" s="92">
        <v>2</v>
      </c>
      <c r="S845" s="92">
        <v>407</v>
      </c>
      <c r="T845" s="9">
        <v>44152</v>
      </c>
      <c r="U845" s="9">
        <v>44201</v>
      </c>
    </row>
    <row r="846" spans="1:21" x14ac:dyDescent="0.2">
      <c r="A846" s="10" t="str">
        <f>HYPERLINK("http://www.ofsted.gov.uk/inspection-reports/find-inspection-report/provider/ELS/131930 ","Ofsted School Webpage")</f>
        <v>Ofsted School Webpage</v>
      </c>
      <c r="B846" s="92">
        <v>131930</v>
      </c>
      <c r="C846" s="92">
        <v>3172073</v>
      </c>
      <c r="D846" s="92" t="s">
        <v>2381</v>
      </c>
      <c r="E846" s="92" t="s">
        <v>94</v>
      </c>
      <c r="F846" s="92" t="s">
        <v>269</v>
      </c>
      <c r="G846" s="9">
        <v>36526</v>
      </c>
      <c r="H846" s="92" t="s">
        <v>271</v>
      </c>
      <c r="I846" s="92" t="s">
        <v>272</v>
      </c>
      <c r="J846" s="92" t="s">
        <v>273</v>
      </c>
      <c r="K846" s="92" t="s">
        <v>273</v>
      </c>
      <c r="L846" s="92" t="s">
        <v>274</v>
      </c>
      <c r="M846" s="92" t="s">
        <v>122</v>
      </c>
      <c r="N846" s="92" t="s">
        <v>122</v>
      </c>
      <c r="O846" s="92" t="s">
        <v>150</v>
      </c>
      <c r="P846" s="92" t="s">
        <v>2382</v>
      </c>
      <c r="Q846" s="92" t="s">
        <v>2383</v>
      </c>
      <c r="R846" s="92">
        <v>3</v>
      </c>
      <c r="S846" s="92">
        <v>684</v>
      </c>
      <c r="T846" s="9">
        <v>44152</v>
      </c>
      <c r="U846" s="9">
        <v>44171</v>
      </c>
    </row>
    <row r="847" spans="1:21" x14ac:dyDescent="0.2">
      <c r="A847" s="10" t="str">
        <f>HYPERLINK("http://www.ofsted.gov.uk/inspection-reports/find-inspection-report/provider/ELS/120297 ","Ofsted School Webpage")</f>
        <v>Ofsted School Webpage</v>
      </c>
      <c r="B847" s="92">
        <v>120297</v>
      </c>
      <c r="C847" s="92">
        <v>8564273</v>
      </c>
      <c r="D847" s="92" t="s">
        <v>2384</v>
      </c>
      <c r="E847" s="92" t="s">
        <v>95</v>
      </c>
      <c r="F847" s="92" t="s">
        <v>269</v>
      </c>
      <c r="G847" s="92" t="s">
        <v>270</v>
      </c>
      <c r="H847" s="92" t="s">
        <v>299</v>
      </c>
      <c r="I847" s="92" t="s">
        <v>300</v>
      </c>
      <c r="J847" s="92" t="s">
        <v>273</v>
      </c>
      <c r="K847" s="92" t="s">
        <v>273</v>
      </c>
      <c r="L847" s="92" t="s">
        <v>274</v>
      </c>
      <c r="M847" s="92" t="s">
        <v>100</v>
      </c>
      <c r="N847" s="92" t="s">
        <v>100</v>
      </c>
      <c r="O847" s="92" t="s">
        <v>102</v>
      </c>
      <c r="P847" s="92" t="s">
        <v>1835</v>
      </c>
      <c r="Q847" s="92" t="s">
        <v>2385</v>
      </c>
      <c r="R847" s="92">
        <v>4</v>
      </c>
      <c r="S847" s="92">
        <v>1732</v>
      </c>
      <c r="T847" s="9">
        <v>44152</v>
      </c>
      <c r="U847" s="9">
        <v>44209</v>
      </c>
    </row>
    <row r="848" spans="1:21" x14ac:dyDescent="0.2">
      <c r="A848" s="10" t="str">
        <f>HYPERLINK("http://www.ofsted.gov.uk/inspection-reports/find-inspection-report/provider/ELS/110691 ","Ofsted School Webpage")</f>
        <v>Ofsted School Webpage</v>
      </c>
      <c r="B848" s="92">
        <v>110691</v>
      </c>
      <c r="C848" s="92">
        <v>8742223</v>
      </c>
      <c r="D848" s="92" t="s">
        <v>2386</v>
      </c>
      <c r="E848" s="92" t="s">
        <v>94</v>
      </c>
      <c r="F848" s="92" t="s">
        <v>269</v>
      </c>
      <c r="G848" s="92" t="s">
        <v>270</v>
      </c>
      <c r="H848" s="92" t="s">
        <v>271</v>
      </c>
      <c r="I848" s="92" t="s">
        <v>272</v>
      </c>
      <c r="J848" s="92" t="s">
        <v>273</v>
      </c>
      <c r="K848" s="92" t="s">
        <v>273</v>
      </c>
      <c r="L848" s="92" t="s">
        <v>274</v>
      </c>
      <c r="M848" s="92" t="s">
        <v>110</v>
      </c>
      <c r="N848" s="92" t="s">
        <v>110</v>
      </c>
      <c r="O848" s="92" t="s">
        <v>115</v>
      </c>
      <c r="P848" s="92" t="s">
        <v>544</v>
      </c>
      <c r="Q848" s="92" t="s">
        <v>2387</v>
      </c>
      <c r="R848" s="92">
        <v>4</v>
      </c>
      <c r="S848" s="92">
        <v>616</v>
      </c>
      <c r="T848" s="9">
        <v>44152</v>
      </c>
      <c r="U848" s="9">
        <v>44200</v>
      </c>
    </row>
    <row r="849" spans="1:21" x14ac:dyDescent="0.2">
      <c r="A849" s="10" t="str">
        <f>HYPERLINK("http://www.ofsted.gov.uk/inspection-reports/find-inspection-report/provider/ELS/103100 ","Ofsted School Webpage")</f>
        <v>Ofsted School Webpage</v>
      </c>
      <c r="B849" s="92">
        <v>103100</v>
      </c>
      <c r="C849" s="92">
        <v>3204066</v>
      </c>
      <c r="D849" s="92" t="s">
        <v>2388</v>
      </c>
      <c r="E849" s="92" t="s">
        <v>95</v>
      </c>
      <c r="F849" s="92" t="s">
        <v>269</v>
      </c>
      <c r="G849" s="92" t="s">
        <v>270</v>
      </c>
      <c r="H849" s="92" t="s">
        <v>299</v>
      </c>
      <c r="I849" s="92" t="s">
        <v>272</v>
      </c>
      <c r="J849" s="92" t="s">
        <v>273</v>
      </c>
      <c r="K849" s="92" t="s">
        <v>273</v>
      </c>
      <c r="L849" s="92" t="s">
        <v>274</v>
      </c>
      <c r="M849" s="92" t="s">
        <v>122</v>
      </c>
      <c r="N849" s="92" t="s">
        <v>122</v>
      </c>
      <c r="O849" s="92" t="s">
        <v>143</v>
      </c>
      <c r="P849" s="92" t="s">
        <v>1305</v>
      </c>
      <c r="Q849" s="92" t="s">
        <v>2389</v>
      </c>
      <c r="R849" s="92">
        <v>4</v>
      </c>
      <c r="S849" s="92">
        <v>873</v>
      </c>
      <c r="T849" s="9">
        <v>44152</v>
      </c>
      <c r="U849" s="9">
        <v>44209</v>
      </c>
    </row>
    <row r="850" spans="1:21" x14ac:dyDescent="0.2">
      <c r="A850" s="10" t="str">
        <f>HYPERLINK("http://www.ofsted.gov.uk/inspection-reports/find-inspection-report/provider/ELS/134236 ","Ofsted School Webpage")</f>
        <v>Ofsted School Webpage</v>
      </c>
      <c r="B850" s="92">
        <v>134236</v>
      </c>
      <c r="C850" s="92">
        <v>3712032</v>
      </c>
      <c r="D850" s="92" t="s">
        <v>2390</v>
      </c>
      <c r="E850" s="92" t="s">
        <v>94</v>
      </c>
      <c r="F850" s="92" t="s">
        <v>269</v>
      </c>
      <c r="G850" s="9">
        <v>37865</v>
      </c>
      <c r="H850" s="92" t="s">
        <v>271</v>
      </c>
      <c r="I850" s="92" t="s">
        <v>272</v>
      </c>
      <c r="J850" s="92" t="s">
        <v>273</v>
      </c>
      <c r="K850" s="92" t="s">
        <v>273</v>
      </c>
      <c r="L850" s="92" t="s">
        <v>274</v>
      </c>
      <c r="M850" s="92" t="s">
        <v>261</v>
      </c>
      <c r="N850" s="92" t="s">
        <v>241</v>
      </c>
      <c r="O850" s="92" t="s">
        <v>248</v>
      </c>
      <c r="P850" s="92" t="s">
        <v>726</v>
      </c>
      <c r="Q850" s="92" t="s">
        <v>2391</v>
      </c>
      <c r="R850" s="92">
        <v>5</v>
      </c>
      <c r="S850" s="92">
        <v>416</v>
      </c>
      <c r="T850" s="9">
        <v>44152</v>
      </c>
      <c r="U850" s="9">
        <v>44178</v>
      </c>
    </row>
    <row r="851" spans="1:21" x14ac:dyDescent="0.2">
      <c r="A851" s="10" t="str">
        <f>HYPERLINK("http://www.ofsted.gov.uk/inspection-reports/find-inspection-report/provider/ELS/103326 ","Ofsted School Webpage")</f>
        <v>Ofsted School Webpage</v>
      </c>
      <c r="B851" s="92">
        <v>103326</v>
      </c>
      <c r="C851" s="92">
        <v>3302306</v>
      </c>
      <c r="D851" s="92" t="s">
        <v>2392</v>
      </c>
      <c r="E851" s="92" t="s">
        <v>94</v>
      </c>
      <c r="F851" s="92" t="s">
        <v>269</v>
      </c>
      <c r="G851" s="92" t="s">
        <v>270</v>
      </c>
      <c r="H851" s="92" t="s">
        <v>271</v>
      </c>
      <c r="I851" s="92" t="s">
        <v>271</v>
      </c>
      <c r="J851" s="92" t="s">
        <v>273</v>
      </c>
      <c r="K851" s="92" t="s">
        <v>273</v>
      </c>
      <c r="L851" s="92" t="s">
        <v>274</v>
      </c>
      <c r="M851" s="92" t="s">
        <v>226</v>
      </c>
      <c r="N851" s="92" t="s">
        <v>226</v>
      </c>
      <c r="O851" s="92" t="s">
        <v>232</v>
      </c>
      <c r="P851" s="92" t="s">
        <v>2393</v>
      </c>
      <c r="Q851" s="92" t="s">
        <v>2394</v>
      </c>
      <c r="R851" s="92">
        <v>4</v>
      </c>
      <c r="S851" s="92">
        <v>199</v>
      </c>
      <c r="T851" s="9">
        <v>44152</v>
      </c>
      <c r="U851" s="9">
        <v>44174</v>
      </c>
    </row>
    <row r="852" spans="1:21" x14ac:dyDescent="0.2">
      <c r="A852" s="10" t="str">
        <f>HYPERLINK("http://www.ofsted.gov.uk/inspection-reports/find-inspection-report/provider/ELS/119380 ","Ofsted School Webpage")</f>
        <v>Ofsted School Webpage</v>
      </c>
      <c r="B852" s="92">
        <v>119380</v>
      </c>
      <c r="C852" s="92">
        <v>8883085</v>
      </c>
      <c r="D852" s="92" t="s">
        <v>2395</v>
      </c>
      <c r="E852" s="92" t="s">
        <v>94</v>
      </c>
      <c r="F852" s="92" t="s">
        <v>345</v>
      </c>
      <c r="G852" s="92" t="s">
        <v>270</v>
      </c>
      <c r="H852" s="92" t="s">
        <v>271</v>
      </c>
      <c r="I852" s="92" t="s">
        <v>272</v>
      </c>
      <c r="J852" s="92" t="s">
        <v>346</v>
      </c>
      <c r="K852" s="92" t="s">
        <v>273</v>
      </c>
      <c r="L852" s="92" t="s">
        <v>347</v>
      </c>
      <c r="M852" s="92" t="s">
        <v>168</v>
      </c>
      <c r="N852" s="92" t="s">
        <v>168</v>
      </c>
      <c r="O852" s="92" t="s">
        <v>169</v>
      </c>
      <c r="P852" s="92" t="s">
        <v>1720</v>
      </c>
      <c r="Q852" s="92" t="s">
        <v>2396</v>
      </c>
      <c r="R852" s="92">
        <v>4</v>
      </c>
      <c r="S852" s="92">
        <v>131</v>
      </c>
      <c r="T852" s="9">
        <v>44152</v>
      </c>
      <c r="U852" s="9">
        <v>44213</v>
      </c>
    </row>
    <row r="853" spans="1:21" x14ac:dyDescent="0.2">
      <c r="A853" s="10" t="str">
        <f>HYPERLINK("http://www.ofsted.gov.uk/inspection-reports/find-inspection-report/provider/ELS/104459 ","Ofsted School Webpage")</f>
        <v>Ofsted School Webpage</v>
      </c>
      <c r="B853" s="92">
        <v>104459</v>
      </c>
      <c r="C853" s="92">
        <v>3403314</v>
      </c>
      <c r="D853" s="92" t="s">
        <v>2397</v>
      </c>
      <c r="E853" s="92" t="s">
        <v>94</v>
      </c>
      <c r="F853" s="92" t="s">
        <v>351</v>
      </c>
      <c r="G853" s="92" t="s">
        <v>270</v>
      </c>
      <c r="H853" s="92" t="s">
        <v>271</v>
      </c>
      <c r="I853" s="92" t="s">
        <v>272</v>
      </c>
      <c r="J853" s="92" t="s">
        <v>352</v>
      </c>
      <c r="K853" s="92" t="s">
        <v>273</v>
      </c>
      <c r="L853" s="92" t="s">
        <v>347</v>
      </c>
      <c r="M853" s="92" t="s">
        <v>168</v>
      </c>
      <c r="N853" s="92" t="s">
        <v>168</v>
      </c>
      <c r="O853" s="92" t="s">
        <v>178</v>
      </c>
      <c r="P853" s="92" t="s">
        <v>178</v>
      </c>
      <c r="Q853" s="92" t="s">
        <v>2398</v>
      </c>
      <c r="R853" s="92">
        <v>4</v>
      </c>
      <c r="S853" s="92">
        <v>238</v>
      </c>
      <c r="T853" s="9">
        <v>44152</v>
      </c>
      <c r="U853" s="9">
        <v>44182</v>
      </c>
    </row>
    <row r="854" spans="1:21" x14ac:dyDescent="0.2">
      <c r="A854" s="10" t="str">
        <f>HYPERLINK("http://www.ofsted.gov.uk/inspection-reports/find-inspection-report/provider/ELS/119461 ","Ofsted School Webpage")</f>
        <v>Ofsted School Webpage</v>
      </c>
      <c r="B854" s="92">
        <v>119461</v>
      </c>
      <c r="C854" s="92">
        <v>8883386</v>
      </c>
      <c r="D854" s="92" t="s">
        <v>2399</v>
      </c>
      <c r="E854" s="92" t="s">
        <v>94</v>
      </c>
      <c r="F854" s="92" t="s">
        <v>351</v>
      </c>
      <c r="G854" s="92" t="s">
        <v>270</v>
      </c>
      <c r="H854" s="92" t="s">
        <v>271</v>
      </c>
      <c r="I854" s="92" t="s">
        <v>272</v>
      </c>
      <c r="J854" s="92" t="s">
        <v>346</v>
      </c>
      <c r="K854" s="92" t="s">
        <v>273</v>
      </c>
      <c r="L854" s="92" t="s">
        <v>347</v>
      </c>
      <c r="M854" s="92" t="s">
        <v>168</v>
      </c>
      <c r="N854" s="92" t="s">
        <v>168</v>
      </c>
      <c r="O854" s="92" t="s">
        <v>169</v>
      </c>
      <c r="P854" s="92" t="s">
        <v>1899</v>
      </c>
      <c r="Q854" s="92" t="s">
        <v>2400</v>
      </c>
      <c r="R854" s="92">
        <v>1</v>
      </c>
      <c r="S854" s="92">
        <v>107</v>
      </c>
      <c r="T854" s="9">
        <v>44152</v>
      </c>
      <c r="U854" s="9">
        <v>44178</v>
      </c>
    </row>
    <row r="855" spans="1:21" x14ac:dyDescent="0.2">
      <c r="A855" s="10" t="str">
        <f>HYPERLINK("http://www.ofsted.gov.uk/inspection-reports/find-inspection-report/provider/ELS/107745 ","Ofsted School Webpage")</f>
        <v>Ofsted School Webpage</v>
      </c>
      <c r="B855" s="92">
        <v>107745</v>
      </c>
      <c r="C855" s="92">
        <v>3823329</v>
      </c>
      <c r="D855" s="92" t="s">
        <v>2401</v>
      </c>
      <c r="E855" s="92" t="s">
        <v>94</v>
      </c>
      <c r="F855" s="92" t="s">
        <v>351</v>
      </c>
      <c r="G855" s="92" t="s">
        <v>270</v>
      </c>
      <c r="H855" s="92" t="s">
        <v>271</v>
      </c>
      <c r="I855" s="92" t="s">
        <v>272</v>
      </c>
      <c r="J855" s="92" t="s">
        <v>346</v>
      </c>
      <c r="K855" s="92" t="s">
        <v>273</v>
      </c>
      <c r="L855" s="92" t="s">
        <v>347</v>
      </c>
      <c r="M855" s="92" t="s">
        <v>261</v>
      </c>
      <c r="N855" s="92" t="s">
        <v>241</v>
      </c>
      <c r="O855" s="92" t="s">
        <v>251</v>
      </c>
      <c r="P855" s="92" t="s">
        <v>880</v>
      </c>
      <c r="Q855" s="92" t="s">
        <v>2402</v>
      </c>
      <c r="R855" s="92">
        <v>2</v>
      </c>
      <c r="S855" s="92">
        <v>147</v>
      </c>
      <c r="T855" s="9">
        <v>44152</v>
      </c>
      <c r="U855" s="9">
        <v>44174</v>
      </c>
    </row>
    <row r="856" spans="1:21" x14ac:dyDescent="0.2">
      <c r="A856" s="10" t="str">
        <f>HYPERLINK("http://www.ofsted.gov.uk/inspection-reports/find-inspection-report/provider/ELS/116359 ","Ofsted School Webpage")</f>
        <v>Ofsted School Webpage</v>
      </c>
      <c r="B856" s="92">
        <v>116359</v>
      </c>
      <c r="C856" s="92">
        <v>8503341</v>
      </c>
      <c r="D856" s="92" t="s">
        <v>2403</v>
      </c>
      <c r="E856" s="92" t="s">
        <v>94</v>
      </c>
      <c r="F856" s="92" t="s">
        <v>351</v>
      </c>
      <c r="G856" s="92" t="s">
        <v>270</v>
      </c>
      <c r="H856" s="92" t="s">
        <v>299</v>
      </c>
      <c r="I856" s="92" t="s">
        <v>272</v>
      </c>
      <c r="J856" s="92" t="s">
        <v>346</v>
      </c>
      <c r="K856" s="92" t="s">
        <v>273</v>
      </c>
      <c r="L856" s="92" t="s">
        <v>347</v>
      </c>
      <c r="M856" s="92" t="s">
        <v>192</v>
      </c>
      <c r="N856" s="92" t="s">
        <v>192</v>
      </c>
      <c r="O856" s="92" t="s">
        <v>193</v>
      </c>
      <c r="P856" s="92" t="s">
        <v>992</v>
      </c>
      <c r="Q856" s="92" t="s">
        <v>2404</v>
      </c>
      <c r="R856" s="92">
        <v>2</v>
      </c>
      <c r="S856" s="92">
        <v>68</v>
      </c>
      <c r="T856" s="9">
        <v>44152</v>
      </c>
      <c r="U856" s="9">
        <v>44179</v>
      </c>
    </row>
    <row r="857" spans="1:21" x14ac:dyDescent="0.2">
      <c r="A857" s="10" t="str">
        <f>HYPERLINK("http://www.ofsted.gov.uk/inspection-reports/find-inspection-report/provider/ELS/124762 ","Ofsted School Webpage")</f>
        <v>Ofsted School Webpage</v>
      </c>
      <c r="B857" s="92">
        <v>124762</v>
      </c>
      <c r="C857" s="92">
        <v>9353308</v>
      </c>
      <c r="D857" s="92" t="s">
        <v>2405</v>
      </c>
      <c r="E857" s="92" t="s">
        <v>94</v>
      </c>
      <c r="F857" s="92" t="s">
        <v>351</v>
      </c>
      <c r="G857" s="92" t="s">
        <v>270</v>
      </c>
      <c r="H857" s="92" t="s">
        <v>271</v>
      </c>
      <c r="I857" s="92" t="s">
        <v>272</v>
      </c>
      <c r="J857" s="92" t="s">
        <v>346</v>
      </c>
      <c r="K857" s="92" t="s">
        <v>273</v>
      </c>
      <c r="L857" s="92" t="s">
        <v>347</v>
      </c>
      <c r="M857" s="92" t="s">
        <v>110</v>
      </c>
      <c r="N857" s="92" t="s">
        <v>110</v>
      </c>
      <c r="O857" s="92" t="s">
        <v>114</v>
      </c>
      <c r="P857" s="92" t="s">
        <v>925</v>
      </c>
      <c r="Q857" s="92" t="s">
        <v>2406</v>
      </c>
      <c r="R857" s="92">
        <v>3</v>
      </c>
      <c r="S857" s="92">
        <v>283</v>
      </c>
      <c r="T857" s="9">
        <v>44152</v>
      </c>
      <c r="U857" s="9">
        <v>44182</v>
      </c>
    </row>
    <row r="858" spans="1:21" x14ac:dyDescent="0.2">
      <c r="A858" s="10" t="str">
        <f>HYPERLINK("http://www.ofsted.gov.uk/inspection-reports/find-inspection-report/provider/ELS/134019 ","Ofsted School Webpage")</f>
        <v>Ofsted School Webpage</v>
      </c>
      <c r="B858" s="92">
        <v>134019</v>
      </c>
      <c r="C858" s="92">
        <v>3313436</v>
      </c>
      <c r="D858" s="92" t="s">
        <v>2407</v>
      </c>
      <c r="E858" s="92" t="s">
        <v>94</v>
      </c>
      <c r="F858" s="92" t="s">
        <v>269</v>
      </c>
      <c r="G858" s="9">
        <v>37865</v>
      </c>
      <c r="H858" s="92" t="s">
        <v>271</v>
      </c>
      <c r="I858" s="92" t="s">
        <v>272</v>
      </c>
      <c r="J858" s="92" t="s">
        <v>273</v>
      </c>
      <c r="K858" s="92" t="s">
        <v>273</v>
      </c>
      <c r="L858" s="92" t="s">
        <v>274</v>
      </c>
      <c r="M858" s="92" t="s">
        <v>226</v>
      </c>
      <c r="N858" s="92" t="s">
        <v>226</v>
      </c>
      <c r="O858" s="92" t="s">
        <v>233</v>
      </c>
      <c r="P858" s="92" t="s">
        <v>2408</v>
      </c>
      <c r="Q858" s="92" t="s">
        <v>2409</v>
      </c>
      <c r="R858" s="92">
        <v>5</v>
      </c>
      <c r="S858" s="92">
        <v>324</v>
      </c>
      <c r="T858" s="9">
        <v>44152</v>
      </c>
      <c r="U858" s="9">
        <v>44179</v>
      </c>
    </row>
    <row r="859" spans="1:21" x14ac:dyDescent="0.2">
      <c r="A859" s="10" t="str">
        <f>HYPERLINK("http://www.ofsted.gov.uk/inspection-reports/find-inspection-report/provider/ELS/110606 ","Ofsted School Webpage")</f>
        <v>Ofsted School Webpage</v>
      </c>
      <c r="B859" s="92">
        <v>110606</v>
      </c>
      <c r="C859" s="92">
        <v>8732010</v>
      </c>
      <c r="D859" s="92" t="s">
        <v>2410</v>
      </c>
      <c r="E859" s="92" t="s">
        <v>94</v>
      </c>
      <c r="F859" s="92" t="s">
        <v>269</v>
      </c>
      <c r="G859" s="92" t="s">
        <v>270</v>
      </c>
      <c r="H859" s="92" t="s">
        <v>271</v>
      </c>
      <c r="I859" s="92" t="s">
        <v>272</v>
      </c>
      <c r="J859" s="92" t="s">
        <v>273</v>
      </c>
      <c r="K859" s="92" t="s">
        <v>273</v>
      </c>
      <c r="L859" s="92" t="s">
        <v>274</v>
      </c>
      <c r="M859" s="92" t="s">
        <v>110</v>
      </c>
      <c r="N859" s="92" t="s">
        <v>110</v>
      </c>
      <c r="O859" s="92" t="s">
        <v>112</v>
      </c>
      <c r="P859" s="92" t="s">
        <v>445</v>
      </c>
      <c r="Q859" s="92" t="s">
        <v>2411</v>
      </c>
      <c r="R859" s="92">
        <v>1</v>
      </c>
      <c r="S859" s="92">
        <v>89</v>
      </c>
      <c r="T859" s="9">
        <v>44152</v>
      </c>
      <c r="U859" s="9">
        <v>44200</v>
      </c>
    </row>
    <row r="860" spans="1:21" x14ac:dyDescent="0.2">
      <c r="A860" s="10" t="str">
        <f>HYPERLINK("http://www.ofsted.gov.uk/inspection-reports/find-inspection-report/provider/ELS/121857 ","Ofsted School Webpage")</f>
        <v>Ofsted School Webpage</v>
      </c>
      <c r="B860" s="92">
        <v>121857</v>
      </c>
      <c r="C860" s="92">
        <v>9282082</v>
      </c>
      <c r="D860" s="92" t="s">
        <v>2412</v>
      </c>
      <c r="E860" s="92" t="s">
        <v>94</v>
      </c>
      <c r="F860" s="92" t="s">
        <v>269</v>
      </c>
      <c r="G860" s="92" t="s">
        <v>270</v>
      </c>
      <c r="H860" s="92" t="s">
        <v>271</v>
      </c>
      <c r="I860" s="92" t="s">
        <v>272</v>
      </c>
      <c r="J860" s="92" t="s">
        <v>273</v>
      </c>
      <c r="K860" s="92" t="s">
        <v>273</v>
      </c>
      <c r="L860" s="92" t="s">
        <v>274</v>
      </c>
      <c r="M860" s="92" t="s">
        <v>100</v>
      </c>
      <c r="N860" s="92" t="s">
        <v>100</v>
      </c>
      <c r="O860" s="92" t="s">
        <v>107</v>
      </c>
      <c r="P860" s="92" t="s">
        <v>1419</v>
      </c>
      <c r="Q860" s="92" t="s">
        <v>2413</v>
      </c>
      <c r="R860" s="92">
        <v>4</v>
      </c>
      <c r="S860" s="92">
        <v>121</v>
      </c>
      <c r="T860" s="9">
        <v>44152</v>
      </c>
      <c r="U860" s="9">
        <v>44209</v>
      </c>
    </row>
    <row r="861" spans="1:21" x14ac:dyDescent="0.2">
      <c r="A861" s="10" t="str">
        <f>HYPERLINK("http://www.ofsted.gov.uk/inspection-reports/find-inspection-report/provider/ELS/109461 ","Ofsted School Webpage")</f>
        <v>Ofsted School Webpage</v>
      </c>
      <c r="B861" s="92">
        <v>109461</v>
      </c>
      <c r="C861" s="92">
        <v>8222061</v>
      </c>
      <c r="D861" s="92" t="s">
        <v>2414</v>
      </c>
      <c r="E861" s="92" t="s">
        <v>94</v>
      </c>
      <c r="F861" s="92" t="s">
        <v>269</v>
      </c>
      <c r="G861" s="92" t="s">
        <v>270</v>
      </c>
      <c r="H861" s="92" t="s">
        <v>271</v>
      </c>
      <c r="I861" s="92" t="s">
        <v>272</v>
      </c>
      <c r="J861" s="92" t="s">
        <v>273</v>
      </c>
      <c r="K861" s="92" t="s">
        <v>273</v>
      </c>
      <c r="L861" s="92" t="s">
        <v>274</v>
      </c>
      <c r="M861" s="92" t="s">
        <v>110</v>
      </c>
      <c r="N861" s="92" t="s">
        <v>110</v>
      </c>
      <c r="O861" s="92" t="s">
        <v>111</v>
      </c>
      <c r="P861" s="92" t="s">
        <v>111</v>
      </c>
      <c r="Q861" s="92" t="s">
        <v>2415</v>
      </c>
      <c r="R861" s="92">
        <v>3</v>
      </c>
      <c r="S861" s="92">
        <v>357</v>
      </c>
      <c r="T861" s="9">
        <v>44152</v>
      </c>
      <c r="U861" s="9">
        <v>44201</v>
      </c>
    </row>
    <row r="862" spans="1:21" x14ac:dyDescent="0.2">
      <c r="A862" s="10" t="str">
        <f>HYPERLINK("http://www.ofsted.gov.uk/inspection-reports/find-inspection-report/provider/ELS/120788 ","Ofsted School Webpage")</f>
        <v>Ofsted School Webpage</v>
      </c>
      <c r="B862" s="92">
        <v>120788</v>
      </c>
      <c r="C862" s="92">
        <v>9262017</v>
      </c>
      <c r="D862" s="92" t="s">
        <v>2416</v>
      </c>
      <c r="E862" s="92" t="s">
        <v>94</v>
      </c>
      <c r="F862" s="92" t="s">
        <v>269</v>
      </c>
      <c r="G862" s="92" t="s">
        <v>270</v>
      </c>
      <c r="H862" s="92" t="s">
        <v>271</v>
      </c>
      <c r="I862" s="92" t="s">
        <v>272</v>
      </c>
      <c r="J862" s="92" t="s">
        <v>273</v>
      </c>
      <c r="K862" s="92" t="s">
        <v>273</v>
      </c>
      <c r="L862" s="92" t="s">
        <v>274</v>
      </c>
      <c r="M862" s="92" t="s">
        <v>110</v>
      </c>
      <c r="N862" s="92" t="s">
        <v>110</v>
      </c>
      <c r="O862" s="92" t="s">
        <v>118</v>
      </c>
      <c r="P862" s="92" t="s">
        <v>2417</v>
      </c>
      <c r="Q862" s="92" t="s">
        <v>2418</v>
      </c>
      <c r="R862" s="92">
        <v>1</v>
      </c>
      <c r="S862" s="92">
        <v>217</v>
      </c>
      <c r="T862" s="9">
        <v>44152</v>
      </c>
      <c r="U862" s="9">
        <v>44213</v>
      </c>
    </row>
    <row r="863" spans="1:21" x14ac:dyDescent="0.2">
      <c r="A863" s="10" t="str">
        <f>HYPERLINK("http://www.ofsted.gov.uk/inspection-reports/find-inspection-report/provider/ELS/109466 ","Ofsted School Webpage")</f>
        <v>Ofsted School Webpage</v>
      </c>
      <c r="B863" s="92">
        <v>109466</v>
      </c>
      <c r="C863" s="92">
        <v>8232067</v>
      </c>
      <c r="D863" s="92" t="s">
        <v>2419</v>
      </c>
      <c r="E863" s="92" t="s">
        <v>94</v>
      </c>
      <c r="F863" s="92" t="s">
        <v>269</v>
      </c>
      <c r="G863" s="92" t="s">
        <v>270</v>
      </c>
      <c r="H863" s="92" t="s">
        <v>271</v>
      </c>
      <c r="I863" s="92" t="s">
        <v>272</v>
      </c>
      <c r="J863" s="92" t="s">
        <v>273</v>
      </c>
      <c r="K863" s="92" t="s">
        <v>273</v>
      </c>
      <c r="L863" s="92" t="s">
        <v>274</v>
      </c>
      <c r="M863" s="92" t="s">
        <v>110</v>
      </c>
      <c r="N863" s="92" t="s">
        <v>110</v>
      </c>
      <c r="O863" s="92" t="s">
        <v>120</v>
      </c>
      <c r="P863" s="92" t="s">
        <v>1099</v>
      </c>
      <c r="Q863" s="92" t="s">
        <v>2420</v>
      </c>
      <c r="R863" s="92">
        <v>3</v>
      </c>
      <c r="S863" s="92">
        <v>264</v>
      </c>
      <c r="T863" s="9">
        <v>44152</v>
      </c>
      <c r="U863" s="9">
        <v>44179</v>
      </c>
    </row>
    <row r="864" spans="1:21" x14ac:dyDescent="0.2">
      <c r="A864" s="10" t="str">
        <f>HYPERLINK("http://www.ofsted.gov.uk/inspection-reports/find-inspection-report/provider/ELS/123650 ","Ofsted School Webpage")</f>
        <v>Ofsted School Webpage</v>
      </c>
      <c r="B864" s="92">
        <v>123650</v>
      </c>
      <c r="C864" s="92">
        <v>9332038</v>
      </c>
      <c r="D864" s="92" t="s">
        <v>2421</v>
      </c>
      <c r="E864" s="92" t="s">
        <v>94</v>
      </c>
      <c r="F864" s="92" t="s">
        <v>269</v>
      </c>
      <c r="G864" s="92" t="s">
        <v>270</v>
      </c>
      <c r="H864" s="92" t="s">
        <v>271</v>
      </c>
      <c r="I864" s="92" t="s">
        <v>272</v>
      </c>
      <c r="J864" s="92" t="s">
        <v>273</v>
      </c>
      <c r="K864" s="92" t="s">
        <v>273</v>
      </c>
      <c r="L864" s="92" t="s">
        <v>274</v>
      </c>
      <c r="M864" s="92" t="s">
        <v>211</v>
      </c>
      <c r="N864" s="92" t="s">
        <v>211</v>
      </c>
      <c r="O864" s="92" t="s">
        <v>218</v>
      </c>
      <c r="P864" s="92" t="s">
        <v>948</v>
      </c>
      <c r="Q864" s="92" t="s">
        <v>2422</v>
      </c>
      <c r="R864" s="92">
        <v>1</v>
      </c>
      <c r="S864" s="92">
        <v>137</v>
      </c>
      <c r="T864" s="9">
        <v>44152</v>
      </c>
      <c r="U864" s="9">
        <v>44173</v>
      </c>
    </row>
    <row r="865" spans="1:21" x14ac:dyDescent="0.2">
      <c r="A865" s="10" t="str">
        <f>HYPERLINK("http://www.ofsted.gov.uk/inspection-reports/find-inspection-report/provider/ELS/134867 ","Ofsted School Webpage")</f>
        <v>Ofsted School Webpage</v>
      </c>
      <c r="B865" s="92">
        <v>134867</v>
      </c>
      <c r="C865" s="92">
        <v>8133508</v>
      </c>
      <c r="D865" s="92" t="s">
        <v>2423</v>
      </c>
      <c r="E865" s="92" t="s">
        <v>94</v>
      </c>
      <c r="F865" s="92" t="s">
        <v>269</v>
      </c>
      <c r="G865" s="9">
        <v>38353</v>
      </c>
      <c r="H865" s="92" t="s">
        <v>271</v>
      </c>
      <c r="I865" s="92" t="s">
        <v>272</v>
      </c>
      <c r="J865" s="92" t="s">
        <v>273</v>
      </c>
      <c r="K865" s="92" t="s">
        <v>273</v>
      </c>
      <c r="L865" s="92" t="s">
        <v>274</v>
      </c>
      <c r="M865" s="92" t="s">
        <v>261</v>
      </c>
      <c r="N865" s="92" t="s">
        <v>241</v>
      </c>
      <c r="O865" s="92" t="s">
        <v>252</v>
      </c>
      <c r="P865" s="92" t="s">
        <v>910</v>
      </c>
      <c r="Q865" s="92" t="s">
        <v>2424</v>
      </c>
      <c r="R865" s="92">
        <v>4</v>
      </c>
      <c r="S865" s="92">
        <v>324</v>
      </c>
      <c r="T865" s="9">
        <v>44152</v>
      </c>
      <c r="U865" s="9">
        <v>44216</v>
      </c>
    </row>
    <row r="866" spans="1:21" x14ac:dyDescent="0.2">
      <c r="A866" s="10" t="str">
        <f>HYPERLINK("http://www.ofsted.gov.uk/inspection-reports/find-inspection-report/provider/ELS/104827 ","Ofsted School Webpage")</f>
        <v>Ofsted School Webpage</v>
      </c>
      <c r="B866" s="92">
        <v>104827</v>
      </c>
      <c r="C866" s="92">
        <v>3424051</v>
      </c>
      <c r="D866" s="92" t="s">
        <v>2425</v>
      </c>
      <c r="E866" s="92" t="s">
        <v>95</v>
      </c>
      <c r="F866" s="92" t="s">
        <v>269</v>
      </c>
      <c r="G866" s="92" t="s">
        <v>270</v>
      </c>
      <c r="H866" s="92" t="s">
        <v>299</v>
      </c>
      <c r="I866" s="92" t="s">
        <v>272</v>
      </c>
      <c r="J866" s="92" t="s">
        <v>273</v>
      </c>
      <c r="K866" s="92" t="s">
        <v>273</v>
      </c>
      <c r="L866" s="92" t="s">
        <v>274</v>
      </c>
      <c r="M866" s="92" t="s">
        <v>168</v>
      </c>
      <c r="N866" s="92" t="s">
        <v>168</v>
      </c>
      <c r="O866" s="92" t="s">
        <v>182</v>
      </c>
      <c r="P866" s="92" t="s">
        <v>801</v>
      </c>
      <c r="Q866" s="92" t="s">
        <v>2426</v>
      </c>
      <c r="R866" s="92">
        <v>4</v>
      </c>
      <c r="S866" s="92">
        <v>771</v>
      </c>
      <c r="T866" s="9">
        <v>44152</v>
      </c>
      <c r="U866" s="9">
        <v>44175</v>
      </c>
    </row>
    <row r="867" spans="1:21" x14ac:dyDescent="0.2">
      <c r="A867" s="10" t="str">
        <f>HYPERLINK("http://www.ofsted.gov.uk/inspection-reports/find-inspection-report/provider/ELS/132091 ","Ofsted School Webpage")</f>
        <v>Ofsted School Webpage</v>
      </c>
      <c r="B867" s="92">
        <v>132091</v>
      </c>
      <c r="C867" s="92">
        <v>9192008</v>
      </c>
      <c r="D867" s="92" t="s">
        <v>2427</v>
      </c>
      <c r="E867" s="92" t="s">
        <v>94</v>
      </c>
      <c r="F867" s="92" t="s">
        <v>269</v>
      </c>
      <c r="G867" s="9">
        <v>36770</v>
      </c>
      <c r="H867" s="92" t="s">
        <v>271</v>
      </c>
      <c r="I867" s="92" t="s">
        <v>272</v>
      </c>
      <c r="J867" s="92" t="s">
        <v>273</v>
      </c>
      <c r="K867" s="92" t="s">
        <v>273</v>
      </c>
      <c r="L867" s="92" t="s">
        <v>274</v>
      </c>
      <c r="M867" s="92" t="s">
        <v>110</v>
      </c>
      <c r="N867" s="92" t="s">
        <v>110</v>
      </c>
      <c r="O867" s="92" t="s">
        <v>117</v>
      </c>
      <c r="P867" s="92" t="s">
        <v>998</v>
      </c>
      <c r="Q867" s="92" t="s">
        <v>2428</v>
      </c>
      <c r="R867" s="92">
        <v>3</v>
      </c>
      <c r="S867" s="92">
        <v>461</v>
      </c>
      <c r="T867" s="9">
        <v>44152</v>
      </c>
      <c r="U867" s="9">
        <v>44200</v>
      </c>
    </row>
    <row r="868" spans="1:21" x14ac:dyDescent="0.2">
      <c r="A868" s="10" t="str">
        <f>HYPERLINK("http://www.ofsted.gov.uk/inspection-reports/find-inspection-report/provider/ELS/125921 ","Ofsted School Webpage")</f>
        <v>Ofsted School Webpage</v>
      </c>
      <c r="B868" s="92">
        <v>125921</v>
      </c>
      <c r="C868" s="92">
        <v>9382185</v>
      </c>
      <c r="D868" s="92" t="s">
        <v>2429</v>
      </c>
      <c r="E868" s="92" t="s">
        <v>94</v>
      </c>
      <c r="F868" s="92" t="s">
        <v>269</v>
      </c>
      <c r="G868" s="92" t="s">
        <v>270</v>
      </c>
      <c r="H868" s="92" t="s">
        <v>271</v>
      </c>
      <c r="I868" s="92" t="s">
        <v>272</v>
      </c>
      <c r="J868" s="92" t="s">
        <v>273</v>
      </c>
      <c r="K868" s="92" t="s">
        <v>273</v>
      </c>
      <c r="L868" s="92" t="s">
        <v>274</v>
      </c>
      <c r="M868" s="92" t="s">
        <v>192</v>
      </c>
      <c r="N868" s="92" t="s">
        <v>192</v>
      </c>
      <c r="O868" s="92" t="s">
        <v>200</v>
      </c>
      <c r="P868" s="92" t="s">
        <v>1486</v>
      </c>
      <c r="Q868" s="92" t="s">
        <v>2430</v>
      </c>
      <c r="R868" s="92">
        <v>3</v>
      </c>
      <c r="S868" s="92">
        <v>434</v>
      </c>
      <c r="T868" s="9">
        <v>44152</v>
      </c>
      <c r="U868" s="9">
        <v>44178</v>
      </c>
    </row>
    <row r="869" spans="1:21" x14ac:dyDescent="0.2">
      <c r="A869" s="10" t="str">
        <f>HYPERLINK("http://www.ofsted.gov.uk/inspection-reports/find-inspection-report/provider/ELS/105294 ","Ofsted School Webpage")</f>
        <v>Ofsted School Webpage</v>
      </c>
      <c r="B869" s="92">
        <v>105294</v>
      </c>
      <c r="C869" s="92">
        <v>3512019</v>
      </c>
      <c r="D869" s="92" t="s">
        <v>2431</v>
      </c>
      <c r="E869" s="92" t="s">
        <v>94</v>
      </c>
      <c r="F869" s="92" t="s">
        <v>269</v>
      </c>
      <c r="G869" s="92" t="s">
        <v>270</v>
      </c>
      <c r="H869" s="92" t="s">
        <v>271</v>
      </c>
      <c r="I869" s="92" t="s">
        <v>272</v>
      </c>
      <c r="J869" s="92" t="s">
        <v>273</v>
      </c>
      <c r="K869" s="92" t="s">
        <v>273</v>
      </c>
      <c r="L869" s="92" t="s">
        <v>274</v>
      </c>
      <c r="M869" s="92" t="s">
        <v>168</v>
      </c>
      <c r="N869" s="92" t="s">
        <v>168</v>
      </c>
      <c r="O869" s="92" t="s">
        <v>184</v>
      </c>
      <c r="P869" s="92" t="s">
        <v>807</v>
      </c>
      <c r="Q869" s="92" t="s">
        <v>2432</v>
      </c>
      <c r="R869" s="92">
        <v>4</v>
      </c>
      <c r="S869" s="92">
        <v>197</v>
      </c>
      <c r="T869" s="9">
        <v>44152</v>
      </c>
      <c r="U869" s="9">
        <v>44213</v>
      </c>
    </row>
    <row r="870" spans="1:21" x14ac:dyDescent="0.2">
      <c r="A870" s="10" t="str">
        <f>HYPERLINK("http://www.ofsted.gov.uk/inspection-reports/find-inspection-report/provider/ELS/103265 ","Ofsted School Webpage")</f>
        <v>Ofsted School Webpage</v>
      </c>
      <c r="B870" s="92">
        <v>103265</v>
      </c>
      <c r="C870" s="92">
        <v>3302189</v>
      </c>
      <c r="D870" s="92" t="s">
        <v>2433</v>
      </c>
      <c r="E870" s="92" t="s">
        <v>94</v>
      </c>
      <c r="F870" s="92" t="s">
        <v>269</v>
      </c>
      <c r="G870" s="92" t="s">
        <v>270</v>
      </c>
      <c r="H870" s="92" t="s">
        <v>271</v>
      </c>
      <c r="I870" s="92" t="s">
        <v>271</v>
      </c>
      <c r="J870" s="92" t="s">
        <v>273</v>
      </c>
      <c r="K870" s="92" t="s">
        <v>273</v>
      </c>
      <c r="L870" s="92" t="s">
        <v>274</v>
      </c>
      <c r="M870" s="92" t="s">
        <v>226</v>
      </c>
      <c r="N870" s="92" t="s">
        <v>226</v>
      </c>
      <c r="O870" s="92" t="s">
        <v>232</v>
      </c>
      <c r="P870" s="92" t="s">
        <v>1008</v>
      </c>
      <c r="Q870" s="92" t="s">
        <v>2434</v>
      </c>
      <c r="R870" s="92">
        <v>5</v>
      </c>
      <c r="S870" s="92">
        <v>400</v>
      </c>
      <c r="T870" s="9">
        <v>44152</v>
      </c>
      <c r="U870" s="9">
        <v>44179</v>
      </c>
    </row>
    <row r="871" spans="1:21" x14ac:dyDescent="0.2">
      <c r="A871" s="10" t="str">
        <f>HYPERLINK("http://www.ofsted.gov.uk/inspection-reports/find-inspection-report/provider/ELS/120825 ","Ofsted School Webpage")</f>
        <v>Ofsted School Webpage</v>
      </c>
      <c r="B871" s="92">
        <v>120825</v>
      </c>
      <c r="C871" s="92">
        <v>9262096</v>
      </c>
      <c r="D871" s="92" t="s">
        <v>2435</v>
      </c>
      <c r="E871" s="92" t="s">
        <v>94</v>
      </c>
      <c r="F871" s="92" t="s">
        <v>269</v>
      </c>
      <c r="G871" s="92" t="s">
        <v>270</v>
      </c>
      <c r="H871" s="92" t="s">
        <v>271</v>
      </c>
      <c r="I871" s="92" t="s">
        <v>272</v>
      </c>
      <c r="J871" s="92" t="s">
        <v>273</v>
      </c>
      <c r="K871" s="92" t="s">
        <v>273</v>
      </c>
      <c r="L871" s="92" t="s">
        <v>274</v>
      </c>
      <c r="M871" s="92" t="s">
        <v>110</v>
      </c>
      <c r="N871" s="92" t="s">
        <v>110</v>
      </c>
      <c r="O871" s="92" t="s">
        <v>118</v>
      </c>
      <c r="P871" s="92" t="s">
        <v>1984</v>
      </c>
      <c r="Q871" s="92" t="s">
        <v>2436</v>
      </c>
      <c r="R871" s="92">
        <v>2</v>
      </c>
      <c r="S871" s="92">
        <v>90</v>
      </c>
      <c r="T871" s="9">
        <v>44152</v>
      </c>
      <c r="U871" s="9">
        <v>44175</v>
      </c>
    </row>
    <row r="872" spans="1:21" x14ac:dyDescent="0.2">
      <c r="A872" s="10" t="str">
        <f>HYPERLINK("http://www.ofsted.gov.uk/inspection-reports/find-inspection-report/provider/ELS/140002 ","Ofsted School Webpage")</f>
        <v>Ofsted School Webpage</v>
      </c>
      <c r="B872" s="92">
        <v>140002</v>
      </c>
      <c r="C872" s="92">
        <v>9294002</v>
      </c>
      <c r="D872" s="92" t="s">
        <v>2437</v>
      </c>
      <c r="E872" s="92" t="s">
        <v>95</v>
      </c>
      <c r="F872" s="92" t="s">
        <v>409</v>
      </c>
      <c r="G872" s="9">
        <v>41548</v>
      </c>
      <c r="H872" s="92" t="s">
        <v>299</v>
      </c>
      <c r="I872" s="92" t="s">
        <v>300</v>
      </c>
      <c r="J872" s="92" t="s">
        <v>273</v>
      </c>
      <c r="K872" s="92" t="s">
        <v>410</v>
      </c>
      <c r="L872" s="92" t="s">
        <v>274</v>
      </c>
      <c r="M872" s="92" t="s">
        <v>261</v>
      </c>
      <c r="N872" s="92" t="s">
        <v>155</v>
      </c>
      <c r="O872" s="92" t="s">
        <v>158</v>
      </c>
      <c r="P872" s="92" t="s">
        <v>1492</v>
      </c>
      <c r="Q872" s="92" t="s">
        <v>2438</v>
      </c>
      <c r="R872" s="92">
        <v>5</v>
      </c>
      <c r="S872" s="92">
        <v>758</v>
      </c>
      <c r="T872" s="9">
        <v>44152</v>
      </c>
      <c r="U872" s="9">
        <v>44215</v>
      </c>
    </row>
    <row r="873" spans="1:21" x14ac:dyDescent="0.2">
      <c r="A873" s="10" t="str">
        <f>HYPERLINK("http://www.ofsted.gov.uk/inspection-reports/find-inspection-report/provider/ELS/100994 ","Ofsted School Webpage")</f>
        <v>Ofsted School Webpage</v>
      </c>
      <c r="B873" s="92">
        <v>100994</v>
      </c>
      <c r="C873" s="92">
        <v>2121101</v>
      </c>
      <c r="D873" s="92" t="s">
        <v>2439</v>
      </c>
      <c r="E873" s="92" t="s">
        <v>98</v>
      </c>
      <c r="F873" s="92" t="s">
        <v>405</v>
      </c>
      <c r="G873" s="92" t="s">
        <v>270</v>
      </c>
      <c r="H873" s="92" t="s">
        <v>271</v>
      </c>
      <c r="I873" s="92" t="s">
        <v>271</v>
      </c>
      <c r="J873" s="92" t="s">
        <v>273</v>
      </c>
      <c r="K873" s="92" t="s">
        <v>273</v>
      </c>
      <c r="L873" s="92" t="s">
        <v>274</v>
      </c>
      <c r="M873" s="92" t="s">
        <v>122</v>
      </c>
      <c r="N873" s="92" t="s">
        <v>122</v>
      </c>
      <c r="O873" s="92" t="s">
        <v>151</v>
      </c>
      <c r="P873" s="92" t="s">
        <v>2440</v>
      </c>
      <c r="Q873" s="92" t="s">
        <v>2441</v>
      </c>
      <c r="R873" s="92">
        <v>3</v>
      </c>
      <c r="S873" s="92">
        <v>68</v>
      </c>
      <c r="T873" s="9">
        <v>44152</v>
      </c>
      <c r="U873" s="9">
        <v>44200</v>
      </c>
    </row>
    <row r="874" spans="1:21" x14ac:dyDescent="0.2">
      <c r="A874" s="10" t="str">
        <f>HYPERLINK("http://www.ofsted.gov.uk/inspection-reports/find-inspection-report/provider/ELS/140416 ","Ofsted School Webpage")</f>
        <v>Ofsted School Webpage</v>
      </c>
      <c r="B874" s="92">
        <v>140416</v>
      </c>
      <c r="C874" s="92">
        <v>9334004</v>
      </c>
      <c r="D874" s="92" t="s">
        <v>2442</v>
      </c>
      <c r="E874" s="92" t="s">
        <v>95</v>
      </c>
      <c r="F874" s="92" t="s">
        <v>409</v>
      </c>
      <c r="G874" s="9">
        <v>41640</v>
      </c>
      <c r="H874" s="92" t="s">
        <v>299</v>
      </c>
      <c r="I874" s="92" t="s">
        <v>272</v>
      </c>
      <c r="J874" s="92" t="s">
        <v>273</v>
      </c>
      <c r="K874" s="92" t="s">
        <v>410</v>
      </c>
      <c r="L874" s="92" t="s">
        <v>274</v>
      </c>
      <c r="M874" s="92" t="s">
        <v>211</v>
      </c>
      <c r="N874" s="92" t="s">
        <v>211</v>
      </c>
      <c r="O874" s="92" t="s">
        <v>218</v>
      </c>
      <c r="P874" s="92" t="s">
        <v>579</v>
      </c>
      <c r="Q874" s="92" t="s">
        <v>2443</v>
      </c>
      <c r="R874" s="92">
        <v>3</v>
      </c>
      <c r="S874" s="92">
        <v>769</v>
      </c>
      <c r="T874" s="9">
        <v>44152</v>
      </c>
      <c r="U874" s="9">
        <v>44175</v>
      </c>
    </row>
    <row r="875" spans="1:21" x14ac:dyDescent="0.2">
      <c r="A875" s="10" t="str">
        <f>HYPERLINK("http://www.ofsted.gov.uk/inspection-reports/find-inspection-report/provider/ELS/102558 ","Ofsted School Webpage")</f>
        <v>Ofsted School Webpage</v>
      </c>
      <c r="B875" s="92">
        <v>102558</v>
      </c>
      <c r="C875" s="92">
        <v>3137010</v>
      </c>
      <c r="D875" s="92" t="s">
        <v>2444</v>
      </c>
      <c r="E875" s="92" t="s">
        <v>96</v>
      </c>
      <c r="F875" s="92" t="s">
        <v>401</v>
      </c>
      <c r="G875" s="92" t="s">
        <v>270</v>
      </c>
      <c r="H875" s="92" t="s">
        <v>271</v>
      </c>
      <c r="I875" s="92" t="s">
        <v>271</v>
      </c>
      <c r="J875" s="92" t="s">
        <v>273</v>
      </c>
      <c r="K875" s="92" t="s">
        <v>273</v>
      </c>
      <c r="L875" s="92" t="s">
        <v>274</v>
      </c>
      <c r="M875" s="92" t="s">
        <v>122</v>
      </c>
      <c r="N875" s="92" t="s">
        <v>122</v>
      </c>
      <c r="O875" s="92" t="s">
        <v>129</v>
      </c>
      <c r="P875" s="92" t="s">
        <v>423</v>
      </c>
      <c r="Q875" s="92" t="s">
        <v>2445</v>
      </c>
      <c r="R875" s="92">
        <v>4</v>
      </c>
      <c r="S875" s="92">
        <v>60</v>
      </c>
      <c r="T875" s="9">
        <v>44152</v>
      </c>
      <c r="U875" s="9">
        <v>44182</v>
      </c>
    </row>
    <row r="876" spans="1:21" x14ac:dyDescent="0.2">
      <c r="A876" s="10" t="str">
        <f>HYPERLINK("http://www.ofsted.gov.uk/inspection-reports/find-inspection-report/provider/ELS/112045 ","Ofsted School Webpage")</f>
        <v>Ofsted School Webpage</v>
      </c>
      <c r="B876" s="92">
        <v>112045</v>
      </c>
      <c r="C876" s="92">
        <v>9084150</v>
      </c>
      <c r="D876" s="92" t="s">
        <v>2446</v>
      </c>
      <c r="E876" s="92" t="s">
        <v>95</v>
      </c>
      <c r="F876" s="92" t="s">
        <v>397</v>
      </c>
      <c r="G876" s="92" t="s">
        <v>270</v>
      </c>
      <c r="H876" s="92" t="s">
        <v>299</v>
      </c>
      <c r="I876" s="92" t="s">
        <v>300</v>
      </c>
      <c r="J876" s="92" t="s">
        <v>273</v>
      </c>
      <c r="K876" s="92" t="s">
        <v>273</v>
      </c>
      <c r="L876" s="92" t="s">
        <v>274</v>
      </c>
      <c r="M876" s="92" t="s">
        <v>211</v>
      </c>
      <c r="N876" s="92" t="s">
        <v>211</v>
      </c>
      <c r="O876" s="92" t="s">
        <v>219</v>
      </c>
      <c r="P876" s="92" t="s">
        <v>2447</v>
      </c>
      <c r="Q876" s="92" t="s">
        <v>2448</v>
      </c>
      <c r="R876" s="92">
        <v>3</v>
      </c>
      <c r="S876" s="92">
        <v>1149</v>
      </c>
      <c r="T876" s="9">
        <v>44152</v>
      </c>
      <c r="U876" s="9">
        <v>44182</v>
      </c>
    </row>
    <row r="877" spans="1:21" x14ac:dyDescent="0.2">
      <c r="A877" s="10" t="str">
        <f>HYPERLINK("http://www.ofsted.gov.uk/inspection-reports/find-inspection-report/provider/ELS/120554 ","Ofsted School Webpage")</f>
        <v>Ofsted School Webpage</v>
      </c>
      <c r="B877" s="92">
        <v>120554</v>
      </c>
      <c r="C877" s="92">
        <v>9253096</v>
      </c>
      <c r="D877" s="92" t="s">
        <v>2449</v>
      </c>
      <c r="E877" s="92" t="s">
        <v>94</v>
      </c>
      <c r="F877" s="92" t="s">
        <v>345</v>
      </c>
      <c r="G877" s="92" t="s">
        <v>270</v>
      </c>
      <c r="H877" s="92" t="s">
        <v>271</v>
      </c>
      <c r="I877" s="92" t="s">
        <v>272</v>
      </c>
      <c r="J877" s="92" t="s">
        <v>346</v>
      </c>
      <c r="K877" s="92" t="s">
        <v>273</v>
      </c>
      <c r="L877" s="92" t="s">
        <v>347</v>
      </c>
      <c r="M877" s="92" t="s">
        <v>100</v>
      </c>
      <c r="N877" s="92" t="s">
        <v>100</v>
      </c>
      <c r="O877" s="92" t="s">
        <v>104</v>
      </c>
      <c r="P877" s="92" t="s">
        <v>342</v>
      </c>
      <c r="Q877" s="92" t="s">
        <v>2450</v>
      </c>
      <c r="R877" s="92">
        <v>2</v>
      </c>
      <c r="S877" s="92">
        <v>137</v>
      </c>
      <c r="T877" s="9">
        <v>44152</v>
      </c>
      <c r="U877" s="9">
        <v>44180</v>
      </c>
    </row>
    <row r="878" spans="1:21" x14ac:dyDescent="0.2">
      <c r="A878" s="10" t="str">
        <f>HYPERLINK("http://www.ofsted.gov.uk/inspection-reports/find-inspection-report/provider/ELS/118871 ","Ofsted School Webpage")</f>
        <v>Ofsted School Webpage</v>
      </c>
      <c r="B878" s="92">
        <v>118871</v>
      </c>
      <c r="C878" s="92">
        <v>8865225</v>
      </c>
      <c r="D878" s="92" t="s">
        <v>2451</v>
      </c>
      <c r="E878" s="92" t="s">
        <v>94</v>
      </c>
      <c r="F878" s="92" t="s">
        <v>397</v>
      </c>
      <c r="G878" s="92" t="s">
        <v>270</v>
      </c>
      <c r="H878" s="92" t="s">
        <v>271</v>
      </c>
      <c r="I878" s="92" t="s">
        <v>272</v>
      </c>
      <c r="J878" s="92" t="s">
        <v>410</v>
      </c>
      <c r="K878" s="92" t="s">
        <v>273</v>
      </c>
      <c r="L878" s="92" t="s">
        <v>274</v>
      </c>
      <c r="M878" s="92" t="s">
        <v>192</v>
      </c>
      <c r="N878" s="92" t="s">
        <v>192</v>
      </c>
      <c r="O878" s="92" t="s">
        <v>194</v>
      </c>
      <c r="P878" s="92" t="s">
        <v>1640</v>
      </c>
      <c r="Q878" s="92" t="s">
        <v>2452</v>
      </c>
      <c r="R878" s="92">
        <v>4</v>
      </c>
      <c r="S878" s="92">
        <v>182</v>
      </c>
      <c r="T878" s="9">
        <v>44152</v>
      </c>
      <c r="U878" s="9">
        <v>44213</v>
      </c>
    </row>
    <row r="879" spans="1:21" x14ac:dyDescent="0.2">
      <c r="A879" s="10" t="str">
        <f>HYPERLINK("http://www.ofsted.gov.uk/inspection-reports/find-inspection-report/provider/ELS/121591 ","Ofsted School Webpage")</f>
        <v>Ofsted School Webpage</v>
      </c>
      <c r="B879" s="92">
        <v>121591</v>
      </c>
      <c r="C879" s="92">
        <v>8153274</v>
      </c>
      <c r="D879" s="92" t="s">
        <v>2453</v>
      </c>
      <c r="E879" s="92" t="s">
        <v>94</v>
      </c>
      <c r="F879" s="92" t="s">
        <v>345</v>
      </c>
      <c r="G879" s="9">
        <v>1</v>
      </c>
      <c r="H879" s="92" t="s">
        <v>271</v>
      </c>
      <c r="I879" s="92" t="s">
        <v>272</v>
      </c>
      <c r="J879" s="92" t="s">
        <v>346</v>
      </c>
      <c r="K879" s="92" t="s">
        <v>273</v>
      </c>
      <c r="L879" s="92" t="s">
        <v>347</v>
      </c>
      <c r="M879" s="92" t="s">
        <v>261</v>
      </c>
      <c r="N879" s="92" t="s">
        <v>241</v>
      </c>
      <c r="O879" s="92" t="s">
        <v>247</v>
      </c>
      <c r="P879" s="92" t="s">
        <v>1886</v>
      </c>
      <c r="Q879" s="92" t="s">
        <v>2454</v>
      </c>
      <c r="R879" s="92">
        <v>2</v>
      </c>
      <c r="S879" s="92">
        <v>223</v>
      </c>
      <c r="T879" s="9">
        <v>44152</v>
      </c>
      <c r="U879" s="9">
        <v>44178</v>
      </c>
    </row>
    <row r="880" spans="1:21" x14ac:dyDescent="0.2">
      <c r="A880" s="10" t="str">
        <f>HYPERLINK("http://www.ofsted.gov.uk/inspection-reports/find-inspection-report/provider/ELS/141346 ","Ofsted School Webpage")</f>
        <v>Ofsted School Webpage</v>
      </c>
      <c r="B880" s="92">
        <v>141346</v>
      </c>
      <c r="C880" s="92">
        <v>8612010</v>
      </c>
      <c r="D880" s="92" t="s">
        <v>2455</v>
      </c>
      <c r="E880" s="92" t="s">
        <v>94</v>
      </c>
      <c r="F880" s="92" t="s">
        <v>409</v>
      </c>
      <c r="G880" s="9">
        <v>42095</v>
      </c>
      <c r="H880" s="92" t="s">
        <v>271</v>
      </c>
      <c r="I880" s="92" t="s">
        <v>272</v>
      </c>
      <c r="J880" s="92" t="s">
        <v>273</v>
      </c>
      <c r="K880" s="92" t="s">
        <v>410</v>
      </c>
      <c r="L880" s="92" t="s">
        <v>274</v>
      </c>
      <c r="M880" s="92" t="s">
        <v>226</v>
      </c>
      <c r="N880" s="92" t="s">
        <v>226</v>
      </c>
      <c r="O880" s="92" t="s">
        <v>234</v>
      </c>
      <c r="P880" s="92" t="s">
        <v>1548</v>
      </c>
      <c r="Q880" s="92" t="s">
        <v>2456</v>
      </c>
      <c r="R880" s="92">
        <v>5</v>
      </c>
      <c r="S880" s="92">
        <v>444</v>
      </c>
      <c r="T880" s="9">
        <v>44152</v>
      </c>
      <c r="U880" s="9">
        <v>44172</v>
      </c>
    </row>
    <row r="881" spans="1:21" x14ac:dyDescent="0.2">
      <c r="A881" s="10" t="str">
        <f>HYPERLINK("http://www.ofsted.gov.uk/inspection-reports/find-inspection-report/provider/ELS/100888 ","Ofsted School Webpage")</f>
        <v>Ofsted School Webpage</v>
      </c>
      <c r="B881" s="92">
        <v>100888</v>
      </c>
      <c r="C881" s="92">
        <v>2111041</v>
      </c>
      <c r="D881" s="92" t="s">
        <v>2457</v>
      </c>
      <c r="E881" s="92" t="s">
        <v>93</v>
      </c>
      <c r="F881" s="92" t="s">
        <v>592</v>
      </c>
      <c r="G881" s="92" t="s">
        <v>270</v>
      </c>
      <c r="H881" s="92" t="s">
        <v>271</v>
      </c>
      <c r="I881" s="92" t="s">
        <v>271</v>
      </c>
      <c r="J881" s="92" t="s">
        <v>273</v>
      </c>
      <c r="K881" s="92" t="s">
        <v>273</v>
      </c>
      <c r="L881" s="92" t="s">
        <v>274</v>
      </c>
      <c r="M881" s="92" t="s">
        <v>122</v>
      </c>
      <c r="N881" s="92" t="s">
        <v>122</v>
      </c>
      <c r="O881" s="92" t="s">
        <v>141</v>
      </c>
      <c r="P881" s="92" t="s">
        <v>1184</v>
      </c>
      <c r="Q881" s="92" t="s">
        <v>2458</v>
      </c>
      <c r="R881" s="92">
        <v>5</v>
      </c>
      <c r="S881" s="92">
        <v>106</v>
      </c>
      <c r="T881" s="9">
        <v>44152</v>
      </c>
      <c r="U881" s="9">
        <v>44213</v>
      </c>
    </row>
    <row r="882" spans="1:21" x14ac:dyDescent="0.2">
      <c r="A882" s="10" t="str">
        <f>HYPERLINK("http://www.ofsted.gov.uk/inspection-reports/find-inspection-report/provider/ELS/126302 ","Ofsted School Webpage")</f>
        <v>Ofsted School Webpage</v>
      </c>
      <c r="B882" s="92">
        <v>126302</v>
      </c>
      <c r="C882" s="92">
        <v>8653013</v>
      </c>
      <c r="D882" s="92" t="s">
        <v>2459</v>
      </c>
      <c r="E882" s="92" t="s">
        <v>94</v>
      </c>
      <c r="F882" s="92" t="s">
        <v>345</v>
      </c>
      <c r="G882" s="92" t="s">
        <v>270</v>
      </c>
      <c r="H882" s="92" t="s">
        <v>271</v>
      </c>
      <c r="I882" s="92" t="s">
        <v>272</v>
      </c>
      <c r="J882" s="92" t="s">
        <v>346</v>
      </c>
      <c r="K882" s="92" t="s">
        <v>273</v>
      </c>
      <c r="L882" s="92" t="s">
        <v>347</v>
      </c>
      <c r="M882" s="92" t="s">
        <v>211</v>
      </c>
      <c r="N882" s="92" t="s">
        <v>211</v>
      </c>
      <c r="O882" s="92" t="s">
        <v>225</v>
      </c>
      <c r="P882" s="92" t="s">
        <v>1337</v>
      </c>
      <c r="Q882" s="92" t="s">
        <v>2460</v>
      </c>
      <c r="R882" s="92">
        <v>1</v>
      </c>
      <c r="S882" s="92">
        <v>178</v>
      </c>
      <c r="T882" s="9">
        <v>44152</v>
      </c>
      <c r="U882" s="9">
        <v>44172</v>
      </c>
    </row>
    <row r="883" spans="1:21" x14ac:dyDescent="0.2">
      <c r="A883" s="10" t="str">
        <f>HYPERLINK("http://www.ofsted.gov.uk/inspection-reports/find-inspection-report/provider/ELS/119589 ","Ofsted School Webpage")</f>
        <v>Ofsted School Webpage</v>
      </c>
      <c r="B883" s="92">
        <v>119589</v>
      </c>
      <c r="C883" s="92">
        <v>8883615</v>
      </c>
      <c r="D883" s="92" t="s">
        <v>2461</v>
      </c>
      <c r="E883" s="92" t="s">
        <v>94</v>
      </c>
      <c r="F883" s="92" t="s">
        <v>351</v>
      </c>
      <c r="G883" s="92" t="s">
        <v>270</v>
      </c>
      <c r="H883" s="92" t="s">
        <v>271</v>
      </c>
      <c r="I883" s="92" t="s">
        <v>272</v>
      </c>
      <c r="J883" s="92" t="s">
        <v>352</v>
      </c>
      <c r="K883" s="92" t="s">
        <v>273</v>
      </c>
      <c r="L883" s="92" t="s">
        <v>347</v>
      </c>
      <c r="M883" s="92" t="s">
        <v>168</v>
      </c>
      <c r="N883" s="92" t="s">
        <v>168</v>
      </c>
      <c r="O883" s="92" t="s">
        <v>169</v>
      </c>
      <c r="P883" s="92" t="s">
        <v>767</v>
      </c>
      <c r="Q883" s="92" t="s">
        <v>2462</v>
      </c>
      <c r="R883" s="92">
        <v>3</v>
      </c>
      <c r="S883" s="92">
        <v>171</v>
      </c>
      <c r="T883" s="9">
        <v>44152</v>
      </c>
      <c r="U883" s="9">
        <v>44182</v>
      </c>
    </row>
    <row r="884" spans="1:21" x14ac:dyDescent="0.2">
      <c r="A884" s="10" t="str">
        <f>HYPERLINK("http://www.ofsted.gov.uk/inspection-reports/find-inspection-report/provider/ELS/120590 ","Ofsted School Webpage")</f>
        <v>Ofsted School Webpage</v>
      </c>
      <c r="B884" s="92">
        <v>120590</v>
      </c>
      <c r="C884" s="92">
        <v>9253156</v>
      </c>
      <c r="D884" s="92" t="s">
        <v>2463</v>
      </c>
      <c r="E884" s="92" t="s">
        <v>94</v>
      </c>
      <c r="F884" s="92" t="s">
        <v>345</v>
      </c>
      <c r="G884" s="92" t="s">
        <v>270</v>
      </c>
      <c r="H884" s="92" t="s">
        <v>299</v>
      </c>
      <c r="I884" s="92" t="s">
        <v>272</v>
      </c>
      <c r="J884" s="92" t="s">
        <v>1796</v>
      </c>
      <c r="K884" s="92" t="s">
        <v>273</v>
      </c>
      <c r="L884" s="92" t="s">
        <v>347</v>
      </c>
      <c r="M884" s="92" t="s">
        <v>100</v>
      </c>
      <c r="N884" s="92" t="s">
        <v>100</v>
      </c>
      <c r="O884" s="92" t="s">
        <v>104</v>
      </c>
      <c r="P884" s="92" t="s">
        <v>1050</v>
      </c>
      <c r="Q884" s="92" t="s">
        <v>2464</v>
      </c>
      <c r="R884" s="92">
        <v>3</v>
      </c>
      <c r="S884" s="92">
        <v>273</v>
      </c>
      <c r="T884" s="9">
        <v>44152</v>
      </c>
      <c r="U884" s="9">
        <v>44200</v>
      </c>
    </row>
    <row r="885" spans="1:21" x14ac:dyDescent="0.2">
      <c r="A885" s="10" t="str">
        <f>HYPERLINK("http://www.ofsted.gov.uk/inspection-reports/find-inspection-report/provider/ELS/140910 ","Ofsted School Webpage")</f>
        <v>Ofsted School Webpage</v>
      </c>
      <c r="B885" s="92">
        <v>140910</v>
      </c>
      <c r="C885" s="92">
        <v>8553072</v>
      </c>
      <c r="D885" s="92" t="s">
        <v>2465</v>
      </c>
      <c r="E885" s="92" t="s">
        <v>94</v>
      </c>
      <c r="F885" s="92" t="s">
        <v>429</v>
      </c>
      <c r="G885" s="9">
        <v>41974</v>
      </c>
      <c r="H885" s="92" t="s">
        <v>271</v>
      </c>
      <c r="I885" s="92" t="s">
        <v>272</v>
      </c>
      <c r="J885" s="92" t="s">
        <v>346</v>
      </c>
      <c r="K885" s="92" t="s">
        <v>273</v>
      </c>
      <c r="L885" s="92" t="s">
        <v>347</v>
      </c>
      <c r="M885" s="92" t="s">
        <v>100</v>
      </c>
      <c r="N885" s="92" t="s">
        <v>100</v>
      </c>
      <c r="O885" s="92" t="s">
        <v>108</v>
      </c>
      <c r="P885" s="92" t="s">
        <v>476</v>
      </c>
      <c r="Q885" s="92" t="s">
        <v>2466</v>
      </c>
      <c r="R885" s="92">
        <v>1</v>
      </c>
      <c r="S885" s="92">
        <v>84</v>
      </c>
      <c r="T885" s="9">
        <v>44152</v>
      </c>
      <c r="U885" s="9">
        <v>44209</v>
      </c>
    </row>
    <row r="886" spans="1:21" x14ac:dyDescent="0.2">
      <c r="A886" s="10" t="str">
        <f>HYPERLINK("http://www.ofsted.gov.uk/inspection-reports/find-inspection-report/provider/ELS/144027 ","Ofsted School Webpage")</f>
        <v>Ofsted School Webpage</v>
      </c>
      <c r="B886" s="92">
        <v>144027</v>
      </c>
      <c r="C886" s="92">
        <v>8074008</v>
      </c>
      <c r="D886" s="92" t="s">
        <v>2467</v>
      </c>
      <c r="E886" s="92" t="s">
        <v>95</v>
      </c>
      <c r="F886" s="92" t="s">
        <v>409</v>
      </c>
      <c r="G886" s="9">
        <v>42795</v>
      </c>
      <c r="H886" s="92" t="s">
        <v>299</v>
      </c>
      <c r="I886" s="92" t="s">
        <v>272</v>
      </c>
      <c r="J886" s="92" t="s">
        <v>273</v>
      </c>
      <c r="K886" s="92" t="s">
        <v>484</v>
      </c>
      <c r="L886" s="92" t="s">
        <v>274</v>
      </c>
      <c r="M886" s="92" t="s">
        <v>261</v>
      </c>
      <c r="N886" s="92" t="s">
        <v>155</v>
      </c>
      <c r="O886" s="92" t="s">
        <v>161</v>
      </c>
      <c r="P886" s="92" t="s">
        <v>1269</v>
      </c>
      <c r="Q886" s="92" t="s">
        <v>2468</v>
      </c>
      <c r="R886" s="92">
        <v>4</v>
      </c>
      <c r="S886" s="92">
        <v>929</v>
      </c>
      <c r="T886" s="9">
        <v>44152</v>
      </c>
      <c r="U886" s="9">
        <v>44200</v>
      </c>
    </row>
    <row r="887" spans="1:21" x14ac:dyDescent="0.2">
      <c r="A887" s="10" t="str">
        <f>HYPERLINK("http://www.ofsted.gov.uk/inspection-reports/find-inspection-report/provider/ELS/145054 ","Ofsted School Webpage")</f>
        <v>Ofsted School Webpage</v>
      </c>
      <c r="B887" s="92">
        <v>145054</v>
      </c>
      <c r="C887" s="92">
        <v>3562011</v>
      </c>
      <c r="D887" s="92" t="s">
        <v>2469</v>
      </c>
      <c r="E887" s="92" t="s">
        <v>94</v>
      </c>
      <c r="F887" s="92" t="s">
        <v>409</v>
      </c>
      <c r="G887" s="9">
        <v>42979</v>
      </c>
      <c r="H887" s="92" t="s">
        <v>271</v>
      </c>
      <c r="I887" s="92" t="s">
        <v>272</v>
      </c>
      <c r="J887" s="92" t="s">
        <v>273</v>
      </c>
      <c r="K887" s="92" t="s">
        <v>484</v>
      </c>
      <c r="L887" s="92" t="s">
        <v>274</v>
      </c>
      <c r="M887" s="92" t="s">
        <v>168</v>
      </c>
      <c r="N887" s="92" t="s">
        <v>168</v>
      </c>
      <c r="O887" s="92" t="s">
        <v>174</v>
      </c>
      <c r="P887" s="92" t="s">
        <v>334</v>
      </c>
      <c r="Q887" s="92" t="s">
        <v>2470</v>
      </c>
      <c r="R887" s="92">
        <v>4</v>
      </c>
      <c r="S887" s="92">
        <v>271</v>
      </c>
      <c r="T887" s="9">
        <v>44152</v>
      </c>
      <c r="U887" s="9">
        <v>44172</v>
      </c>
    </row>
    <row r="888" spans="1:21" x14ac:dyDescent="0.2">
      <c r="A888" s="10" t="str">
        <f>HYPERLINK("http://www.ofsted.gov.uk/inspection-reports/find-inspection-report/provider/ELS/139338 ","Ofsted School Webpage")</f>
        <v>Ofsted School Webpage</v>
      </c>
      <c r="B888" s="92">
        <v>139338</v>
      </c>
      <c r="C888" s="92">
        <v>9332003</v>
      </c>
      <c r="D888" s="92" t="s">
        <v>2471</v>
      </c>
      <c r="E888" s="92" t="s">
        <v>94</v>
      </c>
      <c r="F888" s="92" t="s">
        <v>409</v>
      </c>
      <c r="G888" s="9">
        <v>41365</v>
      </c>
      <c r="H888" s="92" t="s">
        <v>271</v>
      </c>
      <c r="I888" s="92" t="s">
        <v>272</v>
      </c>
      <c r="J888" s="92" t="s">
        <v>346</v>
      </c>
      <c r="K888" s="92" t="s">
        <v>410</v>
      </c>
      <c r="L888" s="92" t="s">
        <v>347</v>
      </c>
      <c r="M888" s="92" t="s">
        <v>211</v>
      </c>
      <c r="N888" s="92" t="s">
        <v>211</v>
      </c>
      <c r="O888" s="92" t="s">
        <v>218</v>
      </c>
      <c r="P888" s="92" t="s">
        <v>414</v>
      </c>
      <c r="Q888" s="92" t="s">
        <v>2472</v>
      </c>
      <c r="R888" s="92">
        <v>4</v>
      </c>
      <c r="S888" s="92">
        <v>410</v>
      </c>
      <c r="T888" s="9">
        <v>44152</v>
      </c>
      <c r="U888" s="9">
        <v>44178</v>
      </c>
    </row>
    <row r="889" spans="1:21" x14ac:dyDescent="0.2">
      <c r="A889" s="10" t="str">
        <f>HYPERLINK("http://www.ofsted.gov.uk/inspection-reports/find-inspection-report/provider/ELS/140697 ","Ofsted School Webpage")</f>
        <v>Ofsted School Webpage</v>
      </c>
      <c r="B889" s="92">
        <v>140697</v>
      </c>
      <c r="C889" s="92">
        <v>8514320</v>
      </c>
      <c r="D889" s="92" t="s">
        <v>2473</v>
      </c>
      <c r="E889" s="92" t="s">
        <v>95</v>
      </c>
      <c r="F889" s="92" t="s">
        <v>429</v>
      </c>
      <c r="G889" s="9">
        <v>41730</v>
      </c>
      <c r="H889" s="92" t="s">
        <v>299</v>
      </c>
      <c r="I889" s="92" t="s">
        <v>272</v>
      </c>
      <c r="J889" s="92" t="s">
        <v>273</v>
      </c>
      <c r="K889" s="92" t="s">
        <v>273</v>
      </c>
      <c r="L889" s="92" t="s">
        <v>274</v>
      </c>
      <c r="M889" s="92" t="s">
        <v>192</v>
      </c>
      <c r="N889" s="92" t="s">
        <v>192</v>
      </c>
      <c r="O889" s="92" t="s">
        <v>196</v>
      </c>
      <c r="P889" s="92" t="s">
        <v>1025</v>
      </c>
      <c r="Q889" s="92" t="s">
        <v>2474</v>
      </c>
      <c r="R889" s="92">
        <v>3</v>
      </c>
      <c r="S889" s="92">
        <v>1057</v>
      </c>
      <c r="T889" s="9">
        <v>44152</v>
      </c>
      <c r="U889" s="9">
        <v>44179</v>
      </c>
    </row>
    <row r="890" spans="1:21" x14ac:dyDescent="0.2">
      <c r="A890" s="10" t="str">
        <f>HYPERLINK("http://www.ofsted.gov.uk/inspection-reports/find-inspection-report/provider/ELS/137855 ","Ofsted School Webpage")</f>
        <v>Ofsted School Webpage</v>
      </c>
      <c r="B890" s="92">
        <v>137855</v>
      </c>
      <c r="C890" s="92">
        <v>9365416</v>
      </c>
      <c r="D890" s="92" t="s">
        <v>2475</v>
      </c>
      <c r="E890" s="92" t="s">
        <v>95</v>
      </c>
      <c r="F890" s="92" t="s">
        <v>429</v>
      </c>
      <c r="G890" s="9">
        <v>40940</v>
      </c>
      <c r="H890" s="92" t="s">
        <v>299</v>
      </c>
      <c r="I890" s="92" t="s">
        <v>300</v>
      </c>
      <c r="J890" s="92" t="s">
        <v>410</v>
      </c>
      <c r="K890" s="92" t="s">
        <v>273</v>
      </c>
      <c r="L890" s="92" t="s">
        <v>274</v>
      </c>
      <c r="M890" s="92" t="s">
        <v>192</v>
      </c>
      <c r="N890" s="92" t="s">
        <v>192</v>
      </c>
      <c r="O890" s="92" t="s">
        <v>198</v>
      </c>
      <c r="P890" s="92" t="s">
        <v>2476</v>
      </c>
      <c r="Q890" s="92" t="s">
        <v>2477</v>
      </c>
      <c r="R890" s="92">
        <v>1</v>
      </c>
      <c r="S890" s="92">
        <v>1387</v>
      </c>
      <c r="T890" s="9">
        <v>44152</v>
      </c>
      <c r="U890" s="9">
        <v>44209</v>
      </c>
    </row>
    <row r="891" spans="1:21" x14ac:dyDescent="0.2">
      <c r="A891" s="10" t="str">
        <f>HYPERLINK("http://www.ofsted.gov.uk/inspection-reports/find-inspection-report/provider/ELS/137708 ","Ofsted School Webpage")</f>
        <v>Ofsted School Webpage</v>
      </c>
      <c r="B891" s="92">
        <v>137708</v>
      </c>
      <c r="C891" s="92">
        <v>3914716</v>
      </c>
      <c r="D891" s="92" t="s">
        <v>2478</v>
      </c>
      <c r="E891" s="92" t="s">
        <v>95</v>
      </c>
      <c r="F891" s="92" t="s">
        <v>429</v>
      </c>
      <c r="G891" s="9">
        <v>40878</v>
      </c>
      <c r="H891" s="92" t="s">
        <v>299</v>
      </c>
      <c r="I891" s="92" t="s">
        <v>300</v>
      </c>
      <c r="J891" s="92" t="s">
        <v>352</v>
      </c>
      <c r="K891" s="92" t="s">
        <v>273</v>
      </c>
      <c r="L891" s="92" t="s">
        <v>347</v>
      </c>
      <c r="M891" s="92" t="s">
        <v>261</v>
      </c>
      <c r="N891" s="92" t="s">
        <v>155</v>
      </c>
      <c r="O891" s="92" t="s">
        <v>156</v>
      </c>
      <c r="P891" s="92" t="s">
        <v>632</v>
      </c>
      <c r="Q891" s="92" t="s">
        <v>2479</v>
      </c>
      <c r="R891" s="92">
        <v>5</v>
      </c>
      <c r="S891" s="92">
        <v>1434</v>
      </c>
      <c r="T891" s="9">
        <v>44152</v>
      </c>
      <c r="U891" s="9">
        <v>44174</v>
      </c>
    </row>
    <row r="892" spans="1:21" x14ac:dyDescent="0.2">
      <c r="A892" s="10" t="str">
        <f>HYPERLINK("http://www.ofsted.gov.uk/inspection-reports/find-inspection-report/provider/ELS/136793 ","Ofsted School Webpage")</f>
        <v>Ofsted School Webpage</v>
      </c>
      <c r="B892" s="92">
        <v>136793</v>
      </c>
      <c r="C892" s="92">
        <v>9255221</v>
      </c>
      <c r="D892" s="92" t="s">
        <v>2480</v>
      </c>
      <c r="E892" s="92" t="s">
        <v>94</v>
      </c>
      <c r="F892" s="92" t="s">
        <v>429</v>
      </c>
      <c r="G892" s="9">
        <v>40695</v>
      </c>
      <c r="H892" s="92" t="s">
        <v>271</v>
      </c>
      <c r="I892" s="92" t="s">
        <v>271</v>
      </c>
      <c r="J892" s="92" t="s">
        <v>410</v>
      </c>
      <c r="K892" s="92" t="s">
        <v>273</v>
      </c>
      <c r="L892" s="92" t="s">
        <v>274</v>
      </c>
      <c r="M892" s="92" t="s">
        <v>100</v>
      </c>
      <c r="N892" s="92" t="s">
        <v>100</v>
      </c>
      <c r="O892" s="92" t="s">
        <v>104</v>
      </c>
      <c r="P892" s="92" t="s">
        <v>1197</v>
      </c>
      <c r="Q892" s="92" t="s">
        <v>2481</v>
      </c>
      <c r="R892" s="92">
        <v>3</v>
      </c>
      <c r="S892" s="92">
        <v>621</v>
      </c>
      <c r="T892" s="9">
        <v>44152</v>
      </c>
      <c r="U892" s="9">
        <v>44201</v>
      </c>
    </row>
    <row r="893" spans="1:21" x14ac:dyDescent="0.2">
      <c r="A893" s="10" t="str">
        <f>HYPERLINK("http://www.ofsted.gov.uk/inspection-reports/find-inspection-report/provider/ELS/137319 ","Ofsted School Webpage")</f>
        <v>Ofsted School Webpage</v>
      </c>
      <c r="B893" s="92">
        <v>137319</v>
      </c>
      <c r="C893" s="92">
        <v>8914452</v>
      </c>
      <c r="D893" s="92" t="s">
        <v>2482</v>
      </c>
      <c r="E893" s="92" t="s">
        <v>95</v>
      </c>
      <c r="F893" s="92" t="s">
        <v>429</v>
      </c>
      <c r="G893" s="9">
        <v>40756</v>
      </c>
      <c r="H893" s="92" t="s">
        <v>299</v>
      </c>
      <c r="I893" s="92" t="s">
        <v>300</v>
      </c>
      <c r="J893" s="92" t="s">
        <v>273</v>
      </c>
      <c r="K893" s="92" t="s">
        <v>273</v>
      </c>
      <c r="L893" s="92" t="s">
        <v>274</v>
      </c>
      <c r="M893" s="92" t="s">
        <v>100</v>
      </c>
      <c r="N893" s="92" t="s">
        <v>100</v>
      </c>
      <c r="O893" s="92" t="s">
        <v>105</v>
      </c>
      <c r="P893" s="92" t="s">
        <v>1037</v>
      </c>
      <c r="Q893" s="92" t="s">
        <v>2483</v>
      </c>
      <c r="R893" s="92">
        <v>2</v>
      </c>
      <c r="S893" s="92">
        <v>1517</v>
      </c>
      <c r="T893" s="9">
        <v>44152</v>
      </c>
      <c r="U893" s="9">
        <v>44179</v>
      </c>
    </row>
    <row r="894" spans="1:21" x14ac:dyDescent="0.2">
      <c r="A894" s="10" t="str">
        <f>HYPERLINK("http://www.ofsted.gov.uk/inspection-reports/find-inspection-report/provider/ELS/136649 ","Ofsted School Webpage")</f>
        <v>Ofsted School Webpage</v>
      </c>
      <c r="B894" s="92">
        <v>136649</v>
      </c>
      <c r="C894" s="92">
        <v>8394177</v>
      </c>
      <c r="D894" s="92" t="s">
        <v>2484</v>
      </c>
      <c r="E894" s="92" t="s">
        <v>95</v>
      </c>
      <c r="F894" s="92" t="s">
        <v>429</v>
      </c>
      <c r="G894" s="9">
        <v>40634</v>
      </c>
      <c r="H894" s="92" t="s">
        <v>299</v>
      </c>
      <c r="I894" s="92" t="s">
        <v>300</v>
      </c>
      <c r="J894" s="92" t="s">
        <v>273</v>
      </c>
      <c r="K894" s="92" t="s">
        <v>273</v>
      </c>
      <c r="L894" s="92" t="s">
        <v>274</v>
      </c>
      <c r="M894" s="92" t="s">
        <v>211</v>
      </c>
      <c r="N894" s="92" t="s">
        <v>211</v>
      </c>
      <c r="O894" s="92" t="s">
        <v>223</v>
      </c>
      <c r="P894" s="92" t="s">
        <v>1215</v>
      </c>
      <c r="Q894" s="92" t="s">
        <v>2485</v>
      </c>
      <c r="R894" s="92">
        <v>1</v>
      </c>
      <c r="S894" s="92">
        <v>1729</v>
      </c>
      <c r="T894" s="9">
        <v>44152</v>
      </c>
      <c r="U894" s="9">
        <v>44172</v>
      </c>
    </row>
    <row r="895" spans="1:21" x14ac:dyDescent="0.2">
      <c r="A895" s="10" t="str">
        <f>HYPERLINK("http://www.ofsted.gov.uk/inspection-reports/find-inspection-report/provider/ELS/137177 ","Ofsted School Webpage")</f>
        <v>Ofsted School Webpage</v>
      </c>
      <c r="B895" s="92">
        <v>137177</v>
      </c>
      <c r="C895" s="92">
        <v>3104033</v>
      </c>
      <c r="D895" s="92" t="s">
        <v>2486</v>
      </c>
      <c r="E895" s="92" t="s">
        <v>95</v>
      </c>
      <c r="F895" s="92" t="s">
        <v>429</v>
      </c>
      <c r="G895" s="9">
        <v>40756</v>
      </c>
      <c r="H895" s="92" t="s">
        <v>299</v>
      </c>
      <c r="I895" s="92" t="s">
        <v>300</v>
      </c>
      <c r="J895" s="92" t="s">
        <v>273</v>
      </c>
      <c r="K895" s="92" t="s">
        <v>273</v>
      </c>
      <c r="L895" s="92" t="s">
        <v>274</v>
      </c>
      <c r="M895" s="92" t="s">
        <v>122</v>
      </c>
      <c r="N895" s="92" t="s">
        <v>122</v>
      </c>
      <c r="O895" s="92" t="s">
        <v>145</v>
      </c>
      <c r="P895" s="92" t="s">
        <v>2487</v>
      </c>
      <c r="Q895" s="92" t="s">
        <v>2488</v>
      </c>
      <c r="R895" s="92">
        <v>2</v>
      </c>
      <c r="S895" s="92">
        <v>908</v>
      </c>
      <c r="T895" s="9">
        <v>44152</v>
      </c>
      <c r="U895" s="9">
        <v>44209</v>
      </c>
    </row>
    <row r="896" spans="1:21" x14ac:dyDescent="0.2">
      <c r="A896" s="10" t="str">
        <f>HYPERLINK("http://www.ofsted.gov.uk/inspection-reports/find-inspection-report/provider/ELS/136141 ","Ofsted School Webpage")</f>
        <v>Ofsted School Webpage</v>
      </c>
      <c r="B896" s="92">
        <v>136141</v>
      </c>
      <c r="C896" s="92">
        <v>3426905</v>
      </c>
      <c r="D896" s="92" t="s">
        <v>2489</v>
      </c>
      <c r="E896" s="92" t="s">
        <v>95</v>
      </c>
      <c r="F896" s="92" t="s">
        <v>409</v>
      </c>
      <c r="G896" s="9">
        <v>40422</v>
      </c>
      <c r="H896" s="92" t="s">
        <v>299</v>
      </c>
      <c r="I896" s="92" t="s">
        <v>300</v>
      </c>
      <c r="J896" s="92" t="s">
        <v>273</v>
      </c>
      <c r="K896" s="92" t="s">
        <v>410</v>
      </c>
      <c r="L896" s="92" t="s">
        <v>274</v>
      </c>
      <c r="M896" s="92" t="s">
        <v>168</v>
      </c>
      <c r="N896" s="92" t="s">
        <v>168</v>
      </c>
      <c r="O896" s="92" t="s">
        <v>182</v>
      </c>
      <c r="P896" s="92" t="s">
        <v>2185</v>
      </c>
      <c r="Q896" s="92" t="s">
        <v>2490</v>
      </c>
      <c r="R896" s="92">
        <v>5</v>
      </c>
      <c r="S896" s="92">
        <v>1244</v>
      </c>
      <c r="T896" s="9">
        <v>44152</v>
      </c>
      <c r="U896" s="9">
        <v>44175</v>
      </c>
    </row>
    <row r="897" spans="1:21" x14ac:dyDescent="0.2">
      <c r="A897" s="10" t="str">
        <f>HYPERLINK("http://www.ofsted.gov.uk/inspection-reports/find-inspection-report/provider/ELS/142083 ","Ofsted School Webpage")</f>
        <v>Ofsted School Webpage</v>
      </c>
      <c r="B897" s="92">
        <v>142083</v>
      </c>
      <c r="C897" s="92">
        <v>9362035</v>
      </c>
      <c r="D897" s="92" t="s">
        <v>2491</v>
      </c>
      <c r="E897" s="92" t="s">
        <v>94</v>
      </c>
      <c r="F897" s="92" t="s">
        <v>409</v>
      </c>
      <c r="G897" s="9">
        <v>42248</v>
      </c>
      <c r="H897" s="92" t="s">
        <v>271</v>
      </c>
      <c r="I897" s="92" t="s">
        <v>272</v>
      </c>
      <c r="J897" s="92" t="s">
        <v>346</v>
      </c>
      <c r="K897" s="92" t="s">
        <v>410</v>
      </c>
      <c r="L897" s="92" t="s">
        <v>347</v>
      </c>
      <c r="M897" s="92" t="s">
        <v>192</v>
      </c>
      <c r="N897" s="92" t="s">
        <v>192</v>
      </c>
      <c r="O897" s="92" t="s">
        <v>198</v>
      </c>
      <c r="P897" s="92" t="s">
        <v>2040</v>
      </c>
      <c r="Q897" s="92" t="s">
        <v>2492</v>
      </c>
      <c r="R897" s="92">
        <v>1</v>
      </c>
      <c r="S897" s="92">
        <v>188</v>
      </c>
      <c r="T897" s="9">
        <v>44152</v>
      </c>
      <c r="U897" s="9">
        <v>44209</v>
      </c>
    </row>
    <row r="898" spans="1:21" x14ac:dyDescent="0.2">
      <c r="A898" s="10" t="str">
        <f>HYPERLINK("http://www.ofsted.gov.uk/inspection-reports/find-inspection-report/provider/ELS/142072 ","Ofsted School Webpage")</f>
        <v>Ofsted School Webpage</v>
      </c>
      <c r="B898" s="92">
        <v>142072</v>
      </c>
      <c r="C898" s="92">
        <v>8702025</v>
      </c>
      <c r="D898" s="92" t="s">
        <v>2493</v>
      </c>
      <c r="E898" s="92" t="s">
        <v>94</v>
      </c>
      <c r="F898" s="92" t="s">
        <v>409</v>
      </c>
      <c r="G898" s="9">
        <v>42309</v>
      </c>
      <c r="H898" s="92" t="s">
        <v>271</v>
      </c>
      <c r="I898" s="92" t="s">
        <v>272</v>
      </c>
      <c r="J898" s="92" t="s">
        <v>273</v>
      </c>
      <c r="K898" s="92" t="s">
        <v>410</v>
      </c>
      <c r="L898" s="92" t="s">
        <v>274</v>
      </c>
      <c r="M898" s="92" t="s">
        <v>192</v>
      </c>
      <c r="N898" s="92" t="s">
        <v>192</v>
      </c>
      <c r="O898" s="92" t="s">
        <v>206</v>
      </c>
      <c r="P898" s="92" t="s">
        <v>686</v>
      </c>
      <c r="Q898" s="92" t="s">
        <v>2494</v>
      </c>
      <c r="R898" s="92">
        <v>4</v>
      </c>
      <c r="S898" s="92">
        <v>229</v>
      </c>
      <c r="T898" s="9">
        <v>44152</v>
      </c>
      <c r="U898" s="9">
        <v>44174</v>
      </c>
    </row>
    <row r="899" spans="1:21" x14ac:dyDescent="0.2">
      <c r="A899" s="10" t="str">
        <f>HYPERLINK("http://www.ofsted.gov.uk/inspection-reports/find-inspection-report/provider/ELS/139576 ","Ofsted School Webpage")</f>
        <v>Ofsted School Webpage</v>
      </c>
      <c r="B899" s="92">
        <v>139576</v>
      </c>
      <c r="C899" s="92">
        <v>8832005</v>
      </c>
      <c r="D899" s="92" t="s">
        <v>2495</v>
      </c>
      <c r="E899" s="92" t="s">
        <v>94</v>
      </c>
      <c r="F899" s="92" t="s">
        <v>409</v>
      </c>
      <c r="G899" s="9">
        <v>41456</v>
      </c>
      <c r="H899" s="92" t="s">
        <v>271</v>
      </c>
      <c r="I899" s="92" t="s">
        <v>272</v>
      </c>
      <c r="J899" s="92" t="s">
        <v>273</v>
      </c>
      <c r="K899" s="92" t="s">
        <v>410</v>
      </c>
      <c r="L899" s="92" t="s">
        <v>274</v>
      </c>
      <c r="M899" s="92" t="s">
        <v>110</v>
      </c>
      <c r="N899" s="92" t="s">
        <v>110</v>
      </c>
      <c r="O899" s="92" t="s">
        <v>113</v>
      </c>
      <c r="P899" s="92" t="s">
        <v>113</v>
      </c>
      <c r="Q899" s="92" t="s">
        <v>2496</v>
      </c>
      <c r="R899" s="92">
        <v>4</v>
      </c>
      <c r="S899" s="92">
        <v>541</v>
      </c>
      <c r="T899" s="9">
        <v>44152</v>
      </c>
      <c r="U899" s="9">
        <v>44213</v>
      </c>
    </row>
    <row r="900" spans="1:21" x14ac:dyDescent="0.2">
      <c r="A900" s="10" t="str">
        <f>HYPERLINK("http://www.ofsted.gov.uk/inspection-reports/find-inspection-report/provider/ELS/138497 ","Ofsted School Webpage")</f>
        <v>Ofsted School Webpage</v>
      </c>
      <c r="B900" s="92">
        <v>138497</v>
      </c>
      <c r="C900" s="92">
        <v>8612005</v>
      </c>
      <c r="D900" s="92" t="s">
        <v>2497</v>
      </c>
      <c r="E900" s="92" t="s">
        <v>94</v>
      </c>
      <c r="F900" s="92" t="s">
        <v>409</v>
      </c>
      <c r="G900" s="9">
        <v>41395</v>
      </c>
      <c r="H900" s="92" t="s">
        <v>271</v>
      </c>
      <c r="I900" s="92" t="s">
        <v>271</v>
      </c>
      <c r="J900" s="92" t="s">
        <v>410</v>
      </c>
      <c r="K900" s="92" t="s">
        <v>410</v>
      </c>
      <c r="L900" s="92" t="s">
        <v>274</v>
      </c>
      <c r="M900" s="92" t="s">
        <v>226</v>
      </c>
      <c r="N900" s="92" t="s">
        <v>226</v>
      </c>
      <c r="O900" s="92" t="s">
        <v>234</v>
      </c>
      <c r="P900" s="92" t="s">
        <v>2498</v>
      </c>
      <c r="Q900" s="92" t="s">
        <v>2499</v>
      </c>
      <c r="R900" s="92">
        <v>3</v>
      </c>
      <c r="S900" s="92">
        <v>233</v>
      </c>
      <c r="T900" s="9">
        <v>44152</v>
      </c>
      <c r="U900" s="9">
        <v>44178</v>
      </c>
    </row>
    <row r="901" spans="1:21" x14ac:dyDescent="0.2">
      <c r="A901" s="10" t="str">
        <f>HYPERLINK("http://www.ofsted.gov.uk/inspection-reports/find-inspection-report/provider/ELS/141252 ","Ofsted School Webpage")</f>
        <v>Ofsted School Webpage</v>
      </c>
      <c r="B901" s="92">
        <v>141252</v>
      </c>
      <c r="C901" s="92">
        <v>3307013</v>
      </c>
      <c r="D901" s="92" t="s">
        <v>2500</v>
      </c>
      <c r="E901" s="92" t="s">
        <v>96</v>
      </c>
      <c r="F901" s="92" t="s">
        <v>1095</v>
      </c>
      <c r="G901" s="9">
        <v>41883</v>
      </c>
      <c r="H901" s="92" t="s">
        <v>271</v>
      </c>
      <c r="I901" s="92" t="s">
        <v>300</v>
      </c>
      <c r="J901" s="92" t="s">
        <v>273</v>
      </c>
      <c r="K901" s="92" t="s">
        <v>410</v>
      </c>
      <c r="L901" s="92" t="s">
        <v>274</v>
      </c>
      <c r="M901" s="92" t="s">
        <v>226</v>
      </c>
      <c r="N901" s="92" t="s">
        <v>226</v>
      </c>
      <c r="O901" s="92" t="s">
        <v>232</v>
      </c>
      <c r="P901" s="92" t="s">
        <v>885</v>
      </c>
      <c r="Q901" s="92" t="s">
        <v>2501</v>
      </c>
      <c r="R901" s="92">
        <v>5</v>
      </c>
      <c r="S901" s="92">
        <v>395</v>
      </c>
      <c r="T901" s="9">
        <v>44152</v>
      </c>
      <c r="U901" s="9">
        <v>44178</v>
      </c>
    </row>
    <row r="902" spans="1:21" x14ac:dyDescent="0.2">
      <c r="A902" s="10" t="str">
        <f>HYPERLINK("http://www.ofsted.gov.uk/inspection-reports/find-inspection-report/provider/ELS/143494 ","Ofsted School Webpage")</f>
        <v>Ofsted School Webpage</v>
      </c>
      <c r="B902" s="92">
        <v>143494</v>
      </c>
      <c r="C902" s="92">
        <v>8663165</v>
      </c>
      <c r="D902" s="92" t="s">
        <v>2502</v>
      </c>
      <c r="E902" s="92" t="s">
        <v>94</v>
      </c>
      <c r="F902" s="92" t="s">
        <v>429</v>
      </c>
      <c r="G902" s="9">
        <v>42675</v>
      </c>
      <c r="H902" s="92" t="s">
        <v>271</v>
      </c>
      <c r="I902" s="92" t="s">
        <v>272</v>
      </c>
      <c r="J902" s="92" t="s">
        <v>346</v>
      </c>
      <c r="K902" s="92" t="s">
        <v>273</v>
      </c>
      <c r="L902" s="92" t="s">
        <v>347</v>
      </c>
      <c r="M902" s="92" t="s">
        <v>211</v>
      </c>
      <c r="N902" s="92" t="s">
        <v>211</v>
      </c>
      <c r="O902" s="92" t="s">
        <v>224</v>
      </c>
      <c r="P902" s="92" t="s">
        <v>1034</v>
      </c>
      <c r="Q902" s="92" t="s">
        <v>2503</v>
      </c>
      <c r="R902" s="92">
        <v>2</v>
      </c>
      <c r="S902" s="92">
        <v>112</v>
      </c>
      <c r="T902" s="9">
        <v>44152</v>
      </c>
      <c r="U902" s="9">
        <v>44179</v>
      </c>
    </row>
    <row r="903" spans="1:21" x14ac:dyDescent="0.2">
      <c r="A903" s="10" t="str">
        <f>HYPERLINK("http://www.ofsted.gov.uk/inspection-reports/find-inspection-report/provider/ELS/145613 ","Ofsted School Webpage")</f>
        <v>Ofsted School Webpage</v>
      </c>
      <c r="B903" s="92">
        <v>145613</v>
      </c>
      <c r="C903" s="92">
        <v>3402021</v>
      </c>
      <c r="D903" s="92" t="s">
        <v>2504</v>
      </c>
      <c r="E903" s="92" t="s">
        <v>94</v>
      </c>
      <c r="F903" s="92" t="s">
        <v>429</v>
      </c>
      <c r="G903" s="9">
        <v>43221</v>
      </c>
      <c r="H903" s="92" t="s">
        <v>271</v>
      </c>
      <c r="I903" s="92" t="s">
        <v>272</v>
      </c>
      <c r="J903" s="92" t="s">
        <v>273</v>
      </c>
      <c r="K903" s="92" t="s">
        <v>273</v>
      </c>
      <c r="L903" s="92" t="s">
        <v>274</v>
      </c>
      <c r="M903" s="92" t="s">
        <v>168</v>
      </c>
      <c r="N903" s="92" t="s">
        <v>168</v>
      </c>
      <c r="O903" s="92" t="s">
        <v>178</v>
      </c>
      <c r="P903" s="92" t="s">
        <v>2185</v>
      </c>
      <c r="Q903" s="92" t="s">
        <v>2505</v>
      </c>
      <c r="R903" s="92">
        <v>5</v>
      </c>
      <c r="S903" s="92">
        <v>319</v>
      </c>
      <c r="T903" s="9">
        <v>44152</v>
      </c>
      <c r="U903" s="9">
        <v>44209</v>
      </c>
    </row>
    <row r="904" spans="1:21" x14ac:dyDescent="0.2">
      <c r="A904" s="10" t="str">
        <f>HYPERLINK("http://www.ofsted.gov.uk/inspection-reports/find-inspection-report/provider/ELS/145954 ","Ofsted School Webpage")</f>
        <v>Ofsted School Webpage</v>
      </c>
      <c r="B904" s="92">
        <v>145954</v>
      </c>
      <c r="C904" s="92">
        <v>9254043</v>
      </c>
      <c r="D904" s="92" t="s">
        <v>2506</v>
      </c>
      <c r="E904" s="92" t="s">
        <v>95</v>
      </c>
      <c r="F904" s="92" t="s">
        <v>409</v>
      </c>
      <c r="G904" s="9">
        <v>43252</v>
      </c>
      <c r="H904" s="92" t="s">
        <v>484</v>
      </c>
      <c r="I904" s="92" t="s">
        <v>272</v>
      </c>
      <c r="J904" s="92" t="s">
        <v>410</v>
      </c>
      <c r="K904" s="92" t="s">
        <v>410</v>
      </c>
      <c r="L904" s="92" t="s">
        <v>274</v>
      </c>
      <c r="M904" s="92" t="s">
        <v>100</v>
      </c>
      <c r="N904" s="92" t="s">
        <v>100</v>
      </c>
      <c r="O904" s="92" t="s">
        <v>104</v>
      </c>
      <c r="P904" s="92" t="s">
        <v>1050</v>
      </c>
      <c r="Q904" s="92" t="s">
        <v>2507</v>
      </c>
      <c r="R904" s="92">
        <v>5</v>
      </c>
      <c r="S904" s="92">
        <v>591</v>
      </c>
      <c r="T904" s="9">
        <v>44152</v>
      </c>
      <c r="U904" s="9">
        <v>44181</v>
      </c>
    </row>
    <row r="905" spans="1:21" x14ac:dyDescent="0.2">
      <c r="A905" s="10" t="str">
        <f>HYPERLINK("http://www.ofsted.gov.uk/inspection-reports/find-inspection-report/provider/ELS/144257 ","Ofsted School Webpage")</f>
        <v>Ofsted School Webpage</v>
      </c>
      <c r="B905" s="92">
        <v>144257</v>
      </c>
      <c r="C905" s="92">
        <v>8853205</v>
      </c>
      <c r="D905" s="92" t="s">
        <v>2508</v>
      </c>
      <c r="E905" s="92" t="s">
        <v>94</v>
      </c>
      <c r="F905" s="92" t="s">
        <v>429</v>
      </c>
      <c r="G905" s="9">
        <v>42826</v>
      </c>
      <c r="H905" s="92" t="s">
        <v>271</v>
      </c>
      <c r="I905" s="92" t="s">
        <v>272</v>
      </c>
      <c r="J905" s="92" t="s">
        <v>346</v>
      </c>
      <c r="K905" s="92" t="s">
        <v>273</v>
      </c>
      <c r="L905" s="92" t="s">
        <v>347</v>
      </c>
      <c r="M905" s="92" t="s">
        <v>226</v>
      </c>
      <c r="N905" s="92" t="s">
        <v>226</v>
      </c>
      <c r="O905" s="92" t="s">
        <v>238</v>
      </c>
      <c r="P905" s="92" t="s">
        <v>1621</v>
      </c>
      <c r="Q905" s="92" t="s">
        <v>2509</v>
      </c>
      <c r="R905" s="92">
        <v>2</v>
      </c>
      <c r="S905" s="92">
        <v>296</v>
      </c>
      <c r="T905" s="9">
        <v>44152</v>
      </c>
      <c r="U905" s="9">
        <v>44175</v>
      </c>
    </row>
    <row r="906" spans="1:21" x14ac:dyDescent="0.2">
      <c r="A906" s="10" t="str">
        <f>HYPERLINK("http://www.ofsted.gov.uk/inspection-reports/find-inspection-report/provider/ELS/148347 ","Ofsted School Webpage")</f>
        <v>Ofsted School Webpage</v>
      </c>
      <c r="B906" s="92">
        <v>148347</v>
      </c>
      <c r="C906" s="92">
        <v>8855950</v>
      </c>
      <c r="D906" s="92" t="s">
        <v>2510</v>
      </c>
      <c r="E906" s="92" t="s">
        <v>96</v>
      </c>
      <c r="F906" s="92" t="s">
        <v>1095</v>
      </c>
      <c r="G906" s="9">
        <v>44136</v>
      </c>
      <c r="H906" s="92" t="s">
        <v>271</v>
      </c>
      <c r="I906" s="92" t="s">
        <v>300</v>
      </c>
      <c r="J906" s="92" t="s">
        <v>410</v>
      </c>
      <c r="K906" s="92" t="s">
        <v>410</v>
      </c>
      <c r="L906" s="92" t="s">
        <v>274</v>
      </c>
      <c r="M906" s="92" t="s">
        <v>226</v>
      </c>
      <c r="N906" s="92" t="s">
        <v>226</v>
      </c>
      <c r="O906" s="92" t="s">
        <v>238</v>
      </c>
      <c r="P906" s="92" t="s">
        <v>1621</v>
      </c>
      <c r="Q906" s="92" t="s">
        <v>2511</v>
      </c>
      <c r="R906" s="92" t="s">
        <v>270</v>
      </c>
      <c r="S906" s="92" t="s">
        <v>270</v>
      </c>
      <c r="T906" s="9">
        <v>44152</v>
      </c>
      <c r="U906" s="9">
        <v>44178</v>
      </c>
    </row>
    <row r="907" spans="1:21" x14ac:dyDescent="0.2">
      <c r="A907" s="10" t="str">
        <f>HYPERLINK("http://www.ofsted.gov.uk/inspection-reports/find-inspection-report/provider/ELS/142798 ","Ofsted School Webpage")</f>
        <v>Ofsted School Webpage</v>
      </c>
      <c r="B907" s="92">
        <v>142798</v>
      </c>
      <c r="C907" s="92">
        <v>3404613</v>
      </c>
      <c r="D907" s="92" t="s">
        <v>2512</v>
      </c>
      <c r="E907" s="92" t="s">
        <v>95</v>
      </c>
      <c r="F907" s="92" t="s">
        <v>429</v>
      </c>
      <c r="G907" s="9">
        <v>42583</v>
      </c>
      <c r="H907" s="92" t="s">
        <v>299</v>
      </c>
      <c r="I907" s="92" t="s">
        <v>272</v>
      </c>
      <c r="J907" s="92" t="s">
        <v>273</v>
      </c>
      <c r="K907" s="92" t="s">
        <v>273</v>
      </c>
      <c r="L907" s="92" t="s">
        <v>274</v>
      </c>
      <c r="M907" s="92" t="s">
        <v>168</v>
      </c>
      <c r="N907" s="92" t="s">
        <v>168</v>
      </c>
      <c r="O907" s="92" t="s">
        <v>178</v>
      </c>
      <c r="P907" s="92" t="s">
        <v>178</v>
      </c>
      <c r="Q907" s="92" t="s">
        <v>2513</v>
      </c>
      <c r="R907" s="92">
        <v>5</v>
      </c>
      <c r="S907" s="92">
        <v>798</v>
      </c>
      <c r="T907" s="9">
        <v>44152</v>
      </c>
      <c r="U907" s="9">
        <v>44174</v>
      </c>
    </row>
    <row r="908" spans="1:21" x14ac:dyDescent="0.2">
      <c r="A908" s="10" t="str">
        <f>HYPERLINK("http://www.ofsted.gov.uk/inspection-reports/find-inspection-report/provider/ELS/144551 ","Ofsted School Webpage")</f>
        <v>Ofsted School Webpage</v>
      </c>
      <c r="B908" s="92">
        <v>144551</v>
      </c>
      <c r="C908" s="92">
        <v>8082006</v>
      </c>
      <c r="D908" s="92" t="s">
        <v>2514</v>
      </c>
      <c r="E908" s="92" t="s">
        <v>94</v>
      </c>
      <c r="F908" s="92" t="s">
        <v>429</v>
      </c>
      <c r="G908" s="9">
        <v>42917</v>
      </c>
      <c r="H908" s="92" t="s">
        <v>271</v>
      </c>
      <c r="I908" s="92" t="s">
        <v>272</v>
      </c>
      <c r="J908" s="92" t="s">
        <v>346</v>
      </c>
      <c r="K908" s="92" t="s">
        <v>273</v>
      </c>
      <c r="L908" s="92" t="s">
        <v>347</v>
      </c>
      <c r="M908" s="92" t="s">
        <v>261</v>
      </c>
      <c r="N908" s="92" t="s">
        <v>155</v>
      </c>
      <c r="O908" s="92" t="s">
        <v>159</v>
      </c>
      <c r="P908" s="92" t="s">
        <v>2002</v>
      </c>
      <c r="Q908" s="92" t="s">
        <v>2515</v>
      </c>
      <c r="R908" s="92">
        <v>4</v>
      </c>
      <c r="S908" s="92">
        <v>426</v>
      </c>
      <c r="T908" s="9">
        <v>44152</v>
      </c>
      <c r="U908" s="9">
        <v>44202</v>
      </c>
    </row>
    <row r="909" spans="1:21" x14ac:dyDescent="0.2">
      <c r="A909" s="10" t="str">
        <f>HYPERLINK("http://www.ofsted.gov.uk/inspection-reports/find-inspection-report/provider/ELS/145123 ","Ofsted School Webpage")</f>
        <v>Ofsted School Webpage</v>
      </c>
      <c r="B909" s="92">
        <v>145123</v>
      </c>
      <c r="C909" s="92">
        <v>9162038</v>
      </c>
      <c r="D909" s="92" t="s">
        <v>2516</v>
      </c>
      <c r="E909" s="92" t="s">
        <v>94</v>
      </c>
      <c r="F909" s="92" t="s">
        <v>429</v>
      </c>
      <c r="G909" s="9">
        <v>42979</v>
      </c>
      <c r="H909" s="92" t="s">
        <v>484</v>
      </c>
      <c r="I909" s="92" t="s">
        <v>272</v>
      </c>
      <c r="J909" s="92" t="s">
        <v>410</v>
      </c>
      <c r="K909" s="92" t="s">
        <v>273</v>
      </c>
      <c r="L909" s="92" t="s">
        <v>274</v>
      </c>
      <c r="M909" s="92" t="s">
        <v>211</v>
      </c>
      <c r="N909" s="92" t="s">
        <v>211</v>
      </c>
      <c r="O909" s="92" t="s">
        <v>217</v>
      </c>
      <c r="P909" s="92" t="s">
        <v>1349</v>
      </c>
      <c r="Q909" s="92" t="s">
        <v>2517</v>
      </c>
      <c r="R909" s="92">
        <v>4</v>
      </c>
      <c r="S909" s="92">
        <v>150</v>
      </c>
      <c r="T909" s="9">
        <v>44152</v>
      </c>
      <c r="U909" s="9">
        <v>44172</v>
      </c>
    </row>
    <row r="910" spans="1:21" x14ac:dyDescent="0.2">
      <c r="A910" s="10" t="str">
        <f>HYPERLINK("http://www.ofsted.gov.uk/inspection-reports/find-inspection-report/provider/ELS/145382 ","Ofsted School Webpage")</f>
        <v>Ofsted School Webpage</v>
      </c>
      <c r="B910" s="92">
        <v>145382</v>
      </c>
      <c r="C910" s="92">
        <v>9353340</v>
      </c>
      <c r="D910" s="92" t="s">
        <v>2518</v>
      </c>
      <c r="E910" s="92" t="s">
        <v>94</v>
      </c>
      <c r="F910" s="92" t="s">
        <v>429</v>
      </c>
      <c r="G910" s="9">
        <v>43101</v>
      </c>
      <c r="H910" s="92" t="s">
        <v>271</v>
      </c>
      <c r="I910" s="92" t="s">
        <v>272</v>
      </c>
      <c r="J910" s="92" t="s">
        <v>352</v>
      </c>
      <c r="K910" s="92" t="s">
        <v>273</v>
      </c>
      <c r="L910" s="92" t="s">
        <v>347</v>
      </c>
      <c r="M910" s="92" t="s">
        <v>110</v>
      </c>
      <c r="N910" s="92" t="s">
        <v>110</v>
      </c>
      <c r="O910" s="92" t="s">
        <v>114</v>
      </c>
      <c r="P910" s="92" t="s">
        <v>328</v>
      </c>
      <c r="Q910" s="92" t="s">
        <v>2519</v>
      </c>
      <c r="R910" s="92">
        <v>2</v>
      </c>
      <c r="S910" s="92">
        <v>210</v>
      </c>
      <c r="T910" s="9">
        <v>44152</v>
      </c>
      <c r="U910" s="9">
        <v>44213</v>
      </c>
    </row>
    <row r="911" spans="1:21" x14ac:dyDescent="0.2">
      <c r="A911" s="10" t="str">
        <f>HYPERLINK("http://www.ofsted.gov.uk/inspection-reports/find-inspection-report/provider/ELS/140710 ","Ofsted School Webpage")</f>
        <v>Ofsted School Webpage</v>
      </c>
      <c r="B911" s="92">
        <v>140710</v>
      </c>
      <c r="C911" s="92">
        <v>3032046</v>
      </c>
      <c r="D911" s="92" t="s">
        <v>2520</v>
      </c>
      <c r="E911" s="92" t="s">
        <v>94</v>
      </c>
      <c r="F911" s="92" t="s">
        <v>429</v>
      </c>
      <c r="G911" s="9">
        <v>41730</v>
      </c>
      <c r="H911" s="92" t="s">
        <v>271</v>
      </c>
      <c r="I911" s="92" t="s">
        <v>272</v>
      </c>
      <c r="J911" s="92" t="s">
        <v>273</v>
      </c>
      <c r="K911" s="92" t="s">
        <v>273</v>
      </c>
      <c r="L911" s="92" t="s">
        <v>274</v>
      </c>
      <c r="M911" s="92" t="s">
        <v>122</v>
      </c>
      <c r="N911" s="92" t="s">
        <v>122</v>
      </c>
      <c r="O911" s="92" t="s">
        <v>131</v>
      </c>
      <c r="P911" s="92" t="s">
        <v>2521</v>
      </c>
      <c r="Q911" s="92" t="s">
        <v>2522</v>
      </c>
      <c r="R911" s="92">
        <v>1</v>
      </c>
      <c r="S911" s="92">
        <v>672</v>
      </c>
      <c r="T911" s="9">
        <v>44153</v>
      </c>
      <c r="U911" s="9">
        <v>44200</v>
      </c>
    </row>
    <row r="912" spans="1:21" x14ac:dyDescent="0.2">
      <c r="A912" s="10" t="str">
        <f>HYPERLINK("http://www.ofsted.gov.uk/inspection-reports/find-inspection-report/provider/ELS/145096 ","Ofsted School Webpage")</f>
        <v>Ofsted School Webpage</v>
      </c>
      <c r="B912" s="92">
        <v>145096</v>
      </c>
      <c r="C912" s="92">
        <v>3433341</v>
      </c>
      <c r="D912" s="92" t="s">
        <v>2523</v>
      </c>
      <c r="E912" s="92" t="s">
        <v>94</v>
      </c>
      <c r="F912" s="92" t="s">
        <v>429</v>
      </c>
      <c r="G912" s="9">
        <v>43040</v>
      </c>
      <c r="H912" s="92" t="s">
        <v>271</v>
      </c>
      <c r="I912" s="92" t="s">
        <v>272</v>
      </c>
      <c r="J912" s="92" t="s">
        <v>346</v>
      </c>
      <c r="K912" s="92" t="s">
        <v>273</v>
      </c>
      <c r="L912" s="92" t="s">
        <v>347</v>
      </c>
      <c r="M912" s="92" t="s">
        <v>168</v>
      </c>
      <c r="N912" s="92" t="s">
        <v>168</v>
      </c>
      <c r="O912" s="92" t="s">
        <v>183</v>
      </c>
      <c r="P912" s="92" t="s">
        <v>2194</v>
      </c>
      <c r="Q912" s="92" t="s">
        <v>2524</v>
      </c>
      <c r="R912" s="92">
        <v>2</v>
      </c>
      <c r="S912" s="92">
        <v>209</v>
      </c>
      <c r="T912" s="9">
        <v>44153</v>
      </c>
      <c r="U912" s="9">
        <v>44175</v>
      </c>
    </row>
    <row r="913" spans="1:21" x14ac:dyDescent="0.2">
      <c r="A913" s="10" t="str">
        <f>HYPERLINK("http://www.ofsted.gov.uk/inspection-reports/find-inspection-report/provider/ELS/102697 ","Ofsted School Webpage")</f>
        <v>Ofsted School Webpage</v>
      </c>
      <c r="B913" s="92">
        <v>102697</v>
      </c>
      <c r="C913" s="92">
        <v>3157003</v>
      </c>
      <c r="D913" s="92" t="s">
        <v>2525</v>
      </c>
      <c r="E913" s="92" t="s">
        <v>96</v>
      </c>
      <c r="F913" s="92" t="s">
        <v>401</v>
      </c>
      <c r="G913" s="92" t="s">
        <v>270</v>
      </c>
      <c r="H913" s="92" t="s">
        <v>271</v>
      </c>
      <c r="I913" s="92" t="s">
        <v>271</v>
      </c>
      <c r="J913" s="92" t="s">
        <v>273</v>
      </c>
      <c r="K913" s="92" t="s">
        <v>273</v>
      </c>
      <c r="L913" s="92" t="s">
        <v>274</v>
      </c>
      <c r="M913" s="92" t="s">
        <v>122</v>
      </c>
      <c r="N913" s="92" t="s">
        <v>122</v>
      </c>
      <c r="O913" s="92" t="s">
        <v>147</v>
      </c>
      <c r="P913" s="92" t="s">
        <v>1978</v>
      </c>
      <c r="Q913" s="92" t="s">
        <v>2526</v>
      </c>
      <c r="R913" s="92">
        <v>4</v>
      </c>
      <c r="S913" s="92">
        <v>32</v>
      </c>
      <c r="T913" s="9">
        <v>44153</v>
      </c>
      <c r="U913" s="9">
        <v>44180</v>
      </c>
    </row>
    <row r="914" spans="1:21" x14ac:dyDescent="0.2">
      <c r="A914" s="10" t="str">
        <f>HYPERLINK("http://www.ofsted.gov.uk/inspection-reports/find-inspection-report/provider/ELS/102143 ","Ofsted School Webpage")</f>
        <v>Ofsted School Webpage</v>
      </c>
      <c r="B914" s="92">
        <v>102143</v>
      </c>
      <c r="C914" s="92">
        <v>3093501</v>
      </c>
      <c r="D914" s="92" t="s">
        <v>2527</v>
      </c>
      <c r="E914" s="92" t="s">
        <v>94</v>
      </c>
      <c r="F914" s="92" t="s">
        <v>351</v>
      </c>
      <c r="G914" s="92" t="s">
        <v>270</v>
      </c>
      <c r="H914" s="92" t="s">
        <v>271</v>
      </c>
      <c r="I914" s="92" t="s">
        <v>272</v>
      </c>
      <c r="J914" s="92" t="s">
        <v>352</v>
      </c>
      <c r="K914" s="92" t="s">
        <v>273</v>
      </c>
      <c r="L914" s="92" t="s">
        <v>347</v>
      </c>
      <c r="M914" s="92" t="s">
        <v>122</v>
      </c>
      <c r="N914" s="92" t="s">
        <v>122</v>
      </c>
      <c r="O914" s="92" t="s">
        <v>128</v>
      </c>
      <c r="P914" s="92" t="s">
        <v>1819</v>
      </c>
      <c r="Q914" s="92" t="s">
        <v>2528</v>
      </c>
      <c r="R914" s="92">
        <v>5</v>
      </c>
      <c r="S914" s="92">
        <v>329</v>
      </c>
      <c r="T914" s="9">
        <v>44153</v>
      </c>
      <c r="U914" s="9">
        <v>44209</v>
      </c>
    </row>
    <row r="915" spans="1:21" x14ac:dyDescent="0.2">
      <c r="A915" s="10" t="str">
        <f>HYPERLINK("http://www.ofsted.gov.uk/inspection-reports/find-inspection-report/provider/ELS/114280 ","Ofsted School Webpage")</f>
        <v>Ofsted School Webpage</v>
      </c>
      <c r="B915" s="92">
        <v>114280</v>
      </c>
      <c r="C915" s="92">
        <v>8403506</v>
      </c>
      <c r="D915" s="92" t="s">
        <v>2529</v>
      </c>
      <c r="E915" s="92" t="s">
        <v>94</v>
      </c>
      <c r="F915" s="92" t="s">
        <v>351</v>
      </c>
      <c r="G915" s="92" t="s">
        <v>270</v>
      </c>
      <c r="H915" s="92" t="s">
        <v>271</v>
      </c>
      <c r="I915" s="92" t="s">
        <v>272</v>
      </c>
      <c r="J915" s="92" t="s">
        <v>352</v>
      </c>
      <c r="K915" s="92" t="s">
        <v>273</v>
      </c>
      <c r="L915" s="92" t="s">
        <v>347</v>
      </c>
      <c r="M915" s="92" t="s">
        <v>261</v>
      </c>
      <c r="N915" s="92" t="s">
        <v>155</v>
      </c>
      <c r="O915" s="92" t="s">
        <v>163</v>
      </c>
      <c r="P915" s="92" t="s">
        <v>2530</v>
      </c>
      <c r="Q915" s="92" t="s">
        <v>2531</v>
      </c>
      <c r="R915" s="92">
        <v>5</v>
      </c>
      <c r="S915" s="92">
        <v>68</v>
      </c>
      <c r="T915" s="9">
        <v>44154</v>
      </c>
      <c r="U915" s="9">
        <v>44179</v>
      </c>
    </row>
    <row r="916" spans="1:21" x14ac:dyDescent="0.2">
      <c r="A916" s="10" t="str">
        <f>HYPERLINK("http://www.ofsted.gov.uk/inspection-reports/find-inspection-report/provider/ELS/105351 ","Ofsted School Webpage")</f>
        <v>Ofsted School Webpage</v>
      </c>
      <c r="B916" s="92">
        <v>105351</v>
      </c>
      <c r="C916" s="92">
        <v>3513348</v>
      </c>
      <c r="D916" s="92" t="s">
        <v>2532</v>
      </c>
      <c r="E916" s="92" t="s">
        <v>94</v>
      </c>
      <c r="F916" s="92" t="s">
        <v>351</v>
      </c>
      <c r="G916" s="92" t="s">
        <v>270</v>
      </c>
      <c r="H916" s="92" t="s">
        <v>271</v>
      </c>
      <c r="I916" s="92" t="s">
        <v>272</v>
      </c>
      <c r="J916" s="92" t="s">
        <v>346</v>
      </c>
      <c r="K916" s="92" t="s">
        <v>273</v>
      </c>
      <c r="L916" s="92" t="s">
        <v>347</v>
      </c>
      <c r="M916" s="92" t="s">
        <v>168</v>
      </c>
      <c r="N916" s="92" t="s">
        <v>168</v>
      </c>
      <c r="O916" s="92" t="s">
        <v>184</v>
      </c>
      <c r="P916" s="92" t="s">
        <v>1102</v>
      </c>
      <c r="Q916" s="92" t="s">
        <v>2533</v>
      </c>
      <c r="R916" s="92">
        <v>4</v>
      </c>
      <c r="S916" s="92">
        <v>186</v>
      </c>
      <c r="T916" s="9">
        <v>44154</v>
      </c>
      <c r="U916" s="9">
        <v>44175</v>
      </c>
    </row>
    <row r="917" spans="1:21" x14ac:dyDescent="0.2">
      <c r="A917" s="10" t="str">
        <f>HYPERLINK("http://www.ofsted.gov.uk/inspection-reports/find-inspection-report/provider/ELS/104242 ","Ofsted School Webpage")</f>
        <v>Ofsted School Webpage</v>
      </c>
      <c r="B917" s="92">
        <v>104242</v>
      </c>
      <c r="C917" s="92">
        <v>3353325</v>
      </c>
      <c r="D917" s="92" t="s">
        <v>2534</v>
      </c>
      <c r="E917" s="92" t="s">
        <v>94</v>
      </c>
      <c r="F917" s="92" t="s">
        <v>351</v>
      </c>
      <c r="G917" s="9">
        <v>1</v>
      </c>
      <c r="H917" s="92" t="s">
        <v>271</v>
      </c>
      <c r="I917" s="92" t="s">
        <v>272</v>
      </c>
      <c r="J917" s="92" t="s">
        <v>352</v>
      </c>
      <c r="K917" s="92" t="s">
        <v>273</v>
      </c>
      <c r="L917" s="92" t="s">
        <v>347</v>
      </c>
      <c r="M917" s="92" t="s">
        <v>226</v>
      </c>
      <c r="N917" s="92" t="s">
        <v>226</v>
      </c>
      <c r="O917" s="92" t="s">
        <v>230</v>
      </c>
      <c r="P917" s="92" t="s">
        <v>1651</v>
      </c>
      <c r="Q917" s="92" t="s">
        <v>2535</v>
      </c>
      <c r="R917" s="92">
        <v>5</v>
      </c>
      <c r="S917" s="92">
        <v>175</v>
      </c>
      <c r="T917" s="9">
        <v>44154</v>
      </c>
      <c r="U917" s="9">
        <v>44178</v>
      </c>
    </row>
    <row r="918" spans="1:21" x14ac:dyDescent="0.2">
      <c r="A918" s="10" t="str">
        <f>HYPERLINK("http://www.ofsted.gov.uk/inspection-reports/find-inspection-report/provider/ELS/135481 ","Ofsted School Webpage")</f>
        <v>Ofsted School Webpage</v>
      </c>
      <c r="B918" s="92">
        <v>135481</v>
      </c>
      <c r="C918" s="92">
        <v>3404616</v>
      </c>
      <c r="D918" s="92" t="s">
        <v>2536</v>
      </c>
      <c r="E918" s="92" t="s">
        <v>95</v>
      </c>
      <c r="F918" s="92" t="s">
        <v>351</v>
      </c>
      <c r="G918" s="9">
        <v>40179</v>
      </c>
      <c r="H918" s="92" t="s">
        <v>299</v>
      </c>
      <c r="I918" s="92" t="s">
        <v>272</v>
      </c>
      <c r="J918" s="92" t="s">
        <v>352</v>
      </c>
      <c r="K918" s="92" t="s">
        <v>273</v>
      </c>
      <c r="L918" s="92" t="s">
        <v>347</v>
      </c>
      <c r="M918" s="92" t="s">
        <v>168</v>
      </c>
      <c r="N918" s="92" t="s">
        <v>168</v>
      </c>
      <c r="O918" s="92" t="s">
        <v>178</v>
      </c>
      <c r="P918" s="92" t="s">
        <v>2185</v>
      </c>
      <c r="Q918" s="92" t="s">
        <v>2537</v>
      </c>
      <c r="R918" s="92">
        <v>5</v>
      </c>
      <c r="S918" s="92">
        <v>794</v>
      </c>
      <c r="T918" s="9">
        <v>44154</v>
      </c>
      <c r="U918" s="9">
        <v>44182</v>
      </c>
    </row>
    <row r="919" spans="1:21" x14ac:dyDescent="0.2">
      <c r="A919" s="10" t="str">
        <f>HYPERLINK("http://www.ofsted.gov.uk/inspection-reports/find-inspection-report/provider/ELS/110825 ","Ofsted School Webpage")</f>
        <v>Ofsted School Webpage</v>
      </c>
      <c r="B919" s="92">
        <v>110825</v>
      </c>
      <c r="C919" s="92">
        <v>8743079</v>
      </c>
      <c r="D919" s="92" t="s">
        <v>2538</v>
      </c>
      <c r="E919" s="92" t="s">
        <v>94</v>
      </c>
      <c r="F919" s="92" t="s">
        <v>345</v>
      </c>
      <c r="G919" s="9">
        <v>1</v>
      </c>
      <c r="H919" s="92" t="s">
        <v>271</v>
      </c>
      <c r="I919" s="92" t="s">
        <v>272</v>
      </c>
      <c r="J919" s="92" t="s">
        <v>346</v>
      </c>
      <c r="K919" s="92" t="s">
        <v>273</v>
      </c>
      <c r="L919" s="92" t="s">
        <v>347</v>
      </c>
      <c r="M919" s="92" t="s">
        <v>110</v>
      </c>
      <c r="N919" s="92" t="s">
        <v>110</v>
      </c>
      <c r="O919" s="92" t="s">
        <v>115</v>
      </c>
      <c r="P919" s="92" t="s">
        <v>115</v>
      </c>
      <c r="Q919" s="92" t="s">
        <v>2539</v>
      </c>
      <c r="R919" s="92">
        <v>4</v>
      </c>
      <c r="S919" s="92">
        <v>422</v>
      </c>
      <c r="T919" s="9">
        <v>44154</v>
      </c>
      <c r="U919" s="9">
        <v>44175</v>
      </c>
    </row>
    <row r="920" spans="1:21" x14ac:dyDescent="0.2">
      <c r="A920" s="10" t="str">
        <f>HYPERLINK("http://www.ofsted.gov.uk/inspection-reports/find-inspection-report/provider/ELS/105218 ","Ofsted School Webpage")</f>
        <v>Ofsted School Webpage</v>
      </c>
      <c r="B920" s="92">
        <v>105218</v>
      </c>
      <c r="C920" s="92">
        <v>3503314</v>
      </c>
      <c r="D920" s="92" t="s">
        <v>2540</v>
      </c>
      <c r="E920" s="92" t="s">
        <v>94</v>
      </c>
      <c r="F920" s="92" t="s">
        <v>351</v>
      </c>
      <c r="G920" s="92" t="s">
        <v>270</v>
      </c>
      <c r="H920" s="92" t="s">
        <v>271</v>
      </c>
      <c r="I920" s="92" t="s">
        <v>272</v>
      </c>
      <c r="J920" s="92" t="s">
        <v>346</v>
      </c>
      <c r="K920" s="92" t="s">
        <v>273</v>
      </c>
      <c r="L920" s="92" t="s">
        <v>347</v>
      </c>
      <c r="M920" s="92" t="s">
        <v>168</v>
      </c>
      <c r="N920" s="92" t="s">
        <v>168</v>
      </c>
      <c r="O920" s="92" t="s">
        <v>187</v>
      </c>
      <c r="P920" s="92" t="s">
        <v>1105</v>
      </c>
      <c r="Q920" s="92" t="s">
        <v>2541</v>
      </c>
      <c r="R920" s="92">
        <v>5</v>
      </c>
      <c r="S920" s="92">
        <v>352</v>
      </c>
      <c r="T920" s="9">
        <v>44154</v>
      </c>
      <c r="U920" s="9">
        <v>44182</v>
      </c>
    </row>
    <row r="921" spans="1:21" x14ac:dyDescent="0.2">
      <c r="A921" s="10" t="str">
        <f>HYPERLINK("http://www.ofsted.gov.uk/inspection-reports/find-inspection-report/provider/ELS/121609 ","Ofsted School Webpage")</f>
        <v>Ofsted School Webpage</v>
      </c>
      <c r="B921" s="92">
        <v>121609</v>
      </c>
      <c r="C921" s="92">
        <v>8153307</v>
      </c>
      <c r="D921" s="92" t="s">
        <v>2542</v>
      </c>
      <c r="E921" s="92" t="s">
        <v>94</v>
      </c>
      <c r="F921" s="92" t="s">
        <v>351</v>
      </c>
      <c r="G921" s="92" t="s">
        <v>270</v>
      </c>
      <c r="H921" s="92" t="s">
        <v>271</v>
      </c>
      <c r="I921" s="92" t="s">
        <v>272</v>
      </c>
      <c r="J921" s="92" t="s">
        <v>346</v>
      </c>
      <c r="K921" s="92" t="s">
        <v>273</v>
      </c>
      <c r="L921" s="92" t="s">
        <v>347</v>
      </c>
      <c r="M921" s="92" t="s">
        <v>261</v>
      </c>
      <c r="N921" s="92" t="s">
        <v>241</v>
      </c>
      <c r="O921" s="92" t="s">
        <v>247</v>
      </c>
      <c r="P921" s="92" t="s">
        <v>638</v>
      </c>
      <c r="Q921" s="92" t="s">
        <v>2543</v>
      </c>
      <c r="R921" s="92">
        <v>1</v>
      </c>
      <c r="S921" s="92">
        <v>206</v>
      </c>
      <c r="T921" s="9">
        <v>44154</v>
      </c>
      <c r="U921" s="9">
        <v>44209</v>
      </c>
    </row>
    <row r="922" spans="1:21" x14ac:dyDescent="0.2">
      <c r="A922" s="10" t="str">
        <f>HYPERLINK("http://www.ofsted.gov.uk/inspection-reports/find-inspection-report/provider/ELS/106222 ","Ofsted School Webpage")</f>
        <v>Ofsted School Webpage</v>
      </c>
      <c r="B922" s="92">
        <v>106222</v>
      </c>
      <c r="C922" s="92">
        <v>3572073</v>
      </c>
      <c r="D922" s="92" t="s">
        <v>2544</v>
      </c>
      <c r="E922" s="92" t="s">
        <v>94</v>
      </c>
      <c r="F922" s="92" t="s">
        <v>269</v>
      </c>
      <c r="G922" s="92" t="s">
        <v>270</v>
      </c>
      <c r="H922" s="92" t="s">
        <v>271</v>
      </c>
      <c r="I922" s="92" t="s">
        <v>272</v>
      </c>
      <c r="J922" s="92" t="s">
        <v>273</v>
      </c>
      <c r="K922" s="92" t="s">
        <v>273</v>
      </c>
      <c r="L922" s="92" t="s">
        <v>274</v>
      </c>
      <c r="M922" s="92" t="s">
        <v>168</v>
      </c>
      <c r="N922" s="92" t="s">
        <v>168</v>
      </c>
      <c r="O922" s="92" t="s">
        <v>189</v>
      </c>
      <c r="P922" s="92" t="s">
        <v>2049</v>
      </c>
      <c r="Q922" s="92" t="s">
        <v>2545</v>
      </c>
      <c r="R922" s="92">
        <v>2</v>
      </c>
      <c r="S922" s="92">
        <v>179</v>
      </c>
      <c r="T922" s="9">
        <v>44154</v>
      </c>
      <c r="U922" s="9">
        <v>44182</v>
      </c>
    </row>
    <row r="923" spans="1:21" x14ac:dyDescent="0.2">
      <c r="A923" s="10" t="str">
        <f>HYPERLINK("http://www.ofsted.gov.uk/inspection-reports/find-inspection-report/provider/ELS/130866 ","Ofsted School Webpage")</f>
        <v>Ofsted School Webpage</v>
      </c>
      <c r="B923" s="92">
        <v>130866</v>
      </c>
      <c r="C923" s="92">
        <v>3842191</v>
      </c>
      <c r="D923" s="92" t="s">
        <v>2546</v>
      </c>
      <c r="E923" s="92" t="s">
        <v>94</v>
      </c>
      <c r="F923" s="92" t="s">
        <v>269</v>
      </c>
      <c r="G923" s="9">
        <v>35309</v>
      </c>
      <c r="H923" s="92" t="s">
        <v>271</v>
      </c>
      <c r="I923" s="92" t="s">
        <v>272</v>
      </c>
      <c r="J923" s="92" t="s">
        <v>273</v>
      </c>
      <c r="K923" s="92" t="s">
        <v>273</v>
      </c>
      <c r="L923" s="92" t="s">
        <v>274</v>
      </c>
      <c r="M923" s="92" t="s">
        <v>261</v>
      </c>
      <c r="N923" s="92" t="s">
        <v>241</v>
      </c>
      <c r="O923" s="92" t="s">
        <v>246</v>
      </c>
      <c r="P923" s="92" t="s">
        <v>702</v>
      </c>
      <c r="Q923" s="92" t="s">
        <v>2547</v>
      </c>
      <c r="R923" s="92">
        <v>4</v>
      </c>
      <c r="S923" s="92">
        <v>436</v>
      </c>
      <c r="T923" s="9">
        <v>44154</v>
      </c>
      <c r="U923" s="9">
        <v>44185</v>
      </c>
    </row>
    <row r="924" spans="1:21" x14ac:dyDescent="0.2">
      <c r="A924" s="10" t="str">
        <f>HYPERLINK("http://www.ofsted.gov.uk/inspection-reports/find-inspection-report/provider/ELS/115963 ","Ofsted School Webpage")</f>
        <v>Ofsted School Webpage</v>
      </c>
      <c r="B924" s="92">
        <v>115963</v>
      </c>
      <c r="C924" s="92">
        <v>8502211</v>
      </c>
      <c r="D924" s="92" t="s">
        <v>2548</v>
      </c>
      <c r="E924" s="92" t="s">
        <v>94</v>
      </c>
      <c r="F924" s="92" t="s">
        <v>269</v>
      </c>
      <c r="G924" s="92" t="s">
        <v>270</v>
      </c>
      <c r="H924" s="92" t="s">
        <v>271</v>
      </c>
      <c r="I924" s="92" t="s">
        <v>272</v>
      </c>
      <c r="J924" s="92" t="s">
        <v>273</v>
      </c>
      <c r="K924" s="92" t="s">
        <v>273</v>
      </c>
      <c r="L924" s="92" t="s">
        <v>274</v>
      </c>
      <c r="M924" s="92" t="s">
        <v>192</v>
      </c>
      <c r="N924" s="92" t="s">
        <v>192</v>
      </c>
      <c r="O924" s="92" t="s">
        <v>193</v>
      </c>
      <c r="P924" s="92" t="s">
        <v>1384</v>
      </c>
      <c r="Q924" s="92" t="s">
        <v>2549</v>
      </c>
      <c r="R924" s="92">
        <v>3</v>
      </c>
      <c r="S924" s="92">
        <v>185</v>
      </c>
      <c r="T924" s="9">
        <v>44154</v>
      </c>
      <c r="U924" s="9">
        <v>44200</v>
      </c>
    </row>
    <row r="925" spans="1:21" x14ac:dyDescent="0.2">
      <c r="A925" s="10" t="str">
        <f>HYPERLINK("http://www.ofsted.gov.uk/inspection-reports/find-inspection-report/provider/ELS/103783 ","Ofsted School Webpage")</f>
        <v>Ofsted School Webpage</v>
      </c>
      <c r="B925" s="92">
        <v>103783</v>
      </c>
      <c r="C925" s="92">
        <v>3322048</v>
      </c>
      <c r="D925" s="92" t="s">
        <v>2550</v>
      </c>
      <c r="E925" s="92" t="s">
        <v>94</v>
      </c>
      <c r="F925" s="92" t="s">
        <v>269</v>
      </c>
      <c r="G925" s="92" t="s">
        <v>270</v>
      </c>
      <c r="H925" s="92" t="s">
        <v>271</v>
      </c>
      <c r="I925" s="92" t="s">
        <v>272</v>
      </c>
      <c r="J925" s="92" t="s">
        <v>273</v>
      </c>
      <c r="K925" s="92" t="s">
        <v>273</v>
      </c>
      <c r="L925" s="92" t="s">
        <v>274</v>
      </c>
      <c r="M925" s="92" t="s">
        <v>226</v>
      </c>
      <c r="N925" s="92" t="s">
        <v>226</v>
      </c>
      <c r="O925" s="92" t="s">
        <v>240</v>
      </c>
      <c r="P925" s="92" t="s">
        <v>2266</v>
      </c>
      <c r="Q925" s="92" t="s">
        <v>2551</v>
      </c>
      <c r="R925" s="92">
        <v>5</v>
      </c>
      <c r="S925" s="92">
        <v>296</v>
      </c>
      <c r="T925" s="9">
        <v>44154</v>
      </c>
      <c r="U925" s="9">
        <v>44182</v>
      </c>
    </row>
    <row r="926" spans="1:21" x14ac:dyDescent="0.2">
      <c r="A926" s="10" t="str">
        <f>HYPERLINK("http://www.ofsted.gov.uk/inspection-reports/find-inspection-report/provider/ELS/100810 ","Ofsted School Webpage")</f>
        <v>Ofsted School Webpage</v>
      </c>
      <c r="B926" s="92">
        <v>100810</v>
      </c>
      <c r="C926" s="92">
        <v>2102526</v>
      </c>
      <c r="D926" s="92" t="s">
        <v>2552</v>
      </c>
      <c r="E926" s="92" t="s">
        <v>94</v>
      </c>
      <c r="F926" s="92" t="s">
        <v>269</v>
      </c>
      <c r="G926" s="92" t="s">
        <v>270</v>
      </c>
      <c r="H926" s="92" t="s">
        <v>271</v>
      </c>
      <c r="I926" s="92" t="s">
        <v>272</v>
      </c>
      <c r="J926" s="92" t="s">
        <v>273</v>
      </c>
      <c r="K926" s="92" t="s">
        <v>273</v>
      </c>
      <c r="L926" s="92" t="s">
        <v>274</v>
      </c>
      <c r="M926" s="92" t="s">
        <v>122</v>
      </c>
      <c r="N926" s="92" t="s">
        <v>122</v>
      </c>
      <c r="O926" s="92" t="s">
        <v>148</v>
      </c>
      <c r="P926" s="92" t="s">
        <v>1865</v>
      </c>
      <c r="Q926" s="92" t="s">
        <v>2553</v>
      </c>
      <c r="R926" s="92">
        <v>5</v>
      </c>
      <c r="S926" s="92">
        <v>417</v>
      </c>
      <c r="T926" s="9">
        <v>44154</v>
      </c>
      <c r="U926" s="9">
        <v>44174</v>
      </c>
    </row>
    <row r="927" spans="1:21" x14ac:dyDescent="0.2">
      <c r="A927" s="10" t="str">
        <f>HYPERLINK("http://www.ofsted.gov.uk/inspection-reports/find-inspection-report/provider/ELS/102728 ","Ofsted School Webpage")</f>
        <v>Ofsted School Webpage</v>
      </c>
      <c r="B927" s="92">
        <v>102728</v>
      </c>
      <c r="C927" s="92">
        <v>3162037</v>
      </c>
      <c r="D927" s="92" t="s">
        <v>2554</v>
      </c>
      <c r="E927" s="92" t="s">
        <v>94</v>
      </c>
      <c r="F927" s="92" t="s">
        <v>269</v>
      </c>
      <c r="G927" s="92" t="s">
        <v>270</v>
      </c>
      <c r="H927" s="92" t="s">
        <v>271</v>
      </c>
      <c r="I927" s="92" t="s">
        <v>272</v>
      </c>
      <c r="J927" s="92" t="s">
        <v>273</v>
      </c>
      <c r="K927" s="92" t="s">
        <v>273</v>
      </c>
      <c r="L927" s="92" t="s">
        <v>274</v>
      </c>
      <c r="M927" s="92" t="s">
        <v>122</v>
      </c>
      <c r="N927" s="92" t="s">
        <v>122</v>
      </c>
      <c r="O927" s="92" t="s">
        <v>138</v>
      </c>
      <c r="P927" s="92" t="s">
        <v>900</v>
      </c>
      <c r="Q927" s="92" t="s">
        <v>2555</v>
      </c>
      <c r="R927" s="92">
        <v>3</v>
      </c>
      <c r="S927" s="92">
        <v>576</v>
      </c>
      <c r="T927" s="9">
        <v>44154</v>
      </c>
      <c r="U927" s="9">
        <v>44200</v>
      </c>
    </row>
    <row r="928" spans="1:21" x14ac:dyDescent="0.2">
      <c r="A928" s="10" t="str">
        <f>HYPERLINK("http://www.ofsted.gov.uk/inspection-reports/find-inspection-report/provider/ELS/122363 ","Ofsted School Webpage")</f>
        <v>Ofsted School Webpage</v>
      </c>
      <c r="B928" s="92">
        <v>122363</v>
      </c>
      <c r="C928" s="92">
        <v>9294439</v>
      </c>
      <c r="D928" s="92" t="s">
        <v>2556</v>
      </c>
      <c r="E928" s="92" t="s">
        <v>95</v>
      </c>
      <c r="F928" s="92" t="s">
        <v>269</v>
      </c>
      <c r="G928" s="92" t="s">
        <v>270</v>
      </c>
      <c r="H928" s="92" t="s">
        <v>271</v>
      </c>
      <c r="I928" s="92" t="s">
        <v>300</v>
      </c>
      <c r="J928" s="92" t="s">
        <v>273</v>
      </c>
      <c r="K928" s="92" t="s">
        <v>273</v>
      </c>
      <c r="L928" s="92" t="s">
        <v>274</v>
      </c>
      <c r="M928" s="92" t="s">
        <v>261</v>
      </c>
      <c r="N928" s="92" t="s">
        <v>155</v>
      </c>
      <c r="O928" s="92" t="s">
        <v>158</v>
      </c>
      <c r="P928" s="92" t="s">
        <v>430</v>
      </c>
      <c r="Q928" s="92" t="s">
        <v>2557</v>
      </c>
      <c r="R928" s="92">
        <v>4</v>
      </c>
      <c r="S928" s="92">
        <v>740</v>
      </c>
      <c r="T928" s="9">
        <v>44154</v>
      </c>
      <c r="U928" s="9">
        <v>44209</v>
      </c>
    </row>
    <row r="929" spans="1:21" x14ac:dyDescent="0.2">
      <c r="A929" s="10" t="str">
        <f>HYPERLINK("http://www.ofsted.gov.uk/inspection-reports/find-inspection-report/provider/ELS/103082 ","Ofsted School Webpage")</f>
        <v>Ofsted School Webpage</v>
      </c>
      <c r="B929" s="92">
        <v>103082</v>
      </c>
      <c r="C929" s="92">
        <v>3202079</v>
      </c>
      <c r="D929" s="92" t="s">
        <v>2558</v>
      </c>
      <c r="E929" s="92" t="s">
        <v>94</v>
      </c>
      <c r="F929" s="92" t="s">
        <v>269</v>
      </c>
      <c r="G929" s="92" t="s">
        <v>270</v>
      </c>
      <c r="H929" s="92" t="s">
        <v>271</v>
      </c>
      <c r="I929" s="92" t="s">
        <v>272</v>
      </c>
      <c r="J929" s="92" t="s">
        <v>273</v>
      </c>
      <c r="K929" s="92" t="s">
        <v>273</v>
      </c>
      <c r="L929" s="92" t="s">
        <v>274</v>
      </c>
      <c r="M929" s="92" t="s">
        <v>122</v>
      </c>
      <c r="N929" s="92" t="s">
        <v>122</v>
      </c>
      <c r="O929" s="92" t="s">
        <v>143</v>
      </c>
      <c r="P929" s="92" t="s">
        <v>1589</v>
      </c>
      <c r="Q929" s="92" t="s">
        <v>2559</v>
      </c>
      <c r="R929" s="92">
        <v>4</v>
      </c>
      <c r="S929" s="92">
        <v>339</v>
      </c>
      <c r="T929" s="9">
        <v>44154</v>
      </c>
      <c r="U929" s="9">
        <v>44182</v>
      </c>
    </row>
    <row r="930" spans="1:21" x14ac:dyDescent="0.2">
      <c r="A930" s="10" t="str">
        <f>HYPERLINK("http://www.ofsted.gov.uk/inspection-reports/find-inspection-report/provider/ELS/124537 ","Ofsted School Webpage")</f>
        <v>Ofsted School Webpage</v>
      </c>
      <c r="B930" s="92">
        <v>124537</v>
      </c>
      <c r="C930" s="92">
        <v>9352011</v>
      </c>
      <c r="D930" s="92" t="s">
        <v>2560</v>
      </c>
      <c r="E930" s="92" t="s">
        <v>94</v>
      </c>
      <c r="F930" s="92" t="s">
        <v>269</v>
      </c>
      <c r="G930" s="92" t="s">
        <v>270</v>
      </c>
      <c r="H930" s="92" t="s">
        <v>271</v>
      </c>
      <c r="I930" s="92" t="s">
        <v>272</v>
      </c>
      <c r="J930" s="92" t="s">
        <v>273</v>
      </c>
      <c r="K930" s="92" t="s">
        <v>273</v>
      </c>
      <c r="L930" s="92" t="s">
        <v>274</v>
      </c>
      <c r="M930" s="92" t="s">
        <v>110</v>
      </c>
      <c r="N930" s="92" t="s">
        <v>110</v>
      </c>
      <c r="O930" s="92" t="s">
        <v>114</v>
      </c>
      <c r="P930" s="92" t="s">
        <v>2561</v>
      </c>
      <c r="Q930" s="92" t="s">
        <v>2562</v>
      </c>
      <c r="R930" s="92">
        <v>2</v>
      </c>
      <c r="S930" s="92">
        <v>203</v>
      </c>
      <c r="T930" s="9">
        <v>44154</v>
      </c>
      <c r="U930" s="9">
        <v>44200</v>
      </c>
    </row>
    <row r="931" spans="1:21" x14ac:dyDescent="0.2">
      <c r="A931" s="10" t="str">
        <f>HYPERLINK("http://www.ofsted.gov.uk/inspection-reports/find-inspection-report/provider/ELS/119187 ","Ofsted School Webpage")</f>
        <v>Ofsted School Webpage</v>
      </c>
      <c r="B931" s="92">
        <v>119187</v>
      </c>
      <c r="C931" s="92">
        <v>8882107</v>
      </c>
      <c r="D931" s="92" t="s">
        <v>2563</v>
      </c>
      <c r="E931" s="92" t="s">
        <v>94</v>
      </c>
      <c r="F931" s="92" t="s">
        <v>269</v>
      </c>
      <c r="G931" s="92" t="s">
        <v>270</v>
      </c>
      <c r="H931" s="92" t="s">
        <v>271</v>
      </c>
      <c r="I931" s="92" t="s">
        <v>272</v>
      </c>
      <c r="J931" s="92" t="s">
        <v>273</v>
      </c>
      <c r="K931" s="92" t="s">
        <v>273</v>
      </c>
      <c r="L931" s="92" t="s">
        <v>274</v>
      </c>
      <c r="M931" s="92" t="s">
        <v>168</v>
      </c>
      <c r="N931" s="92" t="s">
        <v>168</v>
      </c>
      <c r="O931" s="92" t="s">
        <v>169</v>
      </c>
      <c r="P931" s="92" t="s">
        <v>377</v>
      </c>
      <c r="Q931" s="92" t="s">
        <v>2564</v>
      </c>
      <c r="R931" s="92">
        <v>4</v>
      </c>
      <c r="S931" s="92">
        <v>193</v>
      </c>
      <c r="T931" s="9">
        <v>44154</v>
      </c>
      <c r="U931" s="9">
        <v>44209</v>
      </c>
    </row>
    <row r="932" spans="1:21" x14ac:dyDescent="0.2">
      <c r="A932" s="10" t="str">
        <f>HYPERLINK("http://www.ofsted.gov.uk/inspection-reports/find-inspection-report/provider/ELS/114789 ","Ofsted School Webpage")</f>
        <v>Ofsted School Webpage</v>
      </c>
      <c r="B932" s="92">
        <v>114789</v>
      </c>
      <c r="C932" s="92">
        <v>8822126</v>
      </c>
      <c r="D932" s="92" t="s">
        <v>2565</v>
      </c>
      <c r="E932" s="92" t="s">
        <v>94</v>
      </c>
      <c r="F932" s="92" t="s">
        <v>269</v>
      </c>
      <c r="G932" s="92" t="s">
        <v>270</v>
      </c>
      <c r="H932" s="92" t="s">
        <v>271</v>
      </c>
      <c r="I932" s="92" t="s">
        <v>272</v>
      </c>
      <c r="J932" s="92" t="s">
        <v>273</v>
      </c>
      <c r="K932" s="92" t="s">
        <v>273</v>
      </c>
      <c r="L932" s="92" t="s">
        <v>274</v>
      </c>
      <c r="M932" s="92" t="s">
        <v>110</v>
      </c>
      <c r="N932" s="92" t="s">
        <v>110</v>
      </c>
      <c r="O932" s="92" t="s">
        <v>121</v>
      </c>
      <c r="P932" s="92" t="s">
        <v>1673</v>
      </c>
      <c r="Q932" s="92" t="s">
        <v>2566</v>
      </c>
      <c r="R932" s="92">
        <v>2</v>
      </c>
      <c r="S932" s="92">
        <v>401</v>
      </c>
      <c r="T932" s="9">
        <v>44154</v>
      </c>
      <c r="U932" s="9">
        <v>44209</v>
      </c>
    </row>
    <row r="933" spans="1:21" x14ac:dyDescent="0.2">
      <c r="A933" s="10" t="str">
        <f>HYPERLINK("http://www.ofsted.gov.uk/inspection-reports/find-inspection-report/provider/ELS/105017 ","Ofsted School Webpage")</f>
        <v>Ofsted School Webpage</v>
      </c>
      <c r="B933" s="92">
        <v>105017</v>
      </c>
      <c r="C933" s="92">
        <v>3442214</v>
      </c>
      <c r="D933" s="92" t="s">
        <v>2567</v>
      </c>
      <c r="E933" s="92" t="s">
        <v>94</v>
      </c>
      <c r="F933" s="92" t="s">
        <v>269</v>
      </c>
      <c r="G933" s="92" t="s">
        <v>270</v>
      </c>
      <c r="H933" s="92" t="s">
        <v>271</v>
      </c>
      <c r="I933" s="92" t="s">
        <v>272</v>
      </c>
      <c r="J933" s="92" t="s">
        <v>273</v>
      </c>
      <c r="K933" s="92" t="s">
        <v>273</v>
      </c>
      <c r="L933" s="92" t="s">
        <v>274</v>
      </c>
      <c r="M933" s="92" t="s">
        <v>168</v>
      </c>
      <c r="N933" s="92" t="s">
        <v>168</v>
      </c>
      <c r="O933" s="92" t="s">
        <v>181</v>
      </c>
      <c r="P933" s="92" t="s">
        <v>2568</v>
      </c>
      <c r="Q933" s="92" t="s">
        <v>2569</v>
      </c>
      <c r="R933" s="92">
        <v>4</v>
      </c>
      <c r="S933" s="92">
        <v>188</v>
      </c>
      <c r="T933" s="9">
        <v>44154</v>
      </c>
      <c r="U933" s="9">
        <v>44200</v>
      </c>
    </row>
    <row r="934" spans="1:21" x14ac:dyDescent="0.2">
      <c r="A934" s="10" t="str">
        <f>HYPERLINK("http://www.ofsted.gov.uk/inspection-reports/find-inspection-report/provider/ELS/101508 ","Ofsted School Webpage")</f>
        <v>Ofsted School Webpage</v>
      </c>
      <c r="B934" s="92">
        <v>101508</v>
      </c>
      <c r="C934" s="92">
        <v>3042034</v>
      </c>
      <c r="D934" s="92" t="s">
        <v>2570</v>
      </c>
      <c r="E934" s="92" t="s">
        <v>94</v>
      </c>
      <c r="F934" s="92" t="s">
        <v>269</v>
      </c>
      <c r="G934" s="92" t="s">
        <v>270</v>
      </c>
      <c r="H934" s="92" t="s">
        <v>271</v>
      </c>
      <c r="I934" s="92" t="s">
        <v>272</v>
      </c>
      <c r="J934" s="92" t="s">
        <v>273</v>
      </c>
      <c r="K934" s="92" t="s">
        <v>273</v>
      </c>
      <c r="L934" s="92" t="s">
        <v>274</v>
      </c>
      <c r="M934" s="92" t="s">
        <v>122</v>
      </c>
      <c r="N934" s="92" t="s">
        <v>122</v>
      </c>
      <c r="O934" s="92" t="s">
        <v>132</v>
      </c>
      <c r="P934" s="92" t="s">
        <v>2571</v>
      </c>
      <c r="Q934" s="92" t="s">
        <v>2572</v>
      </c>
      <c r="R934" s="92">
        <v>4</v>
      </c>
      <c r="S934" s="92">
        <v>229</v>
      </c>
      <c r="T934" s="9">
        <v>44154</v>
      </c>
      <c r="U934" s="9">
        <v>44213</v>
      </c>
    </row>
    <row r="935" spans="1:21" x14ac:dyDescent="0.2">
      <c r="A935" s="10" t="str">
        <f>HYPERLINK("http://www.ofsted.gov.uk/inspection-reports/find-inspection-report/provider/ELS/101014 ","Ofsted School Webpage")</f>
        <v>Ofsted School Webpage</v>
      </c>
      <c r="B935" s="92">
        <v>101014</v>
      </c>
      <c r="C935" s="92">
        <v>2122334</v>
      </c>
      <c r="D935" s="92" t="s">
        <v>2573</v>
      </c>
      <c r="E935" s="92" t="s">
        <v>94</v>
      </c>
      <c r="F935" s="92" t="s">
        <v>269</v>
      </c>
      <c r="G935" s="92" t="s">
        <v>270</v>
      </c>
      <c r="H935" s="92" t="s">
        <v>271</v>
      </c>
      <c r="I935" s="92" t="s">
        <v>272</v>
      </c>
      <c r="J935" s="92" t="s">
        <v>273</v>
      </c>
      <c r="K935" s="92" t="s">
        <v>273</v>
      </c>
      <c r="L935" s="92" t="s">
        <v>274</v>
      </c>
      <c r="M935" s="92" t="s">
        <v>122</v>
      </c>
      <c r="N935" s="92" t="s">
        <v>122</v>
      </c>
      <c r="O935" s="92" t="s">
        <v>151</v>
      </c>
      <c r="P935" s="92" t="s">
        <v>2574</v>
      </c>
      <c r="Q935" s="92" t="s">
        <v>2575</v>
      </c>
      <c r="R935" s="92">
        <v>4</v>
      </c>
      <c r="S935" s="92">
        <v>223</v>
      </c>
      <c r="T935" s="9">
        <v>44154</v>
      </c>
      <c r="U935" s="9">
        <v>44180</v>
      </c>
    </row>
    <row r="936" spans="1:21" x14ac:dyDescent="0.2">
      <c r="A936" s="10" t="str">
        <f>HYPERLINK("http://www.ofsted.gov.uk/inspection-reports/find-inspection-report/provider/ELS/116069 ","Ofsted School Webpage")</f>
        <v>Ofsted School Webpage</v>
      </c>
      <c r="B936" s="92">
        <v>116069</v>
      </c>
      <c r="C936" s="92">
        <v>8502372</v>
      </c>
      <c r="D936" s="92" t="s">
        <v>2576</v>
      </c>
      <c r="E936" s="92" t="s">
        <v>94</v>
      </c>
      <c r="F936" s="92" t="s">
        <v>269</v>
      </c>
      <c r="G936" s="92" t="s">
        <v>270</v>
      </c>
      <c r="H936" s="92" t="s">
        <v>271</v>
      </c>
      <c r="I936" s="92" t="s">
        <v>272</v>
      </c>
      <c r="J936" s="92" t="s">
        <v>273</v>
      </c>
      <c r="K936" s="92" t="s">
        <v>273</v>
      </c>
      <c r="L936" s="92" t="s">
        <v>274</v>
      </c>
      <c r="M936" s="92" t="s">
        <v>192</v>
      </c>
      <c r="N936" s="92" t="s">
        <v>192</v>
      </c>
      <c r="O936" s="92" t="s">
        <v>193</v>
      </c>
      <c r="P936" s="92" t="s">
        <v>1919</v>
      </c>
      <c r="Q936" s="92" t="s">
        <v>2577</v>
      </c>
      <c r="R936" s="92">
        <v>2</v>
      </c>
      <c r="S936" s="92">
        <v>158</v>
      </c>
      <c r="T936" s="9">
        <v>44154</v>
      </c>
      <c r="U936" s="9">
        <v>44180</v>
      </c>
    </row>
    <row r="937" spans="1:21" x14ac:dyDescent="0.2">
      <c r="A937" s="10" t="str">
        <f>HYPERLINK("http://www.ofsted.gov.uk/inspection-reports/find-inspection-report/provider/ELS/100740 ","Ofsted School Webpage")</f>
        <v>Ofsted School Webpage</v>
      </c>
      <c r="B937" s="92">
        <v>100740</v>
      </c>
      <c r="C937" s="92">
        <v>2094047</v>
      </c>
      <c r="D937" s="92" t="s">
        <v>2578</v>
      </c>
      <c r="E937" s="92" t="s">
        <v>95</v>
      </c>
      <c r="F937" s="92" t="s">
        <v>269</v>
      </c>
      <c r="G937" s="92" t="s">
        <v>270</v>
      </c>
      <c r="H937" s="92" t="s">
        <v>299</v>
      </c>
      <c r="I937" s="92" t="s">
        <v>271</v>
      </c>
      <c r="J937" s="92" t="s">
        <v>273</v>
      </c>
      <c r="K937" s="92" t="s">
        <v>273</v>
      </c>
      <c r="L937" s="92" t="s">
        <v>274</v>
      </c>
      <c r="M937" s="92" t="s">
        <v>122</v>
      </c>
      <c r="N937" s="92" t="s">
        <v>122</v>
      </c>
      <c r="O937" s="92" t="s">
        <v>135</v>
      </c>
      <c r="P937" s="92" t="s">
        <v>2579</v>
      </c>
      <c r="Q937" s="92" t="s">
        <v>2580</v>
      </c>
      <c r="R937" s="92">
        <v>5</v>
      </c>
      <c r="S937" s="92">
        <v>921</v>
      </c>
      <c r="T937" s="9">
        <v>44154</v>
      </c>
      <c r="U937" s="9">
        <v>44213</v>
      </c>
    </row>
    <row r="938" spans="1:21" x14ac:dyDescent="0.2">
      <c r="A938" s="10" t="str">
        <f>HYPERLINK("http://www.ofsted.gov.uk/inspection-reports/find-inspection-report/provider/ELS/117157 ","Ofsted School Webpage")</f>
        <v>Ofsted School Webpage</v>
      </c>
      <c r="B938" s="92">
        <v>117157</v>
      </c>
      <c r="C938" s="92">
        <v>9192117</v>
      </c>
      <c r="D938" s="92" t="s">
        <v>2581</v>
      </c>
      <c r="E938" s="92" t="s">
        <v>94</v>
      </c>
      <c r="F938" s="92" t="s">
        <v>269</v>
      </c>
      <c r="G938" s="92" t="s">
        <v>270</v>
      </c>
      <c r="H938" s="92" t="s">
        <v>271</v>
      </c>
      <c r="I938" s="92" t="s">
        <v>272</v>
      </c>
      <c r="J938" s="92" t="s">
        <v>273</v>
      </c>
      <c r="K938" s="92" t="s">
        <v>273</v>
      </c>
      <c r="L938" s="92" t="s">
        <v>274</v>
      </c>
      <c r="M938" s="92" t="s">
        <v>110</v>
      </c>
      <c r="N938" s="92" t="s">
        <v>110</v>
      </c>
      <c r="O938" s="92" t="s">
        <v>117</v>
      </c>
      <c r="P938" s="92" t="s">
        <v>496</v>
      </c>
      <c r="Q938" s="92" t="s">
        <v>2582</v>
      </c>
      <c r="R938" s="92">
        <v>1</v>
      </c>
      <c r="S938" s="92">
        <v>179</v>
      </c>
      <c r="T938" s="9">
        <v>44154</v>
      </c>
      <c r="U938" s="9">
        <v>44209</v>
      </c>
    </row>
    <row r="939" spans="1:21" x14ac:dyDescent="0.2">
      <c r="A939" s="10" t="str">
        <f>HYPERLINK("http://www.ofsted.gov.uk/inspection-reports/find-inspection-report/provider/ELS/141410 ","Ofsted School Webpage")</f>
        <v>Ofsted School Webpage</v>
      </c>
      <c r="B939" s="92">
        <v>141410</v>
      </c>
      <c r="C939" s="92">
        <v>3352019</v>
      </c>
      <c r="D939" s="92" t="s">
        <v>2583</v>
      </c>
      <c r="E939" s="92" t="s">
        <v>94</v>
      </c>
      <c r="F939" s="92" t="s">
        <v>409</v>
      </c>
      <c r="G939" s="9">
        <v>42248</v>
      </c>
      <c r="H939" s="92" t="s">
        <v>299</v>
      </c>
      <c r="I939" s="92" t="s">
        <v>272</v>
      </c>
      <c r="J939" s="92" t="s">
        <v>346</v>
      </c>
      <c r="K939" s="92" t="s">
        <v>410</v>
      </c>
      <c r="L939" s="92" t="s">
        <v>347</v>
      </c>
      <c r="M939" s="92" t="s">
        <v>226</v>
      </c>
      <c r="N939" s="92" t="s">
        <v>226</v>
      </c>
      <c r="O939" s="92" t="s">
        <v>230</v>
      </c>
      <c r="P939" s="92" t="s">
        <v>1992</v>
      </c>
      <c r="Q939" s="92" t="s">
        <v>2584</v>
      </c>
      <c r="R939" s="92">
        <v>5</v>
      </c>
      <c r="S939" s="92">
        <v>297</v>
      </c>
      <c r="T939" s="9">
        <v>44154</v>
      </c>
      <c r="U939" s="9">
        <v>44175</v>
      </c>
    </row>
    <row r="940" spans="1:21" x14ac:dyDescent="0.2">
      <c r="A940" s="10" t="str">
        <f>HYPERLINK("http://www.ofsted.gov.uk/inspection-reports/find-inspection-report/provider/ELS/141690 ","Ofsted School Webpage")</f>
        <v>Ofsted School Webpage</v>
      </c>
      <c r="B940" s="92">
        <v>141690</v>
      </c>
      <c r="C940" s="92">
        <v>8732036</v>
      </c>
      <c r="D940" s="92" t="s">
        <v>2585</v>
      </c>
      <c r="E940" s="92" t="s">
        <v>94</v>
      </c>
      <c r="F940" s="92" t="s">
        <v>409</v>
      </c>
      <c r="G940" s="9">
        <v>42614</v>
      </c>
      <c r="H940" s="92" t="s">
        <v>271</v>
      </c>
      <c r="I940" s="92" t="s">
        <v>272</v>
      </c>
      <c r="J940" s="92" t="s">
        <v>273</v>
      </c>
      <c r="K940" s="92" t="s">
        <v>410</v>
      </c>
      <c r="L940" s="92" t="s">
        <v>274</v>
      </c>
      <c r="M940" s="92" t="s">
        <v>110</v>
      </c>
      <c r="N940" s="92" t="s">
        <v>110</v>
      </c>
      <c r="O940" s="92" t="s">
        <v>112</v>
      </c>
      <c r="P940" s="92" t="s">
        <v>2030</v>
      </c>
      <c r="Q940" s="92" t="s">
        <v>2586</v>
      </c>
      <c r="R940" s="92">
        <v>1</v>
      </c>
      <c r="S940" s="92">
        <v>148</v>
      </c>
      <c r="T940" s="9">
        <v>44154</v>
      </c>
      <c r="U940" s="9">
        <v>44200</v>
      </c>
    </row>
    <row r="941" spans="1:21" x14ac:dyDescent="0.2">
      <c r="A941" s="10" t="str">
        <f>HYPERLINK("http://www.ofsted.gov.uk/inspection-reports/find-inspection-report/provider/ELS/137036 ","Ofsted School Webpage")</f>
        <v>Ofsted School Webpage</v>
      </c>
      <c r="B941" s="92">
        <v>137036</v>
      </c>
      <c r="C941" s="92">
        <v>3815404</v>
      </c>
      <c r="D941" s="92" t="s">
        <v>2587</v>
      </c>
      <c r="E941" s="92" t="s">
        <v>95</v>
      </c>
      <c r="F941" s="92" t="s">
        <v>409</v>
      </c>
      <c r="G941" s="9">
        <v>40756</v>
      </c>
      <c r="H941" s="92" t="s">
        <v>299</v>
      </c>
      <c r="I941" s="92" t="s">
        <v>300</v>
      </c>
      <c r="J941" s="92" t="s">
        <v>410</v>
      </c>
      <c r="K941" s="92" t="s">
        <v>410</v>
      </c>
      <c r="L941" s="92" t="s">
        <v>274</v>
      </c>
      <c r="M941" s="92" t="s">
        <v>261</v>
      </c>
      <c r="N941" s="92" t="s">
        <v>241</v>
      </c>
      <c r="O941" s="92" t="s">
        <v>256</v>
      </c>
      <c r="P941" s="92" t="s">
        <v>2588</v>
      </c>
      <c r="Q941" s="92" t="s">
        <v>2589</v>
      </c>
      <c r="R941" s="92">
        <v>3</v>
      </c>
      <c r="S941" s="92">
        <v>1295</v>
      </c>
      <c r="T941" s="9">
        <v>44154</v>
      </c>
      <c r="U941" s="9">
        <v>44180</v>
      </c>
    </row>
    <row r="942" spans="1:21" x14ac:dyDescent="0.2">
      <c r="A942" s="10" t="str">
        <f>HYPERLINK("http://www.ofsted.gov.uk/inspection-reports/find-inspection-report/provider/ELS/134937 ","Ofsted School Webpage")</f>
        <v>Ofsted School Webpage</v>
      </c>
      <c r="B942" s="92">
        <v>134937</v>
      </c>
      <c r="C942" s="92">
        <v>8737025</v>
      </c>
      <c r="D942" s="92" t="s">
        <v>2590</v>
      </c>
      <c r="E942" s="92" t="s">
        <v>96</v>
      </c>
      <c r="F942" s="92" t="s">
        <v>401</v>
      </c>
      <c r="G942" s="9">
        <v>38961</v>
      </c>
      <c r="H942" s="92" t="s">
        <v>271</v>
      </c>
      <c r="I942" s="92" t="s">
        <v>300</v>
      </c>
      <c r="J942" s="92" t="s">
        <v>273</v>
      </c>
      <c r="K942" s="92" t="s">
        <v>273</v>
      </c>
      <c r="L942" s="92" t="s">
        <v>274</v>
      </c>
      <c r="M942" s="92" t="s">
        <v>110</v>
      </c>
      <c r="N942" s="92" t="s">
        <v>110</v>
      </c>
      <c r="O942" s="92" t="s">
        <v>112</v>
      </c>
      <c r="P942" s="92" t="s">
        <v>810</v>
      </c>
      <c r="Q942" s="92" t="s">
        <v>2591</v>
      </c>
      <c r="R942" s="92">
        <v>2</v>
      </c>
      <c r="S942" s="92">
        <v>142</v>
      </c>
      <c r="T942" s="9">
        <v>44154</v>
      </c>
      <c r="U942" s="9">
        <v>44182</v>
      </c>
    </row>
    <row r="943" spans="1:21" x14ac:dyDescent="0.2">
      <c r="A943" s="10" t="str">
        <f>HYPERLINK("http://www.ofsted.gov.uk/inspection-reports/find-inspection-report/provider/ELS/107891 ","Ofsted School Webpage")</f>
        <v>Ofsted School Webpage</v>
      </c>
      <c r="B943" s="92">
        <v>107891</v>
      </c>
      <c r="C943" s="92">
        <v>3832415</v>
      </c>
      <c r="D943" s="92" t="s">
        <v>2592</v>
      </c>
      <c r="E943" s="92" t="s">
        <v>94</v>
      </c>
      <c r="F943" s="92" t="s">
        <v>397</v>
      </c>
      <c r="G943" s="92" t="s">
        <v>270</v>
      </c>
      <c r="H943" s="92" t="s">
        <v>271</v>
      </c>
      <c r="I943" s="92" t="s">
        <v>272</v>
      </c>
      <c r="J943" s="92" t="s">
        <v>273</v>
      </c>
      <c r="K943" s="92" t="s">
        <v>273</v>
      </c>
      <c r="L943" s="92" t="s">
        <v>274</v>
      </c>
      <c r="M943" s="92" t="s">
        <v>261</v>
      </c>
      <c r="N943" s="92" t="s">
        <v>241</v>
      </c>
      <c r="O943" s="92" t="s">
        <v>244</v>
      </c>
      <c r="P943" s="92" t="s">
        <v>2130</v>
      </c>
      <c r="Q943" s="92" t="s">
        <v>2593</v>
      </c>
      <c r="R943" s="92">
        <v>5</v>
      </c>
      <c r="S943" s="92">
        <v>333</v>
      </c>
      <c r="T943" s="9">
        <v>44154</v>
      </c>
      <c r="U943" s="9">
        <v>44217</v>
      </c>
    </row>
    <row r="944" spans="1:21" x14ac:dyDescent="0.2">
      <c r="A944" s="10" t="str">
        <f>HYPERLINK("http://www.ofsted.gov.uk/inspection-reports/find-inspection-report/provider/ELS/140932 ","Ofsted School Webpage")</f>
        <v>Ofsted School Webpage</v>
      </c>
      <c r="B944" s="92">
        <v>140932</v>
      </c>
      <c r="C944" s="92">
        <v>8853041</v>
      </c>
      <c r="D944" s="92" t="s">
        <v>2594</v>
      </c>
      <c r="E944" s="92" t="s">
        <v>94</v>
      </c>
      <c r="F944" s="92" t="s">
        <v>429</v>
      </c>
      <c r="G944" s="9">
        <v>41791</v>
      </c>
      <c r="H944" s="92" t="s">
        <v>299</v>
      </c>
      <c r="I944" s="92" t="s">
        <v>272</v>
      </c>
      <c r="J944" s="92" t="s">
        <v>346</v>
      </c>
      <c r="K944" s="92" t="s">
        <v>273</v>
      </c>
      <c r="L944" s="92" t="s">
        <v>347</v>
      </c>
      <c r="M944" s="92" t="s">
        <v>226</v>
      </c>
      <c r="N944" s="92" t="s">
        <v>226</v>
      </c>
      <c r="O944" s="92" t="s">
        <v>238</v>
      </c>
      <c r="P944" s="92" t="s">
        <v>1621</v>
      </c>
      <c r="Q944" s="92" t="s">
        <v>2595</v>
      </c>
      <c r="R944" s="92">
        <v>3</v>
      </c>
      <c r="S944" s="92">
        <v>529</v>
      </c>
      <c r="T944" s="9">
        <v>44154</v>
      </c>
      <c r="U944" s="9">
        <v>44179</v>
      </c>
    </row>
    <row r="945" spans="1:21" x14ac:dyDescent="0.2">
      <c r="A945" s="10" t="str">
        <f>HYPERLINK("http://www.ofsted.gov.uk/inspection-reports/find-inspection-report/provider/ELS/136892 ","Ofsted School Webpage")</f>
        <v>Ofsted School Webpage</v>
      </c>
      <c r="B945" s="92">
        <v>136892</v>
      </c>
      <c r="C945" s="92">
        <v>8803751</v>
      </c>
      <c r="D945" s="92" t="s">
        <v>2596</v>
      </c>
      <c r="E945" s="92" t="s">
        <v>94</v>
      </c>
      <c r="F945" s="92" t="s">
        <v>429</v>
      </c>
      <c r="G945" s="9">
        <v>40725</v>
      </c>
      <c r="H945" s="92" t="s">
        <v>271</v>
      </c>
      <c r="I945" s="92" t="s">
        <v>271</v>
      </c>
      <c r="J945" s="92" t="s">
        <v>273</v>
      </c>
      <c r="K945" s="92" t="s">
        <v>273</v>
      </c>
      <c r="L945" s="92" t="s">
        <v>274</v>
      </c>
      <c r="M945" s="92" t="s">
        <v>211</v>
      </c>
      <c r="N945" s="92" t="s">
        <v>211</v>
      </c>
      <c r="O945" s="92" t="s">
        <v>215</v>
      </c>
      <c r="P945" s="92" t="s">
        <v>465</v>
      </c>
      <c r="Q945" s="92" t="s">
        <v>2597</v>
      </c>
      <c r="R945" s="92">
        <v>4</v>
      </c>
      <c r="S945" s="92">
        <v>486</v>
      </c>
      <c r="T945" s="9">
        <v>44154</v>
      </c>
      <c r="U945" s="9">
        <v>44178</v>
      </c>
    </row>
    <row r="946" spans="1:21" x14ac:dyDescent="0.2">
      <c r="A946" s="10" t="str">
        <f>HYPERLINK("http://www.ofsted.gov.uk/inspection-reports/find-inspection-report/provider/ELS/136876 ","Ofsted School Webpage")</f>
        <v>Ofsted School Webpage</v>
      </c>
      <c r="B946" s="92">
        <v>136876</v>
      </c>
      <c r="C946" s="92">
        <v>8705410</v>
      </c>
      <c r="D946" s="92" t="s">
        <v>2598</v>
      </c>
      <c r="E946" s="92" t="s">
        <v>95</v>
      </c>
      <c r="F946" s="92" t="s">
        <v>429</v>
      </c>
      <c r="G946" s="9">
        <v>40725</v>
      </c>
      <c r="H946" s="92" t="s">
        <v>299</v>
      </c>
      <c r="I946" s="92" t="s">
        <v>300</v>
      </c>
      <c r="J946" s="92" t="s">
        <v>410</v>
      </c>
      <c r="K946" s="92" t="s">
        <v>273</v>
      </c>
      <c r="L946" s="92" t="s">
        <v>274</v>
      </c>
      <c r="M946" s="92" t="s">
        <v>192</v>
      </c>
      <c r="N946" s="92" t="s">
        <v>192</v>
      </c>
      <c r="O946" s="92" t="s">
        <v>206</v>
      </c>
      <c r="P946" s="92" t="s">
        <v>686</v>
      </c>
      <c r="Q946" s="92" t="s">
        <v>2599</v>
      </c>
      <c r="R946" s="92">
        <v>4</v>
      </c>
      <c r="S946" s="92">
        <v>1047</v>
      </c>
      <c r="T946" s="9">
        <v>44154</v>
      </c>
      <c r="U946" s="9">
        <v>44213</v>
      </c>
    </row>
    <row r="947" spans="1:21" x14ac:dyDescent="0.2">
      <c r="A947" s="10" t="str">
        <f>HYPERLINK("http://www.ofsted.gov.uk/inspection-reports/find-inspection-report/provider/ELS/140509 ","Ofsted School Webpage")</f>
        <v>Ofsted School Webpage</v>
      </c>
      <c r="B947" s="92">
        <v>140509</v>
      </c>
      <c r="C947" s="92">
        <v>9362496</v>
      </c>
      <c r="D947" s="92" t="s">
        <v>2600</v>
      </c>
      <c r="E947" s="92" t="s">
        <v>94</v>
      </c>
      <c r="F947" s="92" t="s">
        <v>429</v>
      </c>
      <c r="G947" s="9">
        <v>41640</v>
      </c>
      <c r="H947" s="92" t="s">
        <v>271</v>
      </c>
      <c r="I947" s="92" t="s">
        <v>272</v>
      </c>
      <c r="J947" s="92" t="s">
        <v>273</v>
      </c>
      <c r="K947" s="92" t="s">
        <v>273</v>
      </c>
      <c r="L947" s="92" t="s">
        <v>274</v>
      </c>
      <c r="M947" s="92" t="s">
        <v>192</v>
      </c>
      <c r="N947" s="92" t="s">
        <v>192</v>
      </c>
      <c r="O947" s="92" t="s">
        <v>198</v>
      </c>
      <c r="P947" s="92" t="s">
        <v>1319</v>
      </c>
      <c r="Q947" s="92" t="s">
        <v>2601</v>
      </c>
      <c r="R947" s="92">
        <v>3</v>
      </c>
      <c r="S947" s="92">
        <v>664</v>
      </c>
      <c r="T947" s="9">
        <v>44154</v>
      </c>
      <c r="U947" s="9">
        <v>44182</v>
      </c>
    </row>
    <row r="948" spans="1:21" x14ac:dyDescent="0.2">
      <c r="A948" s="10" t="str">
        <f>HYPERLINK("http://www.ofsted.gov.uk/inspection-reports/find-inspection-report/provider/ELS/137321 ","Ofsted School Webpage")</f>
        <v>Ofsted School Webpage</v>
      </c>
      <c r="B948" s="92">
        <v>137321</v>
      </c>
      <c r="C948" s="92">
        <v>9354003</v>
      </c>
      <c r="D948" s="92" t="s">
        <v>2602</v>
      </c>
      <c r="E948" s="92" t="s">
        <v>95</v>
      </c>
      <c r="F948" s="92" t="s">
        <v>409</v>
      </c>
      <c r="G948" s="9">
        <v>40787</v>
      </c>
      <c r="H948" s="92" t="s">
        <v>299</v>
      </c>
      <c r="I948" s="92" t="s">
        <v>300</v>
      </c>
      <c r="J948" s="92" t="s">
        <v>273</v>
      </c>
      <c r="K948" s="92" t="s">
        <v>410</v>
      </c>
      <c r="L948" s="92" t="s">
        <v>274</v>
      </c>
      <c r="M948" s="92" t="s">
        <v>110</v>
      </c>
      <c r="N948" s="92" t="s">
        <v>110</v>
      </c>
      <c r="O948" s="92" t="s">
        <v>114</v>
      </c>
      <c r="P948" s="92" t="s">
        <v>656</v>
      </c>
      <c r="Q948" s="92" t="s">
        <v>2603</v>
      </c>
      <c r="R948" s="92">
        <v>3</v>
      </c>
      <c r="S948" s="92">
        <v>1123</v>
      </c>
      <c r="T948" s="9">
        <v>44154</v>
      </c>
      <c r="U948" s="9">
        <v>44200</v>
      </c>
    </row>
    <row r="949" spans="1:21" x14ac:dyDescent="0.2">
      <c r="A949" s="10" t="str">
        <f>HYPERLINK("http://www.ofsted.gov.uk/inspection-reports/find-inspection-report/provider/ELS/126306 ","Ofsted School Webpage")</f>
        <v>Ofsted School Webpage</v>
      </c>
      <c r="B949" s="92">
        <v>126306</v>
      </c>
      <c r="C949" s="92">
        <v>8653019</v>
      </c>
      <c r="D949" s="92" t="s">
        <v>2604</v>
      </c>
      <c r="E949" s="92" t="s">
        <v>94</v>
      </c>
      <c r="F949" s="92" t="s">
        <v>345</v>
      </c>
      <c r="G949" s="92" t="s">
        <v>270</v>
      </c>
      <c r="H949" s="92" t="s">
        <v>271</v>
      </c>
      <c r="I949" s="92" t="s">
        <v>272</v>
      </c>
      <c r="J949" s="92" t="s">
        <v>346</v>
      </c>
      <c r="K949" s="92" t="s">
        <v>273</v>
      </c>
      <c r="L949" s="92" t="s">
        <v>347</v>
      </c>
      <c r="M949" s="92" t="s">
        <v>211</v>
      </c>
      <c r="N949" s="92" t="s">
        <v>211</v>
      </c>
      <c r="O949" s="92" t="s">
        <v>225</v>
      </c>
      <c r="P949" s="92" t="s">
        <v>1337</v>
      </c>
      <c r="Q949" s="92" t="s">
        <v>2605</v>
      </c>
      <c r="R949" s="92">
        <v>1</v>
      </c>
      <c r="S949" s="92">
        <v>72</v>
      </c>
      <c r="T949" s="9">
        <v>44154</v>
      </c>
      <c r="U949" s="9">
        <v>44171</v>
      </c>
    </row>
    <row r="950" spans="1:21" x14ac:dyDescent="0.2">
      <c r="A950" s="10" t="str">
        <f>HYPERLINK("http://www.ofsted.gov.uk/inspection-reports/find-inspection-report/provider/ELS/112299 ","Ofsted School Webpage")</f>
        <v>Ofsted School Webpage</v>
      </c>
      <c r="B950" s="92">
        <v>112299</v>
      </c>
      <c r="C950" s="92">
        <v>9093212</v>
      </c>
      <c r="D950" s="92" t="s">
        <v>2606</v>
      </c>
      <c r="E950" s="92" t="s">
        <v>94</v>
      </c>
      <c r="F950" s="92" t="s">
        <v>345</v>
      </c>
      <c r="G950" s="92" t="s">
        <v>270</v>
      </c>
      <c r="H950" s="92" t="s">
        <v>271</v>
      </c>
      <c r="I950" s="92" t="s">
        <v>272</v>
      </c>
      <c r="J950" s="92" t="s">
        <v>346</v>
      </c>
      <c r="K950" s="92" t="s">
        <v>273</v>
      </c>
      <c r="L950" s="92" t="s">
        <v>347</v>
      </c>
      <c r="M950" s="92" t="s">
        <v>168</v>
      </c>
      <c r="N950" s="92" t="s">
        <v>168</v>
      </c>
      <c r="O950" s="92" t="s">
        <v>176</v>
      </c>
      <c r="P950" s="92" t="s">
        <v>368</v>
      </c>
      <c r="Q950" s="92" t="s">
        <v>2607</v>
      </c>
      <c r="R950" s="92">
        <v>1</v>
      </c>
      <c r="S950" s="92">
        <v>145</v>
      </c>
      <c r="T950" s="9">
        <v>44154</v>
      </c>
      <c r="U950" s="9">
        <v>44182</v>
      </c>
    </row>
    <row r="951" spans="1:21" x14ac:dyDescent="0.2">
      <c r="A951" s="10" t="str">
        <f>HYPERLINK("http://www.ofsted.gov.uk/inspection-reports/find-inspection-report/provider/ELS/107702 ","Ofsted School Webpage")</f>
        <v>Ofsted School Webpage</v>
      </c>
      <c r="B951" s="92">
        <v>107702</v>
      </c>
      <c r="C951" s="92">
        <v>3823004</v>
      </c>
      <c r="D951" s="92" t="s">
        <v>2608</v>
      </c>
      <c r="E951" s="92" t="s">
        <v>94</v>
      </c>
      <c r="F951" s="92" t="s">
        <v>345</v>
      </c>
      <c r="G951" s="92" t="s">
        <v>270</v>
      </c>
      <c r="H951" s="92" t="s">
        <v>271</v>
      </c>
      <c r="I951" s="92" t="s">
        <v>272</v>
      </c>
      <c r="J951" s="92" t="s">
        <v>346</v>
      </c>
      <c r="K951" s="92" t="s">
        <v>273</v>
      </c>
      <c r="L951" s="92" t="s">
        <v>347</v>
      </c>
      <c r="M951" s="92" t="s">
        <v>261</v>
      </c>
      <c r="N951" s="92" t="s">
        <v>241</v>
      </c>
      <c r="O951" s="92" t="s">
        <v>251</v>
      </c>
      <c r="P951" s="92" t="s">
        <v>880</v>
      </c>
      <c r="Q951" s="92" t="s">
        <v>2609</v>
      </c>
      <c r="R951" s="92">
        <v>3</v>
      </c>
      <c r="S951" s="92">
        <v>114</v>
      </c>
      <c r="T951" s="9">
        <v>44154</v>
      </c>
      <c r="U951" s="9">
        <v>44173</v>
      </c>
    </row>
    <row r="952" spans="1:21" x14ac:dyDescent="0.2">
      <c r="A952" s="10" t="str">
        <f>HYPERLINK("http://www.ofsted.gov.uk/inspection-reports/find-inspection-report/provider/ELS/108747 ","Ofsted School Webpage")</f>
        <v>Ofsted School Webpage</v>
      </c>
      <c r="B952" s="92">
        <v>108747</v>
      </c>
      <c r="C952" s="92">
        <v>3941005</v>
      </c>
      <c r="D952" s="92" t="s">
        <v>2610</v>
      </c>
      <c r="E952" s="92" t="s">
        <v>93</v>
      </c>
      <c r="F952" s="92" t="s">
        <v>592</v>
      </c>
      <c r="G952" s="92" t="s">
        <v>270</v>
      </c>
      <c r="H952" s="92" t="s">
        <v>271</v>
      </c>
      <c r="I952" s="92" t="s">
        <v>271</v>
      </c>
      <c r="J952" s="92" t="s">
        <v>273</v>
      </c>
      <c r="K952" s="92" t="s">
        <v>273</v>
      </c>
      <c r="L952" s="92" t="s">
        <v>274</v>
      </c>
      <c r="M952" s="92" t="s">
        <v>261</v>
      </c>
      <c r="N952" s="92" t="s">
        <v>155</v>
      </c>
      <c r="O952" s="92" t="s">
        <v>164</v>
      </c>
      <c r="P952" s="92" t="s">
        <v>845</v>
      </c>
      <c r="Q952" s="92" t="s">
        <v>2611</v>
      </c>
      <c r="R952" s="92">
        <v>3</v>
      </c>
      <c r="S952" s="92">
        <v>55</v>
      </c>
      <c r="T952" s="9">
        <v>44154</v>
      </c>
      <c r="U952" s="9">
        <v>44213</v>
      </c>
    </row>
    <row r="953" spans="1:21" x14ac:dyDescent="0.2">
      <c r="A953" s="10" t="str">
        <f>HYPERLINK("http://www.ofsted.gov.uk/inspection-reports/find-inspection-report/provider/ELS/138396 ","Ofsted School Webpage")</f>
        <v>Ofsted School Webpage</v>
      </c>
      <c r="B953" s="92">
        <v>138396</v>
      </c>
      <c r="C953" s="92">
        <v>3302048</v>
      </c>
      <c r="D953" s="92" t="s">
        <v>2612</v>
      </c>
      <c r="E953" s="92" t="s">
        <v>94</v>
      </c>
      <c r="F953" s="92" t="s">
        <v>409</v>
      </c>
      <c r="G953" s="9">
        <v>41153</v>
      </c>
      <c r="H953" s="92" t="s">
        <v>271</v>
      </c>
      <c r="I953" s="92" t="s">
        <v>271</v>
      </c>
      <c r="J953" s="92" t="s">
        <v>273</v>
      </c>
      <c r="K953" s="92" t="s">
        <v>410</v>
      </c>
      <c r="L953" s="92" t="s">
        <v>274</v>
      </c>
      <c r="M953" s="92" t="s">
        <v>226</v>
      </c>
      <c r="N953" s="92" t="s">
        <v>226</v>
      </c>
      <c r="O953" s="92" t="s">
        <v>232</v>
      </c>
      <c r="P953" s="92" t="s">
        <v>885</v>
      </c>
      <c r="Q953" s="92" t="s">
        <v>2613</v>
      </c>
      <c r="R953" s="92">
        <v>5</v>
      </c>
      <c r="S953" s="92">
        <v>172</v>
      </c>
      <c r="T953" s="9">
        <v>44154</v>
      </c>
      <c r="U953" s="9">
        <v>44175</v>
      </c>
    </row>
    <row r="954" spans="1:21" x14ac:dyDescent="0.2">
      <c r="A954" s="10" t="str">
        <f>HYPERLINK("http://www.ofsted.gov.uk/inspection-reports/find-inspection-report/provider/ELS/111726 ","Ofsted School Webpage")</f>
        <v>Ofsted School Webpage</v>
      </c>
      <c r="B954" s="92">
        <v>111726</v>
      </c>
      <c r="C954" s="92">
        <v>8074007</v>
      </c>
      <c r="D954" s="92" t="s">
        <v>2614</v>
      </c>
      <c r="E954" s="92" t="s">
        <v>95</v>
      </c>
      <c r="F954" s="92" t="s">
        <v>397</v>
      </c>
      <c r="G954" s="9">
        <v>1</v>
      </c>
      <c r="H954" s="92" t="s">
        <v>299</v>
      </c>
      <c r="I954" s="92" t="s">
        <v>272</v>
      </c>
      <c r="J954" s="92" t="s">
        <v>273</v>
      </c>
      <c r="K954" s="92" t="s">
        <v>273</v>
      </c>
      <c r="L954" s="92" t="s">
        <v>274</v>
      </c>
      <c r="M954" s="92" t="s">
        <v>261</v>
      </c>
      <c r="N954" s="92" t="s">
        <v>155</v>
      </c>
      <c r="O954" s="92" t="s">
        <v>161</v>
      </c>
      <c r="P954" s="92" t="s">
        <v>505</v>
      </c>
      <c r="Q954" s="92" t="s">
        <v>2615</v>
      </c>
      <c r="R954" s="92">
        <v>3</v>
      </c>
      <c r="S954" s="92">
        <v>532</v>
      </c>
      <c r="T954" s="9">
        <v>44154</v>
      </c>
      <c r="U954" s="9">
        <v>44213</v>
      </c>
    </row>
    <row r="955" spans="1:21" x14ac:dyDescent="0.2">
      <c r="A955" s="10" t="str">
        <f>HYPERLINK("http://www.ofsted.gov.uk/inspection-reports/find-inspection-report/provider/ELS/109742 ","Ofsted School Webpage")</f>
        <v>Ofsted School Webpage</v>
      </c>
      <c r="B955" s="92">
        <v>109742</v>
      </c>
      <c r="C955" s="92">
        <v>8227012</v>
      </c>
      <c r="D955" s="92" t="s">
        <v>2616</v>
      </c>
      <c r="E955" s="92" t="s">
        <v>96</v>
      </c>
      <c r="F955" s="92" t="s">
        <v>401</v>
      </c>
      <c r="G955" s="92" t="s">
        <v>270</v>
      </c>
      <c r="H955" s="92" t="s">
        <v>271</v>
      </c>
      <c r="I955" s="92" t="s">
        <v>300</v>
      </c>
      <c r="J955" s="92" t="s">
        <v>273</v>
      </c>
      <c r="K955" s="92" t="s">
        <v>273</v>
      </c>
      <c r="L955" s="92" t="s">
        <v>274</v>
      </c>
      <c r="M955" s="92" t="s">
        <v>110</v>
      </c>
      <c r="N955" s="92" t="s">
        <v>110</v>
      </c>
      <c r="O955" s="92" t="s">
        <v>111</v>
      </c>
      <c r="P955" s="92" t="s">
        <v>111</v>
      </c>
      <c r="Q955" s="92" t="s">
        <v>2617</v>
      </c>
      <c r="R955" s="92">
        <v>3</v>
      </c>
      <c r="S955" s="92">
        <v>76</v>
      </c>
      <c r="T955" s="9">
        <v>44154</v>
      </c>
      <c r="U955" s="9">
        <v>44200</v>
      </c>
    </row>
    <row r="956" spans="1:21" x14ac:dyDescent="0.2">
      <c r="A956" s="10" t="str">
        <f>HYPERLINK("http://www.ofsted.gov.uk/inspection-reports/find-inspection-report/provider/ELS/144918 ","Ofsted School Webpage")</f>
        <v>Ofsted School Webpage</v>
      </c>
      <c r="B956" s="92">
        <v>144918</v>
      </c>
      <c r="C956" s="92">
        <v>8023455</v>
      </c>
      <c r="D956" s="92" t="s">
        <v>2618</v>
      </c>
      <c r="E956" s="92" t="s">
        <v>94</v>
      </c>
      <c r="F956" s="92" t="s">
        <v>429</v>
      </c>
      <c r="G956" s="9">
        <v>43009</v>
      </c>
      <c r="H956" s="92" t="s">
        <v>271</v>
      </c>
      <c r="I956" s="92" t="s">
        <v>272</v>
      </c>
      <c r="J956" s="92" t="s">
        <v>273</v>
      </c>
      <c r="K956" s="92" t="s">
        <v>273</v>
      </c>
      <c r="L956" s="92" t="s">
        <v>274</v>
      </c>
      <c r="M956" s="92" t="s">
        <v>211</v>
      </c>
      <c r="N956" s="92" t="s">
        <v>211</v>
      </c>
      <c r="O956" s="92" t="s">
        <v>222</v>
      </c>
      <c r="P956" s="92" t="s">
        <v>818</v>
      </c>
      <c r="Q956" s="92" t="s">
        <v>2619</v>
      </c>
      <c r="R956" s="92">
        <v>5</v>
      </c>
      <c r="S956" s="92">
        <v>501</v>
      </c>
      <c r="T956" s="9">
        <v>44154</v>
      </c>
      <c r="U956" s="9">
        <v>44178</v>
      </c>
    </row>
    <row r="957" spans="1:21" x14ac:dyDescent="0.2">
      <c r="A957" s="10" t="str">
        <f>HYPERLINK("http://www.ofsted.gov.uk/inspection-reports/find-inspection-report/provider/ELS/143818 ","Ofsted School Webpage")</f>
        <v>Ofsted School Webpage</v>
      </c>
      <c r="B957" s="92">
        <v>143818</v>
      </c>
      <c r="C957" s="92">
        <v>3324001</v>
      </c>
      <c r="D957" s="92" t="s">
        <v>2620</v>
      </c>
      <c r="E957" s="92" t="s">
        <v>95</v>
      </c>
      <c r="F957" s="92" t="s">
        <v>409</v>
      </c>
      <c r="G957" s="9">
        <v>42979</v>
      </c>
      <c r="H957" s="92" t="s">
        <v>299</v>
      </c>
      <c r="I957" s="92" t="s">
        <v>272</v>
      </c>
      <c r="J957" s="92" t="s">
        <v>273</v>
      </c>
      <c r="K957" s="92" t="s">
        <v>484</v>
      </c>
      <c r="L957" s="92" t="s">
        <v>274</v>
      </c>
      <c r="M957" s="92" t="s">
        <v>226</v>
      </c>
      <c r="N957" s="92" t="s">
        <v>226</v>
      </c>
      <c r="O957" s="92" t="s">
        <v>240</v>
      </c>
      <c r="P957" s="92" t="s">
        <v>1135</v>
      </c>
      <c r="Q957" s="92" t="s">
        <v>2621</v>
      </c>
      <c r="R957" s="92">
        <v>4</v>
      </c>
      <c r="S957" s="92">
        <v>878</v>
      </c>
      <c r="T957" s="9">
        <v>44154</v>
      </c>
      <c r="U957" s="9">
        <v>44201</v>
      </c>
    </row>
    <row r="958" spans="1:21" x14ac:dyDescent="0.2">
      <c r="A958" s="10" t="str">
        <f>HYPERLINK("http://www.ofsted.gov.uk/inspection-reports/find-inspection-report/provider/ELS/142335 ","Ofsted School Webpage")</f>
        <v>Ofsted School Webpage</v>
      </c>
      <c r="B958" s="92">
        <v>142335</v>
      </c>
      <c r="C958" s="92">
        <v>8652027</v>
      </c>
      <c r="D958" s="92" t="s">
        <v>2622</v>
      </c>
      <c r="E958" s="92" t="s">
        <v>94</v>
      </c>
      <c r="F958" s="92" t="s">
        <v>345</v>
      </c>
      <c r="G958" s="9">
        <v>42614</v>
      </c>
      <c r="H958" s="92" t="s">
        <v>271</v>
      </c>
      <c r="I958" s="92" t="s">
        <v>272</v>
      </c>
      <c r="J958" s="92" t="s">
        <v>346</v>
      </c>
      <c r="K958" s="92" t="s">
        <v>273</v>
      </c>
      <c r="L958" s="92" t="s">
        <v>347</v>
      </c>
      <c r="M958" s="92" t="s">
        <v>211</v>
      </c>
      <c r="N958" s="92" t="s">
        <v>211</v>
      </c>
      <c r="O958" s="92" t="s">
        <v>225</v>
      </c>
      <c r="P958" s="92" t="s">
        <v>1785</v>
      </c>
      <c r="Q958" s="92" t="s">
        <v>2623</v>
      </c>
      <c r="R958" s="92">
        <v>2</v>
      </c>
      <c r="S958" s="92">
        <v>384</v>
      </c>
      <c r="T958" s="9">
        <v>44154</v>
      </c>
      <c r="U958" s="9">
        <v>44172</v>
      </c>
    </row>
    <row r="959" spans="1:21" x14ac:dyDescent="0.2">
      <c r="A959" s="10" t="str">
        <f>HYPERLINK("http://www.ofsted.gov.uk/inspection-reports/find-inspection-report/provider/ELS/141298 ","Ofsted School Webpage")</f>
        <v>Ofsted School Webpage</v>
      </c>
      <c r="B959" s="92">
        <v>141298</v>
      </c>
      <c r="C959" s="92">
        <v>3313301</v>
      </c>
      <c r="D959" s="92" t="s">
        <v>2624</v>
      </c>
      <c r="E959" s="92" t="s">
        <v>94</v>
      </c>
      <c r="F959" s="92" t="s">
        <v>429</v>
      </c>
      <c r="G959" s="9">
        <v>41883</v>
      </c>
      <c r="H959" s="92" t="s">
        <v>271</v>
      </c>
      <c r="I959" s="92" t="s">
        <v>272</v>
      </c>
      <c r="J959" s="92" t="s">
        <v>346</v>
      </c>
      <c r="K959" s="92" t="s">
        <v>273</v>
      </c>
      <c r="L959" s="92" t="s">
        <v>347</v>
      </c>
      <c r="M959" s="92" t="s">
        <v>226</v>
      </c>
      <c r="N959" s="92" t="s">
        <v>226</v>
      </c>
      <c r="O959" s="92" t="s">
        <v>233</v>
      </c>
      <c r="P959" s="92" t="s">
        <v>1942</v>
      </c>
      <c r="Q959" s="92" t="s">
        <v>2625</v>
      </c>
      <c r="R959" s="92">
        <v>2</v>
      </c>
      <c r="S959" s="92">
        <v>212</v>
      </c>
      <c r="T959" s="9">
        <v>44154</v>
      </c>
      <c r="U959" s="9">
        <v>44209</v>
      </c>
    </row>
    <row r="960" spans="1:21" x14ac:dyDescent="0.2">
      <c r="A960" s="10" t="str">
        <f>HYPERLINK("http://www.ofsted.gov.uk/inspection-reports/find-inspection-report/provider/ELS/138534 ","Ofsted School Webpage")</f>
        <v>Ofsted School Webpage</v>
      </c>
      <c r="B960" s="92">
        <v>138534</v>
      </c>
      <c r="C960" s="92">
        <v>3942163</v>
      </c>
      <c r="D960" s="92" t="s">
        <v>2626</v>
      </c>
      <c r="E960" s="92" t="s">
        <v>94</v>
      </c>
      <c r="F960" s="92" t="s">
        <v>429</v>
      </c>
      <c r="G960" s="9">
        <v>41122</v>
      </c>
      <c r="H960" s="92" t="s">
        <v>271</v>
      </c>
      <c r="I960" s="92" t="s">
        <v>272</v>
      </c>
      <c r="J960" s="92" t="s">
        <v>273</v>
      </c>
      <c r="K960" s="92" t="s">
        <v>273</v>
      </c>
      <c r="L960" s="92" t="s">
        <v>274</v>
      </c>
      <c r="M960" s="92" t="s">
        <v>261</v>
      </c>
      <c r="N960" s="92" t="s">
        <v>155</v>
      </c>
      <c r="O960" s="92" t="s">
        <v>164</v>
      </c>
      <c r="P960" s="92" t="s">
        <v>2082</v>
      </c>
      <c r="Q960" s="92" t="s">
        <v>2627</v>
      </c>
      <c r="R960" s="92">
        <v>3</v>
      </c>
      <c r="S960" s="92">
        <v>275</v>
      </c>
      <c r="T960" s="9">
        <v>44154</v>
      </c>
      <c r="U960" s="9">
        <v>44209</v>
      </c>
    </row>
    <row r="961" spans="1:21" x14ac:dyDescent="0.2">
      <c r="A961" s="10" t="str">
        <f>HYPERLINK("http://www.ofsted.gov.uk/inspection-reports/find-inspection-report/provider/ELS/140636 ","Ofsted School Webpage")</f>
        <v>Ofsted School Webpage</v>
      </c>
      <c r="B961" s="92">
        <v>140636</v>
      </c>
      <c r="C961" s="92">
        <v>9333086</v>
      </c>
      <c r="D961" s="92" t="s">
        <v>2628</v>
      </c>
      <c r="E961" s="92" t="s">
        <v>94</v>
      </c>
      <c r="F961" s="92" t="s">
        <v>429</v>
      </c>
      <c r="G961" s="9">
        <v>41699</v>
      </c>
      <c r="H961" s="92" t="s">
        <v>271</v>
      </c>
      <c r="I961" s="92" t="s">
        <v>272</v>
      </c>
      <c r="J961" s="92" t="s">
        <v>346</v>
      </c>
      <c r="K961" s="92" t="s">
        <v>273</v>
      </c>
      <c r="L961" s="92" t="s">
        <v>347</v>
      </c>
      <c r="M961" s="92" t="s">
        <v>211</v>
      </c>
      <c r="N961" s="92" t="s">
        <v>211</v>
      </c>
      <c r="O961" s="92" t="s">
        <v>218</v>
      </c>
      <c r="P961" s="92" t="s">
        <v>414</v>
      </c>
      <c r="Q961" s="92" t="s">
        <v>2629</v>
      </c>
      <c r="R961" s="92">
        <v>3</v>
      </c>
      <c r="S961" s="92">
        <v>148</v>
      </c>
      <c r="T961" s="9">
        <v>44154</v>
      </c>
      <c r="U961" s="9">
        <v>44209</v>
      </c>
    </row>
    <row r="962" spans="1:21" x14ac:dyDescent="0.2">
      <c r="A962" s="10" t="str">
        <f>HYPERLINK("http://www.ofsted.gov.uk/inspection-reports/find-inspection-report/provider/ELS/140404 ","Ofsted School Webpage")</f>
        <v>Ofsted School Webpage</v>
      </c>
      <c r="B962" s="92">
        <v>140404</v>
      </c>
      <c r="C962" s="92">
        <v>8857000</v>
      </c>
      <c r="D962" s="92" t="s">
        <v>2630</v>
      </c>
      <c r="E962" s="92" t="s">
        <v>96</v>
      </c>
      <c r="F962" s="92" t="s">
        <v>458</v>
      </c>
      <c r="G962" s="9">
        <v>41640</v>
      </c>
      <c r="H962" s="92" t="s">
        <v>271</v>
      </c>
      <c r="I962" s="92" t="s">
        <v>272</v>
      </c>
      <c r="J962" s="92" t="s">
        <v>273</v>
      </c>
      <c r="K962" s="92" t="s">
        <v>410</v>
      </c>
      <c r="L962" s="92" t="s">
        <v>274</v>
      </c>
      <c r="M962" s="92" t="s">
        <v>226</v>
      </c>
      <c r="N962" s="92" t="s">
        <v>226</v>
      </c>
      <c r="O962" s="92" t="s">
        <v>238</v>
      </c>
      <c r="P962" s="92" t="s">
        <v>2372</v>
      </c>
      <c r="Q962" s="92" t="s">
        <v>2631</v>
      </c>
      <c r="R962" s="92">
        <v>4</v>
      </c>
      <c r="S962" s="92">
        <v>91</v>
      </c>
      <c r="T962" s="9">
        <v>44154</v>
      </c>
      <c r="U962" s="9">
        <v>44201</v>
      </c>
    </row>
    <row r="963" spans="1:21" x14ac:dyDescent="0.2">
      <c r="A963" s="10" t="str">
        <f>HYPERLINK("http://www.ofsted.gov.uk/inspection-reports/find-inspection-report/provider/ELS/138236 ","Ofsted School Webpage")</f>
        <v>Ofsted School Webpage</v>
      </c>
      <c r="B963" s="92">
        <v>138236</v>
      </c>
      <c r="C963" s="92">
        <v>8864003</v>
      </c>
      <c r="D963" s="92" t="s">
        <v>2632</v>
      </c>
      <c r="E963" s="92" t="s">
        <v>95</v>
      </c>
      <c r="F963" s="92" t="s">
        <v>409</v>
      </c>
      <c r="G963" s="9">
        <v>41153</v>
      </c>
      <c r="H963" s="92" t="s">
        <v>299</v>
      </c>
      <c r="I963" s="92" t="s">
        <v>300</v>
      </c>
      <c r="J963" s="92" t="s">
        <v>410</v>
      </c>
      <c r="K963" s="92" t="s">
        <v>410</v>
      </c>
      <c r="L963" s="92" t="s">
        <v>274</v>
      </c>
      <c r="M963" s="92" t="s">
        <v>192</v>
      </c>
      <c r="N963" s="92" t="s">
        <v>192</v>
      </c>
      <c r="O963" s="92" t="s">
        <v>194</v>
      </c>
      <c r="P963" s="92" t="s">
        <v>325</v>
      </c>
      <c r="Q963" s="92" t="s">
        <v>2633</v>
      </c>
      <c r="R963" s="92">
        <v>2</v>
      </c>
      <c r="S963" s="92">
        <v>251</v>
      </c>
      <c r="T963" s="9">
        <v>44154</v>
      </c>
      <c r="U963" s="9">
        <v>44213</v>
      </c>
    </row>
    <row r="964" spans="1:21" x14ac:dyDescent="0.2">
      <c r="A964" s="10" t="str">
        <f>HYPERLINK("http://www.ofsted.gov.uk/inspection-reports/find-inspection-report/provider/ELS/141693 ","Ofsted School Webpage")</f>
        <v>Ofsted School Webpage</v>
      </c>
      <c r="B964" s="92">
        <v>141693</v>
      </c>
      <c r="C964" s="92">
        <v>3434002</v>
      </c>
      <c r="D964" s="92" t="s">
        <v>2634</v>
      </c>
      <c r="E964" s="92" t="s">
        <v>95</v>
      </c>
      <c r="F964" s="92" t="s">
        <v>409</v>
      </c>
      <c r="G964" s="9">
        <v>42064</v>
      </c>
      <c r="H964" s="92" t="s">
        <v>299</v>
      </c>
      <c r="I964" s="92" t="s">
        <v>272</v>
      </c>
      <c r="J964" s="92" t="s">
        <v>410</v>
      </c>
      <c r="K964" s="92" t="s">
        <v>410</v>
      </c>
      <c r="L964" s="92" t="s">
        <v>274</v>
      </c>
      <c r="M964" s="92" t="s">
        <v>168</v>
      </c>
      <c r="N964" s="92" t="s">
        <v>168</v>
      </c>
      <c r="O964" s="92" t="s">
        <v>183</v>
      </c>
      <c r="P964" s="92" t="s">
        <v>793</v>
      </c>
      <c r="Q964" s="92" t="s">
        <v>2635</v>
      </c>
      <c r="R964" s="92">
        <v>5</v>
      </c>
      <c r="S964" s="92">
        <v>613</v>
      </c>
      <c r="T964" s="9">
        <v>44154</v>
      </c>
      <c r="U964" s="9">
        <v>44213</v>
      </c>
    </row>
    <row r="965" spans="1:21" x14ac:dyDescent="0.2">
      <c r="A965" s="10" t="str">
        <f>HYPERLINK("http://www.ofsted.gov.uk/inspection-reports/find-inspection-report/provider/ELS/136533 ","Ofsted School Webpage")</f>
        <v>Ofsted School Webpage</v>
      </c>
      <c r="B965" s="92">
        <v>136533</v>
      </c>
      <c r="C965" s="92">
        <v>9084165</v>
      </c>
      <c r="D965" s="92" t="s">
        <v>2636</v>
      </c>
      <c r="E965" s="92" t="s">
        <v>95</v>
      </c>
      <c r="F965" s="92" t="s">
        <v>429</v>
      </c>
      <c r="G965" s="9">
        <v>40634</v>
      </c>
      <c r="H965" s="92" t="s">
        <v>299</v>
      </c>
      <c r="I965" s="92" t="s">
        <v>300</v>
      </c>
      <c r="J965" s="92" t="s">
        <v>410</v>
      </c>
      <c r="K965" s="92" t="s">
        <v>273</v>
      </c>
      <c r="L965" s="92" t="s">
        <v>274</v>
      </c>
      <c r="M965" s="92" t="s">
        <v>211</v>
      </c>
      <c r="N965" s="92" t="s">
        <v>211</v>
      </c>
      <c r="O965" s="92" t="s">
        <v>219</v>
      </c>
      <c r="P965" s="92" t="s">
        <v>442</v>
      </c>
      <c r="Q965" s="92" t="s">
        <v>2637</v>
      </c>
      <c r="R965" s="92">
        <v>2</v>
      </c>
      <c r="S965" s="92">
        <v>1666</v>
      </c>
      <c r="T965" s="9">
        <v>44154</v>
      </c>
      <c r="U965" s="9">
        <v>44172</v>
      </c>
    </row>
    <row r="966" spans="1:21" x14ac:dyDescent="0.2">
      <c r="A966" s="10" t="str">
        <f>HYPERLINK("http://www.ofsted.gov.uk/inspection-reports/find-inspection-report/provider/ELS/138957 ","Ofsted School Webpage")</f>
        <v>Ofsted School Webpage</v>
      </c>
      <c r="B966" s="92">
        <v>138957</v>
      </c>
      <c r="C966" s="92">
        <v>3503025</v>
      </c>
      <c r="D966" s="92" t="s">
        <v>2638</v>
      </c>
      <c r="E966" s="92" t="s">
        <v>94</v>
      </c>
      <c r="F966" s="92" t="s">
        <v>429</v>
      </c>
      <c r="G966" s="9">
        <v>41214</v>
      </c>
      <c r="H966" s="92" t="s">
        <v>271</v>
      </c>
      <c r="I966" s="92" t="s">
        <v>272</v>
      </c>
      <c r="J966" s="92" t="s">
        <v>346</v>
      </c>
      <c r="K966" s="92" t="s">
        <v>273</v>
      </c>
      <c r="L966" s="92" t="s">
        <v>347</v>
      </c>
      <c r="M966" s="92" t="s">
        <v>168</v>
      </c>
      <c r="N966" s="92" t="s">
        <v>168</v>
      </c>
      <c r="O966" s="92" t="s">
        <v>187</v>
      </c>
      <c r="P966" s="92" t="s">
        <v>1111</v>
      </c>
      <c r="Q966" s="92" t="s">
        <v>2639</v>
      </c>
      <c r="R966" s="92">
        <v>5</v>
      </c>
      <c r="S966" s="92">
        <v>474</v>
      </c>
      <c r="T966" s="9">
        <v>44154</v>
      </c>
      <c r="U966" s="9">
        <v>44200</v>
      </c>
    </row>
    <row r="967" spans="1:21" x14ac:dyDescent="0.2">
      <c r="A967" s="10" t="str">
        <f>HYPERLINK("http://www.ofsted.gov.uk/inspection-reports/find-inspection-report/provider/ELS/138260 ","Ofsted School Webpage")</f>
        <v>Ofsted School Webpage</v>
      </c>
      <c r="B967" s="92">
        <v>138260</v>
      </c>
      <c r="C967" s="92">
        <v>3434000</v>
      </c>
      <c r="D967" s="92" t="s">
        <v>2640</v>
      </c>
      <c r="E967" s="92" t="s">
        <v>95</v>
      </c>
      <c r="F967" s="92" t="s">
        <v>491</v>
      </c>
      <c r="G967" s="9">
        <v>41149</v>
      </c>
      <c r="H967" s="92" t="s">
        <v>299</v>
      </c>
      <c r="I967" s="92" t="s">
        <v>272</v>
      </c>
      <c r="J967" s="92" t="s">
        <v>410</v>
      </c>
      <c r="K967" s="92" t="s">
        <v>347</v>
      </c>
      <c r="L967" s="92" t="s">
        <v>274</v>
      </c>
      <c r="M967" s="92" t="s">
        <v>168</v>
      </c>
      <c r="N967" s="92" t="s">
        <v>168</v>
      </c>
      <c r="O967" s="92" t="s">
        <v>183</v>
      </c>
      <c r="P967" s="92" t="s">
        <v>793</v>
      </c>
      <c r="Q967" s="92" t="s">
        <v>2641</v>
      </c>
      <c r="R967" s="92">
        <v>5</v>
      </c>
      <c r="S967" s="92">
        <v>330</v>
      </c>
      <c r="T967" s="9">
        <v>44154</v>
      </c>
      <c r="U967" s="9">
        <v>44175</v>
      </c>
    </row>
    <row r="968" spans="1:21" x14ac:dyDescent="0.2">
      <c r="A968" s="10" t="str">
        <f>HYPERLINK("http://www.ofsted.gov.uk/inspection-reports/find-inspection-report/provider/ELS/144705 ","Ofsted School Webpage")</f>
        <v>Ofsted School Webpage</v>
      </c>
      <c r="B968" s="92">
        <v>144705</v>
      </c>
      <c r="C968" s="92">
        <v>8652022</v>
      </c>
      <c r="D968" s="92" t="s">
        <v>2642</v>
      </c>
      <c r="E968" s="92" t="s">
        <v>94</v>
      </c>
      <c r="F968" s="92" t="s">
        <v>429</v>
      </c>
      <c r="G968" s="9">
        <v>42948</v>
      </c>
      <c r="H968" s="92" t="s">
        <v>271</v>
      </c>
      <c r="I968" s="92" t="s">
        <v>272</v>
      </c>
      <c r="J968" s="92" t="s">
        <v>273</v>
      </c>
      <c r="K968" s="92" t="s">
        <v>273</v>
      </c>
      <c r="L968" s="92" t="s">
        <v>274</v>
      </c>
      <c r="M968" s="92" t="s">
        <v>211</v>
      </c>
      <c r="N968" s="92" t="s">
        <v>211</v>
      </c>
      <c r="O968" s="92" t="s">
        <v>225</v>
      </c>
      <c r="P968" s="92" t="s">
        <v>2205</v>
      </c>
      <c r="Q968" s="92" t="s">
        <v>2643</v>
      </c>
      <c r="R968" s="92">
        <v>2</v>
      </c>
      <c r="S968" s="92">
        <v>392</v>
      </c>
      <c r="T968" s="9">
        <v>44154</v>
      </c>
      <c r="U968" s="9">
        <v>44180</v>
      </c>
    </row>
    <row r="969" spans="1:21" x14ac:dyDescent="0.2">
      <c r="A969" s="10" t="str">
        <f>HYPERLINK("http://www.ofsted.gov.uk/inspection-reports/find-inspection-report/provider/ELS/148151 ","Ofsted School Webpage")</f>
        <v>Ofsted School Webpage</v>
      </c>
      <c r="B969" s="92">
        <v>148151</v>
      </c>
      <c r="C969" s="92">
        <v>9262230</v>
      </c>
      <c r="D969" s="92" t="s">
        <v>2644</v>
      </c>
      <c r="E969" s="92" t="s">
        <v>94</v>
      </c>
      <c r="F969" s="92" t="s">
        <v>409</v>
      </c>
      <c r="G969" s="9">
        <v>44136</v>
      </c>
      <c r="H969" s="92" t="s">
        <v>271</v>
      </c>
      <c r="I969" s="92" t="s">
        <v>272</v>
      </c>
      <c r="J969" s="92" t="s">
        <v>346</v>
      </c>
      <c r="K969" s="92" t="s">
        <v>346</v>
      </c>
      <c r="L969" s="92" t="s">
        <v>347</v>
      </c>
      <c r="M969" s="92" t="s">
        <v>110</v>
      </c>
      <c r="N969" s="92" t="s">
        <v>110</v>
      </c>
      <c r="O969" s="92" t="s">
        <v>118</v>
      </c>
      <c r="P969" s="92" t="s">
        <v>2645</v>
      </c>
      <c r="Q969" s="92" t="s">
        <v>2646</v>
      </c>
      <c r="R969" s="92" t="s">
        <v>270</v>
      </c>
      <c r="S969" s="92" t="s">
        <v>270</v>
      </c>
      <c r="T969" s="9">
        <v>44154</v>
      </c>
      <c r="U969" s="9">
        <v>44200</v>
      </c>
    </row>
    <row r="970" spans="1:21" x14ac:dyDescent="0.2">
      <c r="A970" s="10" t="str">
        <f>HYPERLINK("http://www.ofsted.gov.uk/inspection-reports/find-inspection-report/provider/ELS/143553 ","Ofsted School Webpage")</f>
        <v>Ofsted School Webpage</v>
      </c>
      <c r="B970" s="92">
        <v>143553</v>
      </c>
      <c r="C970" s="92">
        <v>9382027</v>
      </c>
      <c r="D970" s="92" t="s">
        <v>2647</v>
      </c>
      <c r="E970" s="92" t="s">
        <v>94</v>
      </c>
      <c r="F970" s="92" t="s">
        <v>409</v>
      </c>
      <c r="G970" s="9">
        <v>42675</v>
      </c>
      <c r="H970" s="92" t="s">
        <v>271</v>
      </c>
      <c r="I970" s="92" t="s">
        <v>272</v>
      </c>
      <c r="J970" s="92" t="s">
        <v>346</v>
      </c>
      <c r="K970" s="92" t="s">
        <v>346</v>
      </c>
      <c r="L970" s="92" t="s">
        <v>347</v>
      </c>
      <c r="M970" s="92" t="s">
        <v>192</v>
      </c>
      <c r="N970" s="92" t="s">
        <v>192</v>
      </c>
      <c r="O970" s="92" t="s">
        <v>200</v>
      </c>
      <c r="P970" s="92" t="s">
        <v>1486</v>
      </c>
      <c r="Q970" s="92" t="s">
        <v>2648</v>
      </c>
      <c r="R970" s="92">
        <v>3</v>
      </c>
      <c r="S970" s="92">
        <v>157</v>
      </c>
      <c r="T970" s="9">
        <v>44154</v>
      </c>
      <c r="U970" s="9">
        <v>44213</v>
      </c>
    </row>
    <row r="971" spans="1:21" x14ac:dyDescent="0.2">
      <c r="A971" s="10" t="str">
        <f>HYPERLINK("http://www.ofsted.gov.uk/inspection-reports/find-inspection-report/provider/ELS/146013 ","Ofsted School Webpage")</f>
        <v>Ofsted School Webpage</v>
      </c>
      <c r="B971" s="92">
        <v>146013</v>
      </c>
      <c r="C971" s="92">
        <v>8037031</v>
      </c>
      <c r="D971" s="92" t="s">
        <v>2649</v>
      </c>
      <c r="E971" s="92" t="s">
        <v>96</v>
      </c>
      <c r="F971" s="92" t="s">
        <v>1095</v>
      </c>
      <c r="G971" s="9">
        <v>43282</v>
      </c>
      <c r="H971" s="92" t="s">
        <v>271</v>
      </c>
      <c r="I971" s="92" t="s">
        <v>300</v>
      </c>
      <c r="J971" s="92" t="s">
        <v>273</v>
      </c>
      <c r="K971" s="92" t="s">
        <v>273</v>
      </c>
      <c r="L971" s="92" t="s">
        <v>274</v>
      </c>
      <c r="M971" s="92" t="s">
        <v>211</v>
      </c>
      <c r="N971" s="92" t="s">
        <v>211</v>
      </c>
      <c r="O971" s="92" t="s">
        <v>216</v>
      </c>
      <c r="P971" s="92" t="s">
        <v>1512</v>
      </c>
      <c r="Q971" s="92" t="s">
        <v>2650</v>
      </c>
      <c r="R971" s="92">
        <v>2</v>
      </c>
      <c r="S971" s="92">
        <v>125</v>
      </c>
      <c r="T971" s="9">
        <v>44159</v>
      </c>
      <c r="U971" s="9">
        <v>44179</v>
      </c>
    </row>
    <row r="972" spans="1:21" x14ac:dyDescent="0.2">
      <c r="A972" s="10" t="str">
        <f>HYPERLINK("http://www.ofsted.gov.uk/inspection-reports/find-inspection-report/provider/ELS/146035 ","Ofsted School Webpage")</f>
        <v>Ofsted School Webpage</v>
      </c>
      <c r="B972" s="92">
        <v>146035</v>
      </c>
      <c r="C972" s="92">
        <v>9282235</v>
      </c>
      <c r="D972" s="92" t="s">
        <v>2651</v>
      </c>
      <c r="E972" s="92" t="s">
        <v>94</v>
      </c>
      <c r="F972" s="92" t="s">
        <v>409</v>
      </c>
      <c r="G972" s="9">
        <v>43252</v>
      </c>
      <c r="H972" s="92" t="s">
        <v>484</v>
      </c>
      <c r="I972" s="92" t="s">
        <v>271</v>
      </c>
      <c r="J972" s="92" t="s">
        <v>410</v>
      </c>
      <c r="K972" s="92" t="s">
        <v>410</v>
      </c>
      <c r="L972" s="92" t="s">
        <v>274</v>
      </c>
      <c r="M972" s="92" t="s">
        <v>100</v>
      </c>
      <c r="N972" s="92" t="s">
        <v>100</v>
      </c>
      <c r="O972" s="92" t="s">
        <v>107</v>
      </c>
      <c r="P972" s="92" t="s">
        <v>2141</v>
      </c>
      <c r="Q972" s="92" t="s">
        <v>2652</v>
      </c>
      <c r="R972" s="92">
        <v>5</v>
      </c>
      <c r="S972" s="92">
        <v>266</v>
      </c>
      <c r="T972" s="9">
        <v>44159</v>
      </c>
      <c r="U972" s="9">
        <v>44200</v>
      </c>
    </row>
    <row r="973" spans="1:21" x14ac:dyDescent="0.2">
      <c r="A973" s="10" t="str">
        <f>HYPERLINK("http://www.ofsted.gov.uk/inspection-reports/find-inspection-report/provider/ELS/146075 ","Ofsted School Webpage")</f>
        <v>Ofsted School Webpage</v>
      </c>
      <c r="B973" s="92">
        <v>146075</v>
      </c>
      <c r="C973" s="92">
        <v>3302186</v>
      </c>
      <c r="D973" s="92" t="s">
        <v>2653</v>
      </c>
      <c r="E973" s="92" t="s">
        <v>94</v>
      </c>
      <c r="F973" s="92" t="s">
        <v>409</v>
      </c>
      <c r="G973" s="9">
        <v>43282</v>
      </c>
      <c r="H973" s="92" t="s">
        <v>271</v>
      </c>
      <c r="I973" s="92" t="s">
        <v>272</v>
      </c>
      <c r="J973" s="92" t="s">
        <v>273</v>
      </c>
      <c r="K973" s="92" t="s">
        <v>273</v>
      </c>
      <c r="L973" s="92" t="s">
        <v>274</v>
      </c>
      <c r="M973" s="92" t="s">
        <v>226</v>
      </c>
      <c r="N973" s="92" t="s">
        <v>226</v>
      </c>
      <c r="O973" s="92" t="s">
        <v>232</v>
      </c>
      <c r="P973" s="92" t="s">
        <v>885</v>
      </c>
      <c r="Q973" s="92" t="s">
        <v>2654</v>
      </c>
      <c r="R973" s="92">
        <v>5</v>
      </c>
      <c r="S973" s="92">
        <v>704</v>
      </c>
      <c r="T973" s="9">
        <v>44159</v>
      </c>
      <c r="U973" s="9">
        <v>44180</v>
      </c>
    </row>
    <row r="974" spans="1:21" x14ac:dyDescent="0.2">
      <c r="A974" s="10" t="str">
        <f>HYPERLINK("http://www.ofsted.gov.uk/inspection-reports/find-inspection-report/provider/ELS/144225 ","Ofsted School Webpage")</f>
        <v>Ofsted School Webpage</v>
      </c>
      <c r="B974" s="92">
        <v>144225</v>
      </c>
      <c r="C974" s="92">
        <v>3942112</v>
      </c>
      <c r="D974" s="92" t="s">
        <v>2655</v>
      </c>
      <c r="E974" s="92" t="s">
        <v>94</v>
      </c>
      <c r="F974" s="92" t="s">
        <v>429</v>
      </c>
      <c r="G974" s="9">
        <v>42917</v>
      </c>
      <c r="H974" s="92" t="s">
        <v>271</v>
      </c>
      <c r="I974" s="92" t="s">
        <v>272</v>
      </c>
      <c r="J974" s="92" t="s">
        <v>273</v>
      </c>
      <c r="K974" s="92" t="s">
        <v>273</v>
      </c>
      <c r="L974" s="92" t="s">
        <v>274</v>
      </c>
      <c r="M974" s="92" t="s">
        <v>261</v>
      </c>
      <c r="N974" s="92" t="s">
        <v>155</v>
      </c>
      <c r="O974" s="92" t="s">
        <v>164</v>
      </c>
      <c r="P974" s="92" t="s">
        <v>845</v>
      </c>
      <c r="Q974" s="92" t="s">
        <v>2656</v>
      </c>
      <c r="R974" s="92">
        <v>5</v>
      </c>
      <c r="S974" s="92">
        <v>438</v>
      </c>
      <c r="T974" s="9">
        <v>44159</v>
      </c>
      <c r="U974" s="9">
        <v>44186</v>
      </c>
    </row>
    <row r="975" spans="1:21" x14ac:dyDescent="0.2">
      <c r="A975" s="10" t="str">
        <f>HYPERLINK("http://www.ofsted.gov.uk/inspection-reports/find-inspection-report/provider/ELS/145487 ","Ofsted School Webpage")</f>
        <v>Ofsted School Webpage</v>
      </c>
      <c r="B975" s="92">
        <v>145487</v>
      </c>
      <c r="C975" s="92">
        <v>9192086</v>
      </c>
      <c r="D975" s="92" t="s">
        <v>2657</v>
      </c>
      <c r="E975" s="92" t="s">
        <v>94</v>
      </c>
      <c r="F975" s="92" t="s">
        <v>409</v>
      </c>
      <c r="G975" s="9">
        <v>43221</v>
      </c>
      <c r="H975" s="92" t="s">
        <v>271</v>
      </c>
      <c r="I975" s="92" t="s">
        <v>272</v>
      </c>
      <c r="J975" s="92" t="s">
        <v>273</v>
      </c>
      <c r="K975" s="92" t="s">
        <v>273</v>
      </c>
      <c r="L975" s="92" t="s">
        <v>274</v>
      </c>
      <c r="M975" s="92" t="s">
        <v>110</v>
      </c>
      <c r="N975" s="92" t="s">
        <v>110</v>
      </c>
      <c r="O975" s="92" t="s">
        <v>117</v>
      </c>
      <c r="P975" s="92" t="s">
        <v>669</v>
      </c>
      <c r="Q975" s="92" t="s">
        <v>2658</v>
      </c>
      <c r="R975" s="92">
        <v>3</v>
      </c>
      <c r="S975" s="92">
        <v>189</v>
      </c>
      <c r="T975" s="9">
        <v>44159</v>
      </c>
      <c r="U975" s="9">
        <v>44213</v>
      </c>
    </row>
    <row r="976" spans="1:21" x14ac:dyDescent="0.2">
      <c r="A976" s="10" t="str">
        <f>HYPERLINK("http://www.ofsted.gov.uk/inspection-reports/find-inspection-report/provider/ELS/145978 ","Ofsted School Webpage")</f>
        <v>Ofsted School Webpage</v>
      </c>
      <c r="B976" s="92">
        <v>145978</v>
      </c>
      <c r="C976" s="92">
        <v>8882006</v>
      </c>
      <c r="D976" s="92" t="s">
        <v>2659</v>
      </c>
      <c r="E976" s="92" t="s">
        <v>94</v>
      </c>
      <c r="F976" s="92" t="s">
        <v>409</v>
      </c>
      <c r="G976" s="9">
        <v>43252</v>
      </c>
      <c r="H976" s="92" t="s">
        <v>271</v>
      </c>
      <c r="I976" s="92" t="s">
        <v>272</v>
      </c>
      <c r="J976" s="92" t="s">
        <v>273</v>
      </c>
      <c r="K976" s="92" t="s">
        <v>273</v>
      </c>
      <c r="L976" s="92" t="s">
        <v>274</v>
      </c>
      <c r="M976" s="92" t="s">
        <v>168</v>
      </c>
      <c r="N976" s="92" t="s">
        <v>168</v>
      </c>
      <c r="O976" s="92" t="s">
        <v>169</v>
      </c>
      <c r="P976" s="92" t="s">
        <v>2660</v>
      </c>
      <c r="Q976" s="92" t="s">
        <v>2661</v>
      </c>
      <c r="R976" s="92">
        <v>4</v>
      </c>
      <c r="S976" s="92">
        <v>286</v>
      </c>
      <c r="T976" s="9">
        <v>44159</v>
      </c>
      <c r="U976" s="9">
        <v>44209</v>
      </c>
    </row>
    <row r="977" spans="1:21" x14ac:dyDescent="0.2">
      <c r="A977" s="10" t="str">
        <f>HYPERLINK("http://www.ofsted.gov.uk/inspection-reports/find-inspection-report/provider/ELS/144443 ","Ofsted School Webpage")</f>
        <v>Ofsted School Webpage</v>
      </c>
      <c r="B977" s="92">
        <v>144443</v>
      </c>
      <c r="C977" s="92">
        <v>9352067</v>
      </c>
      <c r="D977" s="92" t="s">
        <v>2662</v>
      </c>
      <c r="E977" s="92" t="s">
        <v>94</v>
      </c>
      <c r="F977" s="92" t="s">
        <v>429</v>
      </c>
      <c r="G977" s="9">
        <v>42856</v>
      </c>
      <c r="H977" s="92" t="s">
        <v>271</v>
      </c>
      <c r="I977" s="92" t="s">
        <v>272</v>
      </c>
      <c r="J977" s="92" t="s">
        <v>273</v>
      </c>
      <c r="K977" s="92" t="s">
        <v>273</v>
      </c>
      <c r="L977" s="92" t="s">
        <v>274</v>
      </c>
      <c r="M977" s="92" t="s">
        <v>110</v>
      </c>
      <c r="N977" s="92" t="s">
        <v>110</v>
      </c>
      <c r="O977" s="92" t="s">
        <v>114</v>
      </c>
      <c r="P977" s="92" t="s">
        <v>1258</v>
      </c>
      <c r="Q977" s="92" t="s">
        <v>2663</v>
      </c>
      <c r="R977" s="92">
        <v>4</v>
      </c>
      <c r="S977" s="92">
        <v>216</v>
      </c>
      <c r="T977" s="9">
        <v>44159</v>
      </c>
      <c r="U977" s="9">
        <v>44213</v>
      </c>
    </row>
    <row r="978" spans="1:21" x14ac:dyDescent="0.2">
      <c r="A978" s="10" t="str">
        <f>HYPERLINK("http://www.ofsted.gov.uk/inspection-reports/find-inspection-report/provider/ELS/142709 ","Ofsted School Webpage")</f>
        <v>Ofsted School Webpage</v>
      </c>
      <c r="B978" s="92">
        <v>142709</v>
      </c>
      <c r="C978" s="92">
        <v>8782421</v>
      </c>
      <c r="D978" s="92" t="s">
        <v>2664</v>
      </c>
      <c r="E978" s="92" t="s">
        <v>94</v>
      </c>
      <c r="F978" s="92" t="s">
        <v>429</v>
      </c>
      <c r="G978" s="9">
        <v>42461</v>
      </c>
      <c r="H978" s="92" t="s">
        <v>271</v>
      </c>
      <c r="I978" s="92" t="s">
        <v>272</v>
      </c>
      <c r="J978" s="92" t="s">
        <v>273</v>
      </c>
      <c r="K978" s="92" t="s">
        <v>273</v>
      </c>
      <c r="L978" s="92" t="s">
        <v>274</v>
      </c>
      <c r="M978" s="92" t="s">
        <v>211</v>
      </c>
      <c r="N978" s="92" t="s">
        <v>211</v>
      </c>
      <c r="O978" s="92" t="s">
        <v>220</v>
      </c>
      <c r="P978" s="92" t="s">
        <v>692</v>
      </c>
      <c r="Q978" s="92" t="s">
        <v>2665</v>
      </c>
      <c r="R978" s="92">
        <v>2</v>
      </c>
      <c r="S978" s="92">
        <v>69</v>
      </c>
      <c r="T978" s="9">
        <v>44159</v>
      </c>
      <c r="U978" s="9">
        <v>44178</v>
      </c>
    </row>
    <row r="979" spans="1:21" x14ac:dyDescent="0.2">
      <c r="A979" s="10" t="str">
        <f>HYPERLINK("http://www.ofsted.gov.uk/inspection-reports/find-inspection-report/provider/ELS/139897 ","Ofsted School Webpage")</f>
        <v>Ofsted School Webpage</v>
      </c>
      <c r="B979" s="92">
        <v>139897</v>
      </c>
      <c r="C979" s="92">
        <v>8254006</v>
      </c>
      <c r="D979" s="92" t="s">
        <v>2666</v>
      </c>
      <c r="E979" s="92" t="s">
        <v>95</v>
      </c>
      <c r="F979" s="92" t="s">
        <v>491</v>
      </c>
      <c r="G979" s="9">
        <v>41522</v>
      </c>
      <c r="H979" s="92" t="s">
        <v>299</v>
      </c>
      <c r="I979" s="92" t="s">
        <v>300</v>
      </c>
      <c r="J979" s="92" t="s">
        <v>2265</v>
      </c>
      <c r="K979" s="92" t="s">
        <v>2265</v>
      </c>
      <c r="L979" s="92" t="s">
        <v>2265</v>
      </c>
      <c r="M979" s="92" t="s">
        <v>192</v>
      </c>
      <c r="N979" s="92" t="s">
        <v>192</v>
      </c>
      <c r="O979" s="92" t="s">
        <v>207</v>
      </c>
      <c r="P979" s="92" t="s">
        <v>2667</v>
      </c>
      <c r="Q979" s="92" t="s">
        <v>2668</v>
      </c>
      <c r="R979" s="92">
        <v>2</v>
      </c>
      <c r="S979" s="92">
        <v>522</v>
      </c>
      <c r="T979" s="9">
        <v>44159</v>
      </c>
      <c r="U979" s="9">
        <v>44180</v>
      </c>
    </row>
    <row r="980" spans="1:21" x14ac:dyDescent="0.2">
      <c r="A980" s="10" t="str">
        <f>HYPERLINK("http://www.ofsted.gov.uk/inspection-reports/find-inspection-report/provider/ELS/145124 ","Ofsted School Webpage")</f>
        <v>Ofsted School Webpage</v>
      </c>
      <c r="B980" s="92">
        <v>145124</v>
      </c>
      <c r="C980" s="92">
        <v>8034008</v>
      </c>
      <c r="D980" s="92" t="s">
        <v>2669</v>
      </c>
      <c r="E980" s="92" t="s">
        <v>95</v>
      </c>
      <c r="F980" s="92" t="s">
        <v>429</v>
      </c>
      <c r="G980" s="9">
        <v>42979</v>
      </c>
      <c r="H980" s="92" t="s">
        <v>299</v>
      </c>
      <c r="I980" s="92" t="s">
        <v>300</v>
      </c>
      <c r="J980" s="92" t="s">
        <v>410</v>
      </c>
      <c r="K980" s="92" t="s">
        <v>273</v>
      </c>
      <c r="L980" s="92" t="s">
        <v>274</v>
      </c>
      <c r="M980" s="92" t="s">
        <v>211</v>
      </c>
      <c r="N980" s="92" t="s">
        <v>211</v>
      </c>
      <c r="O980" s="92" t="s">
        <v>216</v>
      </c>
      <c r="P980" s="92" t="s">
        <v>2174</v>
      </c>
      <c r="Q980" s="92" t="s">
        <v>2670</v>
      </c>
      <c r="R980" s="92">
        <v>3</v>
      </c>
      <c r="S980" s="92">
        <v>601</v>
      </c>
      <c r="T980" s="9">
        <v>44159</v>
      </c>
      <c r="U980" s="9">
        <v>44200</v>
      </c>
    </row>
    <row r="981" spans="1:21" x14ac:dyDescent="0.2">
      <c r="A981" s="10" t="str">
        <f>HYPERLINK("http://www.ofsted.gov.uk/inspection-reports/find-inspection-report/provider/ELS/145122 ","Ofsted School Webpage")</f>
        <v>Ofsted School Webpage</v>
      </c>
      <c r="B981" s="92">
        <v>145122</v>
      </c>
      <c r="C981" s="92">
        <v>3182029</v>
      </c>
      <c r="D981" s="92" t="s">
        <v>2671</v>
      </c>
      <c r="E981" s="92" t="s">
        <v>94</v>
      </c>
      <c r="F981" s="92" t="s">
        <v>409</v>
      </c>
      <c r="G981" s="9">
        <v>42979</v>
      </c>
      <c r="H981" s="92" t="s">
        <v>484</v>
      </c>
      <c r="I981" s="92" t="s">
        <v>272</v>
      </c>
      <c r="J981" s="92" t="s">
        <v>410</v>
      </c>
      <c r="K981" s="92" t="s">
        <v>410</v>
      </c>
      <c r="L981" s="92" t="s">
        <v>274</v>
      </c>
      <c r="M981" s="92" t="s">
        <v>122</v>
      </c>
      <c r="N981" s="92" t="s">
        <v>122</v>
      </c>
      <c r="O981" s="92" t="s">
        <v>134</v>
      </c>
      <c r="P981" s="92" t="s">
        <v>627</v>
      </c>
      <c r="Q981" s="92" t="s">
        <v>2672</v>
      </c>
      <c r="R981" s="92">
        <v>3</v>
      </c>
      <c r="S981" s="92">
        <v>407</v>
      </c>
      <c r="T981" s="9">
        <v>44159</v>
      </c>
      <c r="U981" s="9">
        <v>44213</v>
      </c>
    </row>
    <row r="982" spans="1:21" x14ac:dyDescent="0.2">
      <c r="A982" s="10" t="str">
        <f>HYPERLINK("http://www.ofsted.gov.uk/inspection-reports/find-inspection-report/provider/ELS/145133 ","Ofsted School Webpage")</f>
        <v>Ofsted School Webpage</v>
      </c>
      <c r="B982" s="92">
        <v>145133</v>
      </c>
      <c r="C982" s="92">
        <v>3564001</v>
      </c>
      <c r="D982" s="92" t="s">
        <v>2673</v>
      </c>
      <c r="E982" s="92" t="s">
        <v>95</v>
      </c>
      <c r="F982" s="92" t="s">
        <v>409</v>
      </c>
      <c r="G982" s="9">
        <v>42979</v>
      </c>
      <c r="H982" s="92" t="s">
        <v>299</v>
      </c>
      <c r="I982" s="92" t="s">
        <v>272</v>
      </c>
      <c r="J982" s="92" t="s">
        <v>410</v>
      </c>
      <c r="K982" s="92" t="s">
        <v>410</v>
      </c>
      <c r="L982" s="92" t="s">
        <v>274</v>
      </c>
      <c r="M982" s="92" t="s">
        <v>168</v>
      </c>
      <c r="N982" s="92" t="s">
        <v>168</v>
      </c>
      <c r="O982" s="92" t="s">
        <v>174</v>
      </c>
      <c r="P982" s="92" t="s">
        <v>2377</v>
      </c>
      <c r="Q982" s="92" t="s">
        <v>2674</v>
      </c>
      <c r="R982" s="92">
        <v>5</v>
      </c>
      <c r="S982" s="92">
        <v>874</v>
      </c>
      <c r="T982" s="9">
        <v>44159</v>
      </c>
      <c r="U982" s="9">
        <v>44186</v>
      </c>
    </row>
    <row r="983" spans="1:21" x14ac:dyDescent="0.2">
      <c r="A983" s="10" t="str">
        <f>HYPERLINK("http://www.ofsted.gov.uk/inspection-reports/find-inspection-report/provider/ELS/137226 ","Ofsted School Webpage")</f>
        <v>Ofsted School Webpage</v>
      </c>
      <c r="B983" s="92">
        <v>137226</v>
      </c>
      <c r="C983" s="92">
        <v>8812598</v>
      </c>
      <c r="D983" s="92" t="s">
        <v>2675</v>
      </c>
      <c r="E983" s="92" t="s">
        <v>94</v>
      </c>
      <c r="F983" s="92" t="s">
        <v>429</v>
      </c>
      <c r="G983" s="9">
        <v>40756</v>
      </c>
      <c r="H983" s="92" t="s">
        <v>271</v>
      </c>
      <c r="I983" s="92" t="s">
        <v>271</v>
      </c>
      <c r="J983" s="92" t="s">
        <v>273</v>
      </c>
      <c r="K983" s="92" t="s">
        <v>273</v>
      </c>
      <c r="L983" s="92" t="s">
        <v>274</v>
      </c>
      <c r="M983" s="92" t="s">
        <v>110</v>
      </c>
      <c r="N983" s="92" t="s">
        <v>110</v>
      </c>
      <c r="O983" s="92" t="s">
        <v>119</v>
      </c>
      <c r="P983" s="92" t="s">
        <v>2242</v>
      </c>
      <c r="Q983" s="92" t="s">
        <v>2676</v>
      </c>
      <c r="R983" s="92">
        <v>1</v>
      </c>
      <c r="S983" s="92">
        <v>433</v>
      </c>
      <c r="T983" s="9">
        <v>44159</v>
      </c>
      <c r="U983" s="9">
        <v>44200</v>
      </c>
    </row>
    <row r="984" spans="1:21" x14ac:dyDescent="0.2">
      <c r="A984" s="10" t="str">
        <f>HYPERLINK("http://www.ofsted.gov.uk/inspection-reports/find-inspection-report/provider/ELS/140025 ","Ofsted School Webpage")</f>
        <v>Ofsted School Webpage</v>
      </c>
      <c r="B984" s="92">
        <v>140025</v>
      </c>
      <c r="C984" s="92">
        <v>3732017</v>
      </c>
      <c r="D984" s="92" t="s">
        <v>2677</v>
      </c>
      <c r="E984" s="92" t="s">
        <v>94</v>
      </c>
      <c r="F984" s="92" t="s">
        <v>409</v>
      </c>
      <c r="G984" s="9">
        <v>41609</v>
      </c>
      <c r="H984" s="92" t="s">
        <v>271</v>
      </c>
      <c r="I984" s="92" t="s">
        <v>272</v>
      </c>
      <c r="J984" s="92" t="s">
        <v>352</v>
      </c>
      <c r="K984" s="92" t="s">
        <v>410</v>
      </c>
      <c r="L984" s="92" t="s">
        <v>347</v>
      </c>
      <c r="M984" s="92" t="s">
        <v>261</v>
      </c>
      <c r="N984" s="92" t="s">
        <v>241</v>
      </c>
      <c r="O984" s="92" t="s">
        <v>249</v>
      </c>
      <c r="P984" s="92" t="s">
        <v>1926</v>
      </c>
      <c r="Q984" s="92" t="s">
        <v>2678</v>
      </c>
      <c r="R984" s="92">
        <v>4</v>
      </c>
      <c r="S984" s="92">
        <v>215</v>
      </c>
      <c r="T984" s="9">
        <v>44159</v>
      </c>
      <c r="U984" s="9">
        <v>44216</v>
      </c>
    </row>
    <row r="985" spans="1:21" x14ac:dyDescent="0.2">
      <c r="A985" s="10" t="str">
        <f>HYPERLINK("http://www.ofsted.gov.uk/inspection-reports/find-inspection-report/provider/ELS/139573 ","Ofsted School Webpage")</f>
        <v>Ofsted School Webpage</v>
      </c>
      <c r="B985" s="92">
        <v>139573</v>
      </c>
      <c r="C985" s="92">
        <v>3842007</v>
      </c>
      <c r="D985" s="92" t="s">
        <v>2679</v>
      </c>
      <c r="E985" s="92" t="s">
        <v>94</v>
      </c>
      <c r="F985" s="92" t="s">
        <v>409</v>
      </c>
      <c r="G985" s="9">
        <v>41456</v>
      </c>
      <c r="H985" s="92" t="s">
        <v>271</v>
      </c>
      <c r="I985" s="92" t="s">
        <v>272</v>
      </c>
      <c r="J985" s="92" t="s">
        <v>346</v>
      </c>
      <c r="K985" s="92" t="s">
        <v>410</v>
      </c>
      <c r="L985" s="92" t="s">
        <v>347</v>
      </c>
      <c r="M985" s="92" t="s">
        <v>261</v>
      </c>
      <c r="N985" s="92" t="s">
        <v>241</v>
      </c>
      <c r="O985" s="92" t="s">
        <v>246</v>
      </c>
      <c r="P985" s="92" t="s">
        <v>702</v>
      </c>
      <c r="Q985" s="92" t="s">
        <v>2680</v>
      </c>
      <c r="R985" s="92">
        <v>5</v>
      </c>
      <c r="S985" s="92">
        <v>239</v>
      </c>
      <c r="T985" s="9">
        <v>44159</v>
      </c>
      <c r="U985" s="9">
        <v>44202</v>
      </c>
    </row>
    <row r="986" spans="1:21" x14ac:dyDescent="0.2">
      <c r="A986" s="10" t="str">
        <f>HYPERLINK("http://www.ofsted.gov.uk/inspection-reports/find-inspection-report/provider/ELS/141757 ","Ofsted School Webpage")</f>
        <v>Ofsted School Webpage</v>
      </c>
      <c r="B986" s="92">
        <v>141757</v>
      </c>
      <c r="C986" s="92">
        <v>8384029</v>
      </c>
      <c r="D986" s="92" t="s">
        <v>2681</v>
      </c>
      <c r="E986" s="92" t="s">
        <v>95</v>
      </c>
      <c r="F986" s="92" t="s">
        <v>429</v>
      </c>
      <c r="G986" s="9">
        <v>42064</v>
      </c>
      <c r="H986" s="92" t="s">
        <v>271</v>
      </c>
      <c r="I986" s="92" t="s">
        <v>272</v>
      </c>
      <c r="J986" s="92" t="s">
        <v>273</v>
      </c>
      <c r="K986" s="92" t="s">
        <v>273</v>
      </c>
      <c r="L986" s="92" t="s">
        <v>274</v>
      </c>
      <c r="M986" s="92" t="s">
        <v>211</v>
      </c>
      <c r="N986" s="92" t="s">
        <v>211</v>
      </c>
      <c r="O986" s="92" t="s">
        <v>213</v>
      </c>
      <c r="P986" s="92" t="s">
        <v>905</v>
      </c>
      <c r="Q986" s="92" t="s">
        <v>2682</v>
      </c>
      <c r="R986" s="92">
        <v>1</v>
      </c>
      <c r="S986" s="92">
        <v>579</v>
      </c>
      <c r="T986" s="9">
        <v>44159</v>
      </c>
      <c r="U986" s="9">
        <v>44213</v>
      </c>
    </row>
    <row r="987" spans="1:21" x14ac:dyDescent="0.2">
      <c r="A987" s="10" t="str">
        <f>HYPERLINK("http://www.ofsted.gov.uk/inspection-reports/find-inspection-report/provider/ELS/141633 ","Ofsted School Webpage")</f>
        <v>Ofsted School Webpage</v>
      </c>
      <c r="B987" s="92">
        <v>141633</v>
      </c>
      <c r="C987" s="92">
        <v>9283509</v>
      </c>
      <c r="D987" s="92" t="s">
        <v>2683</v>
      </c>
      <c r="E987" s="92" t="s">
        <v>94</v>
      </c>
      <c r="F987" s="92" t="s">
        <v>429</v>
      </c>
      <c r="G987" s="9">
        <v>42064</v>
      </c>
      <c r="H987" s="92" t="s">
        <v>271</v>
      </c>
      <c r="I987" s="92" t="s">
        <v>272</v>
      </c>
      <c r="J987" s="92" t="s">
        <v>352</v>
      </c>
      <c r="K987" s="92" t="s">
        <v>273</v>
      </c>
      <c r="L987" s="92" t="s">
        <v>347</v>
      </c>
      <c r="M987" s="92" t="s">
        <v>100</v>
      </c>
      <c r="N987" s="92" t="s">
        <v>100</v>
      </c>
      <c r="O987" s="92" t="s">
        <v>107</v>
      </c>
      <c r="P987" s="92" t="s">
        <v>518</v>
      </c>
      <c r="Q987" s="92" t="s">
        <v>2684</v>
      </c>
      <c r="R987" s="92">
        <v>4</v>
      </c>
      <c r="S987" s="92">
        <v>388</v>
      </c>
      <c r="T987" s="9">
        <v>44159</v>
      </c>
      <c r="U987" s="9">
        <v>44200</v>
      </c>
    </row>
    <row r="988" spans="1:21" x14ac:dyDescent="0.2">
      <c r="A988" s="10" t="str">
        <f>HYPERLINK("http://www.ofsted.gov.uk/inspection-reports/find-inspection-report/provider/ELS/143134 ","Ofsted School Webpage")</f>
        <v>Ofsted School Webpage</v>
      </c>
      <c r="B988" s="92">
        <v>143134</v>
      </c>
      <c r="C988" s="92">
        <v>8264003</v>
      </c>
      <c r="D988" s="92" t="s">
        <v>2685</v>
      </c>
      <c r="E988" s="92" t="s">
        <v>95</v>
      </c>
      <c r="F988" s="92" t="s">
        <v>409</v>
      </c>
      <c r="G988" s="9">
        <v>42614</v>
      </c>
      <c r="H988" s="92" t="s">
        <v>299</v>
      </c>
      <c r="I988" s="92" t="s">
        <v>300</v>
      </c>
      <c r="J988" s="92" t="s">
        <v>410</v>
      </c>
      <c r="K988" s="92" t="s">
        <v>484</v>
      </c>
      <c r="L988" s="92" t="s">
        <v>274</v>
      </c>
      <c r="M988" s="92" t="s">
        <v>192</v>
      </c>
      <c r="N988" s="92" t="s">
        <v>192</v>
      </c>
      <c r="O988" s="92" t="s">
        <v>209</v>
      </c>
      <c r="P988" s="92" t="s">
        <v>2686</v>
      </c>
      <c r="Q988" s="92" t="s">
        <v>2687</v>
      </c>
      <c r="R988" s="92">
        <v>4</v>
      </c>
      <c r="S988" s="92">
        <v>1641</v>
      </c>
      <c r="T988" s="9">
        <v>44159</v>
      </c>
      <c r="U988" s="9">
        <v>44216</v>
      </c>
    </row>
    <row r="989" spans="1:21" x14ac:dyDescent="0.2">
      <c r="A989" s="10" t="str">
        <f>HYPERLINK("http://www.ofsted.gov.uk/inspection-reports/find-inspection-report/provider/ELS/141572 ","Ofsted School Webpage")</f>
        <v>Ofsted School Webpage</v>
      </c>
      <c r="B989" s="92">
        <v>141572</v>
      </c>
      <c r="C989" s="92">
        <v>8812687</v>
      </c>
      <c r="D989" s="92" t="s">
        <v>2688</v>
      </c>
      <c r="E989" s="92" t="s">
        <v>94</v>
      </c>
      <c r="F989" s="92" t="s">
        <v>429</v>
      </c>
      <c r="G989" s="9">
        <v>41974</v>
      </c>
      <c r="H989" s="92" t="s">
        <v>271</v>
      </c>
      <c r="I989" s="92" t="s">
        <v>272</v>
      </c>
      <c r="J989" s="92" t="s">
        <v>273</v>
      </c>
      <c r="K989" s="92" t="s">
        <v>273</v>
      </c>
      <c r="L989" s="92" t="s">
        <v>274</v>
      </c>
      <c r="M989" s="92" t="s">
        <v>110</v>
      </c>
      <c r="N989" s="92" t="s">
        <v>110</v>
      </c>
      <c r="O989" s="92" t="s">
        <v>119</v>
      </c>
      <c r="P989" s="92" t="s">
        <v>737</v>
      </c>
      <c r="Q989" s="92" t="s">
        <v>2689</v>
      </c>
      <c r="R989" s="92">
        <v>1</v>
      </c>
      <c r="S989" s="92">
        <v>253</v>
      </c>
      <c r="T989" s="9">
        <v>44159</v>
      </c>
      <c r="U989" s="9">
        <v>44182</v>
      </c>
    </row>
    <row r="990" spans="1:21" x14ac:dyDescent="0.2">
      <c r="A990" s="10" t="str">
        <f>HYPERLINK("http://www.ofsted.gov.uk/inspection-reports/find-inspection-report/provider/ELS/142317 ","Ofsted School Webpage")</f>
        <v>Ofsted School Webpage</v>
      </c>
      <c r="B990" s="92">
        <v>142317</v>
      </c>
      <c r="C990" s="92">
        <v>3364113</v>
      </c>
      <c r="D990" s="92" t="s">
        <v>2690</v>
      </c>
      <c r="E990" s="92" t="s">
        <v>95</v>
      </c>
      <c r="F990" s="92" t="s">
        <v>429</v>
      </c>
      <c r="G990" s="9">
        <v>42339</v>
      </c>
      <c r="H990" s="92" t="s">
        <v>299</v>
      </c>
      <c r="I990" s="92" t="s">
        <v>300</v>
      </c>
      <c r="J990" s="92" t="s">
        <v>273</v>
      </c>
      <c r="K990" s="92" t="s">
        <v>273</v>
      </c>
      <c r="L990" s="92" t="s">
        <v>274</v>
      </c>
      <c r="M990" s="92" t="s">
        <v>226</v>
      </c>
      <c r="N990" s="92" t="s">
        <v>226</v>
      </c>
      <c r="O990" s="92" t="s">
        <v>231</v>
      </c>
      <c r="P990" s="92" t="s">
        <v>278</v>
      </c>
      <c r="Q990" s="92" t="s">
        <v>2691</v>
      </c>
      <c r="R990" s="92">
        <v>3</v>
      </c>
      <c r="S990" s="92">
        <v>1588</v>
      </c>
      <c r="T990" s="9">
        <v>44159</v>
      </c>
      <c r="U990" s="9">
        <v>44201</v>
      </c>
    </row>
    <row r="991" spans="1:21" x14ac:dyDescent="0.2">
      <c r="A991" s="10" t="str">
        <f>HYPERLINK("http://www.ofsted.gov.uk/inspection-reports/find-inspection-report/provider/ELS/144013 ","Ofsted School Webpage")</f>
        <v>Ofsted School Webpage</v>
      </c>
      <c r="B991" s="92">
        <v>144013</v>
      </c>
      <c r="C991" s="92">
        <v>9164009</v>
      </c>
      <c r="D991" s="92" t="s">
        <v>2692</v>
      </c>
      <c r="E991" s="92" t="s">
        <v>95</v>
      </c>
      <c r="F991" s="92" t="s">
        <v>409</v>
      </c>
      <c r="G991" s="9">
        <v>42979</v>
      </c>
      <c r="H991" s="92" t="s">
        <v>299</v>
      </c>
      <c r="I991" s="92" t="s">
        <v>272</v>
      </c>
      <c r="J991" s="92" t="s">
        <v>410</v>
      </c>
      <c r="K991" s="92" t="s">
        <v>484</v>
      </c>
      <c r="L991" s="92" t="s">
        <v>274</v>
      </c>
      <c r="M991" s="92" t="s">
        <v>211</v>
      </c>
      <c r="N991" s="92" t="s">
        <v>211</v>
      </c>
      <c r="O991" s="92" t="s">
        <v>217</v>
      </c>
      <c r="P991" s="92" t="s">
        <v>1349</v>
      </c>
      <c r="Q991" s="92" t="s">
        <v>2693</v>
      </c>
      <c r="R991" s="92">
        <v>3</v>
      </c>
      <c r="S991" s="92">
        <v>611</v>
      </c>
      <c r="T991" s="9">
        <v>44159</v>
      </c>
      <c r="U991" s="9">
        <v>44200</v>
      </c>
    </row>
    <row r="992" spans="1:21" x14ac:dyDescent="0.2">
      <c r="A992" s="10" t="str">
        <f>HYPERLINK("http://www.ofsted.gov.uk/inspection-reports/find-inspection-report/provider/ELS/136476 ","Ofsted School Webpage")</f>
        <v>Ofsted School Webpage</v>
      </c>
      <c r="B992" s="92">
        <v>136476</v>
      </c>
      <c r="C992" s="92">
        <v>9255422</v>
      </c>
      <c r="D992" s="92" t="s">
        <v>2694</v>
      </c>
      <c r="E992" s="92" t="s">
        <v>95</v>
      </c>
      <c r="F992" s="92" t="s">
        <v>429</v>
      </c>
      <c r="G992" s="9">
        <v>40575</v>
      </c>
      <c r="H992" s="92" t="s">
        <v>299</v>
      </c>
      <c r="I992" s="92" t="s">
        <v>272</v>
      </c>
      <c r="J992" s="92" t="s">
        <v>346</v>
      </c>
      <c r="K992" s="92" t="s">
        <v>273</v>
      </c>
      <c r="L992" s="92" t="s">
        <v>347</v>
      </c>
      <c r="M992" s="92" t="s">
        <v>100</v>
      </c>
      <c r="N992" s="92" t="s">
        <v>100</v>
      </c>
      <c r="O992" s="92" t="s">
        <v>104</v>
      </c>
      <c r="P992" s="92" t="s">
        <v>1290</v>
      </c>
      <c r="Q992" s="92" t="s">
        <v>2695</v>
      </c>
      <c r="R992" s="92">
        <v>5</v>
      </c>
      <c r="S992" s="92">
        <v>351</v>
      </c>
      <c r="T992" s="9">
        <v>44159</v>
      </c>
      <c r="U992" s="9">
        <v>44200</v>
      </c>
    </row>
    <row r="993" spans="1:21" x14ac:dyDescent="0.2">
      <c r="A993" s="10" t="str">
        <f>HYPERLINK("http://www.ofsted.gov.uk/inspection-reports/find-inspection-report/provider/ELS/144942 ","Ofsted School Webpage")</f>
        <v>Ofsted School Webpage</v>
      </c>
      <c r="B993" s="92">
        <v>144942</v>
      </c>
      <c r="C993" s="92">
        <v>8942034</v>
      </c>
      <c r="D993" s="92" t="s">
        <v>2696</v>
      </c>
      <c r="E993" s="92" t="s">
        <v>94</v>
      </c>
      <c r="F993" s="92" t="s">
        <v>429</v>
      </c>
      <c r="G993" s="9">
        <v>43160</v>
      </c>
      <c r="H993" s="92" t="s">
        <v>271</v>
      </c>
      <c r="I993" s="92" t="s">
        <v>272</v>
      </c>
      <c r="J993" s="92" t="s">
        <v>273</v>
      </c>
      <c r="K993" s="92" t="s">
        <v>273</v>
      </c>
      <c r="L993" s="92" t="s">
        <v>274</v>
      </c>
      <c r="M993" s="92" t="s">
        <v>226</v>
      </c>
      <c r="N993" s="92" t="s">
        <v>226</v>
      </c>
      <c r="O993" s="92" t="s">
        <v>239</v>
      </c>
      <c r="P993" s="92" t="s">
        <v>831</v>
      </c>
      <c r="Q993" s="92" t="s">
        <v>2697</v>
      </c>
      <c r="R993" s="92">
        <v>4</v>
      </c>
      <c r="S993" s="92">
        <v>603</v>
      </c>
      <c r="T993" s="9">
        <v>44159</v>
      </c>
      <c r="U993" s="9">
        <v>44179</v>
      </c>
    </row>
    <row r="994" spans="1:21" x14ac:dyDescent="0.2">
      <c r="A994" s="10" t="str">
        <f>HYPERLINK("http://www.ofsted.gov.uk/inspection-reports/find-inspection-report/provider/ELS/142552 ","Ofsted School Webpage")</f>
        <v>Ofsted School Webpage</v>
      </c>
      <c r="B994" s="92">
        <v>142552</v>
      </c>
      <c r="C994" s="92">
        <v>3402003</v>
      </c>
      <c r="D994" s="92" t="s">
        <v>2698</v>
      </c>
      <c r="E994" s="92" t="s">
        <v>94</v>
      </c>
      <c r="F994" s="92" t="s">
        <v>429</v>
      </c>
      <c r="G994" s="9">
        <v>42370</v>
      </c>
      <c r="H994" s="92" t="s">
        <v>271</v>
      </c>
      <c r="I994" s="92" t="s">
        <v>272</v>
      </c>
      <c r="J994" s="92" t="s">
        <v>273</v>
      </c>
      <c r="K994" s="92" t="s">
        <v>273</v>
      </c>
      <c r="L994" s="92" t="s">
        <v>274</v>
      </c>
      <c r="M994" s="92" t="s">
        <v>168</v>
      </c>
      <c r="N994" s="92" t="s">
        <v>168</v>
      </c>
      <c r="O994" s="92" t="s">
        <v>178</v>
      </c>
      <c r="P994" s="92" t="s">
        <v>178</v>
      </c>
      <c r="Q994" s="92" t="s">
        <v>2699</v>
      </c>
      <c r="R994" s="92">
        <v>5</v>
      </c>
      <c r="S994" s="92">
        <v>336</v>
      </c>
      <c r="T994" s="9">
        <v>44159</v>
      </c>
      <c r="U994" s="9">
        <v>44215</v>
      </c>
    </row>
    <row r="995" spans="1:21" x14ac:dyDescent="0.2">
      <c r="A995" s="10" t="str">
        <f>HYPERLINK("http://www.ofsted.gov.uk/inspection-reports/find-inspection-report/provider/ELS/143430 ","Ofsted School Webpage")</f>
        <v>Ofsted School Webpage</v>
      </c>
      <c r="B995" s="92">
        <v>143430</v>
      </c>
      <c r="C995" s="92">
        <v>8514006</v>
      </c>
      <c r="D995" s="92" t="s">
        <v>2700</v>
      </c>
      <c r="E995" s="92" t="s">
        <v>95</v>
      </c>
      <c r="F995" s="92" t="s">
        <v>2225</v>
      </c>
      <c r="G995" s="9">
        <v>42979</v>
      </c>
      <c r="H995" s="92" t="s">
        <v>484</v>
      </c>
      <c r="I995" s="92" t="s">
        <v>300</v>
      </c>
      <c r="J995" s="92" t="s">
        <v>273</v>
      </c>
      <c r="K995" s="92" t="s">
        <v>273</v>
      </c>
      <c r="L995" s="92" t="s">
        <v>274</v>
      </c>
      <c r="M995" s="92" t="s">
        <v>192</v>
      </c>
      <c r="N995" s="92" t="s">
        <v>192</v>
      </c>
      <c r="O995" s="92" t="s">
        <v>196</v>
      </c>
      <c r="P995" s="92" t="s">
        <v>1025</v>
      </c>
      <c r="Q995" s="92" t="s">
        <v>2701</v>
      </c>
      <c r="R995" s="92">
        <v>2</v>
      </c>
      <c r="S995" s="92">
        <v>379</v>
      </c>
      <c r="T995" s="9">
        <v>44159</v>
      </c>
      <c r="U995" s="9">
        <v>44215</v>
      </c>
    </row>
    <row r="996" spans="1:21" x14ac:dyDescent="0.2">
      <c r="A996" s="10" t="str">
        <f>HYPERLINK("http://www.ofsted.gov.uk/inspection-reports/find-inspection-report/provider/ELS/144852 ","Ofsted School Webpage")</f>
        <v>Ofsted School Webpage</v>
      </c>
      <c r="B996" s="92">
        <v>144852</v>
      </c>
      <c r="C996" s="92">
        <v>3197007</v>
      </c>
      <c r="D996" s="92" t="s">
        <v>2702</v>
      </c>
      <c r="E996" s="92" t="s">
        <v>96</v>
      </c>
      <c r="F996" s="92" t="s">
        <v>1095</v>
      </c>
      <c r="G996" s="9">
        <v>42917</v>
      </c>
      <c r="H996" s="92" t="s">
        <v>271</v>
      </c>
      <c r="I996" s="92" t="s">
        <v>300</v>
      </c>
      <c r="J996" s="92" t="s">
        <v>273</v>
      </c>
      <c r="K996" s="92" t="s">
        <v>273</v>
      </c>
      <c r="L996" s="92" t="s">
        <v>274</v>
      </c>
      <c r="M996" s="92" t="s">
        <v>122</v>
      </c>
      <c r="N996" s="92" t="s">
        <v>122</v>
      </c>
      <c r="O996" s="92" t="s">
        <v>152</v>
      </c>
      <c r="P996" s="92" t="s">
        <v>2703</v>
      </c>
      <c r="Q996" s="92" t="s">
        <v>2704</v>
      </c>
      <c r="R996" s="92">
        <v>3</v>
      </c>
      <c r="S996" s="92">
        <v>49</v>
      </c>
      <c r="T996" s="9">
        <v>44159</v>
      </c>
      <c r="U996" s="9">
        <v>44201</v>
      </c>
    </row>
    <row r="997" spans="1:21" x14ac:dyDescent="0.2">
      <c r="A997" s="10" t="str">
        <f>HYPERLINK("http://www.ofsted.gov.uk/inspection-reports/find-inspection-report/provider/ELS/135331 ","Ofsted School Webpage")</f>
        <v>Ofsted School Webpage</v>
      </c>
      <c r="B997" s="92">
        <v>135331</v>
      </c>
      <c r="C997" s="92">
        <v>9161107</v>
      </c>
      <c r="D997" s="92" t="s">
        <v>2705</v>
      </c>
      <c r="E997" s="92" t="s">
        <v>98</v>
      </c>
      <c r="F997" s="92" t="s">
        <v>405</v>
      </c>
      <c r="G997" s="9">
        <v>39326</v>
      </c>
      <c r="H997" s="92" t="s">
        <v>271</v>
      </c>
      <c r="I997" s="92" t="s">
        <v>271</v>
      </c>
      <c r="J997" s="92" t="s">
        <v>273</v>
      </c>
      <c r="K997" s="92" t="s">
        <v>273</v>
      </c>
      <c r="L997" s="92" t="s">
        <v>274</v>
      </c>
      <c r="M997" s="92" t="s">
        <v>211</v>
      </c>
      <c r="N997" s="92" t="s">
        <v>211</v>
      </c>
      <c r="O997" s="92" t="s">
        <v>217</v>
      </c>
      <c r="P997" s="92" t="s">
        <v>1931</v>
      </c>
      <c r="Q997" s="92" t="s">
        <v>2706</v>
      </c>
      <c r="R997" s="92">
        <v>1</v>
      </c>
      <c r="S997" s="92">
        <v>27</v>
      </c>
      <c r="T997" s="9">
        <v>44159</v>
      </c>
      <c r="U997" s="9">
        <v>44209</v>
      </c>
    </row>
    <row r="998" spans="1:21" x14ac:dyDescent="0.2">
      <c r="A998" s="10" t="str">
        <f>HYPERLINK("http://www.ofsted.gov.uk/inspection-reports/find-inspection-report/provider/ELS/137783 ","Ofsted School Webpage")</f>
        <v>Ofsted School Webpage</v>
      </c>
      <c r="B998" s="92">
        <v>137783</v>
      </c>
      <c r="C998" s="92">
        <v>3594002</v>
      </c>
      <c r="D998" s="92" t="s">
        <v>2707</v>
      </c>
      <c r="E998" s="92" t="s">
        <v>95</v>
      </c>
      <c r="F998" s="92" t="s">
        <v>397</v>
      </c>
      <c r="G998" s="9">
        <v>40909</v>
      </c>
      <c r="H998" s="92" t="s">
        <v>299</v>
      </c>
      <c r="I998" s="92" t="s">
        <v>272</v>
      </c>
      <c r="J998" s="92" t="s">
        <v>346</v>
      </c>
      <c r="K998" s="92" t="s">
        <v>273</v>
      </c>
      <c r="L998" s="92" t="s">
        <v>347</v>
      </c>
      <c r="M998" s="92" t="s">
        <v>168</v>
      </c>
      <c r="N998" s="92" t="s">
        <v>168</v>
      </c>
      <c r="O998" s="92" t="s">
        <v>188</v>
      </c>
      <c r="P998" s="92" t="s">
        <v>2708</v>
      </c>
      <c r="Q998" s="92" t="s">
        <v>2709</v>
      </c>
      <c r="R998" s="92">
        <v>3</v>
      </c>
      <c r="S998" s="92">
        <v>700</v>
      </c>
      <c r="T998" s="9">
        <v>44159</v>
      </c>
      <c r="U998" s="9">
        <v>44213</v>
      </c>
    </row>
    <row r="999" spans="1:21" x14ac:dyDescent="0.2">
      <c r="A999" s="10" t="str">
        <f>HYPERLINK("http://www.ofsted.gov.uk/inspection-reports/find-inspection-report/provider/ELS/139051 ","Ofsted School Webpage")</f>
        <v>Ofsted School Webpage</v>
      </c>
      <c r="B999" s="92">
        <v>139051</v>
      </c>
      <c r="C999" s="92">
        <v>8314001</v>
      </c>
      <c r="D999" s="92" t="s">
        <v>2710</v>
      </c>
      <c r="E999" s="92" t="s">
        <v>95</v>
      </c>
      <c r="F999" s="92" t="s">
        <v>409</v>
      </c>
      <c r="G999" s="9">
        <v>41275</v>
      </c>
      <c r="H999" s="92" t="s">
        <v>299</v>
      </c>
      <c r="I999" s="92" t="s">
        <v>300</v>
      </c>
      <c r="J999" s="92" t="s">
        <v>410</v>
      </c>
      <c r="K999" s="92" t="s">
        <v>410</v>
      </c>
      <c r="L999" s="92" t="s">
        <v>274</v>
      </c>
      <c r="M999" s="92" t="s">
        <v>100</v>
      </c>
      <c r="N999" s="92" t="s">
        <v>100</v>
      </c>
      <c r="O999" s="92" t="s">
        <v>106</v>
      </c>
      <c r="P999" s="92" t="s">
        <v>548</v>
      </c>
      <c r="Q999" s="92" t="s">
        <v>2711</v>
      </c>
      <c r="R999" s="92">
        <v>5</v>
      </c>
      <c r="S999" s="92">
        <v>828</v>
      </c>
      <c r="T999" s="9">
        <v>44159</v>
      </c>
      <c r="U999" s="9">
        <v>44200</v>
      </c>
    </row>
    <row r="1000" spans="1:21" x14ac:dyDescent="0.2">
      <c r="A1000" s="10" t="str">
        <f>HYPERLINK("http://www.ofsted.gov.uk/inspection-reports/find-inspection-report/provider/ELS/135496 ","Ofsted School Webpage")</f>
        <v>Ofsted School Webpage</v>
      </c>
      <c r="B1000" s="92">
        <v>135496</v>
      </c>
      <c r="C1000" s="92">
        <v>8943368</v>
      </c>
      <c r="D1000" s="92" t="s">
        <v>2712</v>
      </c>
      <c r="E1000" s="92" t="s">
        <v>94</v>
      </c>
      <c r="F1000" s="92" t="s">
        <v>397</v>
      </c>
      <c r="G1000" s="9">
        <v>39692</v>
      </c>
      <c r="H1000" s="92" t="s">
        <v>271</v>
      </c>
      <c r="I1000" s="92" t="s">
        <v>272</v>
      </c>
      <c r="J1000" s="92" t="s">
        <v>273</v>
      </c>
      <c r="K1000" s="92" t="s">
        <v>273</v>
      </c>
      <c r="L1000" s="92" t="s">
        <v>274</v>
      </c>
      <c r="M1000" s="92" t="s">
        <v>226</v>
      </c>
      <c r="N1000" s="92" t="s">
        <v>226</v>
      </c>
      <c r="O1000" s="92" t="s">
        <v>239</v>
      </c>
      <c r="P1000" s="92" t="s">
        <v>831</v>
      </c>
      <c r="Q1000" s="92" t="s">
        <v>2713</v>
      </c>
      <c r="R1000" s="92">
        <v>3</v>
      </c>
      <c r="S1000" s="92">
        <v>359</v>
      </c>
      <c r="T1000" s="9">
        <v>44159</v>
      </c>
      <c r="U1000" s="9">
        <v>44181</v>
      </c>
    </row>
    <row r="1001" spans="1:21" x14ac:dyDescent="0.2">
      <c r="A1001" s="10" t="str">
        <f>HYPERLINK("http://www.ofsted.gov.uk/inspection-reports/find-inspection-report/provider/ELS/113648 ","Ofsted School Webpage")</f>
        <v>Ofsted School Webpage</v>
      </c>
      <c r="B1001" s="92">
        <v>113648</v>
      </c>
      <c r="C1001" s="92">
        <v>8797066</v>
      </c>
      <c r="D1001" s="92" t="s">
        <v>2714</v>
      </c>
      <c r="E1001" s="92" t="s">
        <v>96</v>
      </c>
      <c r="F1001" s="92" t="s">
        <v>401</v>
      </c>
      <c r="G1001" s="92" t="s">
        <v>270</v>
      </c>
      <c r="H1001" s="92" t="s">
        <v>271</v>
      </c>
      <c r="I1001" s="92" t="s">
        <v>272</v>
      </c>
      <c r="J1001" s="92" t="s">
        <v>273</v>
      </c>
      <c r="K1001" s="92" t="s">
        <v>273</v>
      </c>
      <c r="L1001" s="92" t="s">
        <v>274</v>
      </c>
      <c r="M1001" s="92" t="s">
        <v>211</v>
      </c>
      <c r="N1001" s="92" t="s">
        <v>211</v>
      </c>
      <c r="O1001" s="92" t="s">
        <v>214</v>
      </c>
      <c r="P1001" s="92" t="s">
        <v>607</v>
      </c>
      <c r="Q1001" s="92" t="s">
        <v>2715</v>
      </c>
      <c r="R1001" s="92">
        <v>4</v>
      </c>
      <c r="S1001" s="92">
        <v>98</v>
      </c>
      <c r="T1001" s="9">
        <v>44159</v>
      </c>
      <c r="U1001" s="9">
        <v>44175</v>
      </c>
    </row>
    <row r="1002" spans="1:21" x14ac:dyDescent="0.2">
      <c r="A1002" s="10" t="str">
        <f>HYPERLINK("http://www.ofsted.gov.uk/inspection-reports/find-inspection-report/provider/ELS/111382 ","Ofsted School Webpage")</f>
        <v>Ofsted School Webpage</v>
      </c>
      <c r="B1002" s="92">
        <v>111382</v>
      </c>
      <c r="C1002" s="92">
        <v>8773639</v>
      </c>
      <c r="D1002" s="92" t="s">
        <v>2716</v>
      </c>
      <c r="E1002" s="92" t="s">
        <v>94</v>
      </c>
      <c r="F1002" s="92" t="s">
        <v>351</v>
      </c>
      <c r="G1002" s="92" t="s">
        <v>270</v>
      </c>
      <c r="H1002" s="92" t="s">
        <v>271</v>
      </c>
      <c r="I1002" s="92" t="s">
        <v>272</v>
      </c>
      <c r="J1002" s="92" t="s">
        <v>346</v>
      </c>
      <c r="K1002" s="92" t="s">
        <v>273</v>
      </c>
      <c r="L1002" s="92" t="s">
        <v>347</v>
      </c>
      <c r="M1002" s="92" t="s">
        <v>168</v>
      </c>
      <c r="N1002" s="92" t="s">
        <v>168</v>
      </c>
      <c r="O1002" s="92" t="s">
        <v>185</v>
      </c>
      <c r="P1002" s="92" t="s">
        <v>2717</v>
      </c>
      <c r="Q1002" s="92" t="s">
        <v>2718</v>
      </c>
      <c r="R1002" s="92">
        <v>1</v>
      </c>
      <c r="S1002" s="92">
        <v>214</v>
      </c>
      <c r="T1002" s="9">
        <v>44159</v>
      </c>
      <c r="U1002" s="9">
        <v>44180</v>
      </c>
    </row>
    <row r="1003" spans="1:21" x14ac:dyDescent="0.2">
      <c r="A1003" s="10" t="str">
        <f>HYPERLINK("http://www.ofsted.gov.uk/inspection-reports/find-inspection-report/provider/ELS/101791 ","Ofsted School Webpage")</f>
        <v>Ofsted School Webpage</v>
      </c>
      <c r="B1003" s="92">
        <v>101791</v>
      </c>
      <c r="C1003" s="92">
        <v>3063007</v>
      </c>
      <c r="D1003" s="92" t="s">
        <v>2719</v>
      </c>
      <c r="E1003" s="92" t="s">
        <v>94</v>
      </c>
      <c r="F1003" s="92" t="s">
        <v>351</v>
      </c>
      <c r="G1003" s="92" t="s">
        <v>270</v>
      </c>
      <c r="H1003" s="92" t="s">
        <v>271</v>
      </c>
      <c r="I1003" s="92" t="s">
        <v>272</v>
      </c>
      <c r="J1003" s="92" t="s">
        <v>346</v>
      </c>
      <c r="K1003" s="92" t="s">
        <v>273</v>
      </c>
      <c r="L1003" s="92" t="s">
        <v>347</v>
      </c>
      <c r="M1003" s="92" t="s">
        <v>122</v>
      </c>
      <c r="N1003" s="92" t="s">
        <v>122</v>
      </c>
      <c r="O1003" s="92" t="s">
        <v>144</v>
      </c>
      <c r="P1003" s="92" t="s">
        <v>1389</v>
      </c>
      <c r="Q1003" s="92" t="s">
        <v>2720</v>
      </c>
      <c r="R1003" s="92">
        <v>4</v>
      </c>
      <c r="S1003" s="92">
        <v>375</v>
      </c>
      <c r="T1003" s="9">
        <v>44159</v>
      </c>
      <c r="U1003" s="9">
        <v>44202</v>
      </c>
    </row>
    <row r="1004" spans="1:21" x14ac:dyDescent="0.2">
      <c r="A1004" s="10" t="str">
        <f>HYPERLINK("http://www.ofsted.gov.uk/inspection-reports/find-inspection-report/provider/ELS/123493 ","Ofsted School Webpage")</f>
        <v>Ofsted School Webpage</v>
      </c>
      <c r="B1004" s="92">
        <v>123493</v>
      </c>
      <c r="C1004" s="92">
        <v>8933087</v>
      </c>
      <c r="D1004" s="92" t="s">
        <v>2721</v>
      </c>
      <c r="E1004" s="92" t="s">
        <v>94</v>
      </c>
      <c r="F1004" s="92" t="s">
        <v>345</v>
      </c>
      <c r="G1004" s="92" t="s">
        <v>270</v>
      </c>
      <c r="H1004" s="92" t="s">
        <v>271</v>
      </c>
      <c r="I1004" s="92" t="s">
        <v>272</v>
      </c>
      <c r="J1004" s="92" t="s">
        <v>346</v>
      </c>
      <c r="K1004" s="92" t="s">
        <v>273</v>
      </c>
      <c r="L1004" s="92" t="s">
        <v>347</v>
      </c>
      <c r="M1004" s="92" t="s">
        <v>226</v>
      </c>
      <c r="N1004" s="92" t="s">
        <v>226</v>
      </c>
      <c r="O1004" s="92" t="s">
        <v>237</v>
      </c>
      <c r="P1004" s="92" t="s">
        <v>2722</v>
      </c>
      <c r="Q1004" s="92" t="s">
        <v>2723</v>
      </c>
      <c r="R1004" s="92">
        <v>2</v>
      </c>
      <c r="S1004" s="92">
        <v>207</v>
      </c>
      <c r="T1004" s="9">
        <v>44159</v>
      </c>
      <c r="U1004" s="9">
        <v>44213</v>
      </c>
    </row>
    <row r="1005" spans="1:21" x14ac:dyDescent="0.2">
      <c r="A1005" s="10" t="str">
        <f>HYPERLINK("http://www.ofsted.gov.uk/inspection-reports/find-inspection-report/provider/ELS/136360 ","Ofsted School Webpage")</f>
        <v>Ofsted School Webpage</v>
      </c>
      <c r="B1005" s="92">
        <v>136360</v>
      </c>
      <c r="C1005" s="92">
        <v>8315402</v>
      </c>
      <c r="D1005" s="92" t="s">
        <v>2724</v>
      </c>
      <c r="E1005" s="92" t="s">
        <v>95</v>
      </c>
      <c r="F1005" s="92" t="s">
        <v>429</v>
      </c>
      <c r="G1005" s="9">
        <v>40513</v>
      </c>
      <c r="H1005" s="92" t="s">
        <v>299</v>
      </c>
      <c r="I1005" s="92" t="s">
        <v>300</v>
      </c>
      <c r="J1005" s="92" t="s">
        <v>410</v>
      </c>
      <c r="K1005" s="92" t="s">
        <v>273</v>
      </c>
      <c r="L1005" s="92" t="s">
        <v>274</v>
      </c>
      <c r="M1005" s="92" t="s">
        <v>100</v>
      </c>
      <c r="N1005" s="92" t="s">
        <v>100</v>
      </c>
      <c r="O1005" s="92" t="s">
        <v>106</v>
      </c>
      <c r="P1005" s="92" t="s">
        <v>548</v>
      </c>
      <c r="Q1005" s="92" t="s">
        <v>2725</v>
      </c>
      <c r="R1005" s="92">
        <v>1</v>
      </c>
      <c r="S1005" s="92">
        <v>1741</v>
      </c>
      <c r="T1005" s="9">
        <v>44159</v>
      </c>
      <c r="U1005" s="9">
        <v>44209</v>
      </c>
    </row>
    <row r="1006" spans="1:21" x14ac:dyDescent="0.2">
      <c r="A1006" s="10" t="str">
        <f>HYPERLINK("http://www.ofsted.gov.uk/inspection-reports/find-inspection-report/provider/ELS/139105 ","Ofsted School Webpage")</f>
        <v>Ofsted School Webpage</v>
      </c>
      <c r="B1006" s="92">
        <v>139105</v>
      </c>
      <c r="C1006" s="92">
        <v>8832542</v>
      </c>
      <c r="D1006" s="92" t="s">
        <v>2726</v>
      </c>
      <c r="E1006" s="92" t="s">
        <v>94</v>
      </c>
      <c r="F1006" s="92" t="s">
        <v>429</v>
      </c>
      <c r="G1006" s="9">
        <v>41244</v>
      </c>
      <c r="H1006" s="92" t="s">
        <v>271</v>
      </c>
      <c r="I1006" s="92" t="s">
        <v>272</v>
      </c>
      <c r="J1006" s="92" t="s">
        <v>273</v>
      </c>
      <c r="K1006" s="92" t="s">
        <v>273</v>
      </c>
      <c r="L1006" s="92" t="s">
        <v>274</v>
      </c>
      <c r="M1006" s="92" t="s">
        <v>110</v>
      </c>
      <c r="N1006" s="92" t="s">
        <v>110</v>
      </c>
      <c r="O1006" s="92" t="s">
        <v>113</v>
      </c>
      <c r="P1006" s="92" t="s">
        <v>113</v>
      </c>
      <c r="Q1006" s="92" t="s">
        <v>2727</v>
      </c>
      <c r="R1006" s="92">
        <v>3</v>
      </c>
      <c r="S1006" s="92">
        <v>705</v>
      </c>
      <c r="T1006" s="9">
        <v>44159</v>
      </c>
      <c r="U1006" s="9">
        <v>44209</v>
      </c>
    </row>
    <row r="1007" spans="1:21" x14ac:dyDescent="0.2">
      <c r="A1007" s="10" t="str">
        <f>HYPERLINK("http://www.ofsted.gov.uk/inspection-reports/find-inspection-report/provider/ELS/141177 ","Ofsted School Webpage")</f>
        <v>Ofsted School Webpage</v>
      </c>
      <c r="B1007" s="92">
        <v>141177</v>
      </c>
      <c r="C1007" s="92">
        <v>9264016</v>
      </c>
      <c r="D1007" s="92" t="s">
        <v>2728</v>
      </c>
      <c r="E1007" s="92" t="s">
        <v>95</v>
      </c>
      <c r="F1007" s="92" t="s">
        <v>409</v>
      </c>
      <c r="G1007" s="9">
        <v>41883</v>
      </c>
      <c r="H1007" s="92" t="s">
        <v>299</v>
      </c>
      <c r="I1007" s="92" t="s">
        <v>300</v>
      </c>
      <c r="J1007" s="92" t="s">
        <v>410</v>
      </c>
      <c r="K1007" s="92" t="s">
        <v>410</v>
      </c>
      <c r="L1007" s="92" t="s">
        <v>274</v>
      </c>
      <c r="M1007" s="92" t="s">
        <v>110</v>
      </c>
      <c r="N1007" s="92" t="s">
        <v>110</v>
      </c>
      <c r="O1007" s="92" t="s">
        <v>118</v>
      </c>
      <c r="P1007" s="92" t="s">
        <v>1096</v>
      </c>
      <c r="Q1007" s="92" t="s">
        <v>2729</v>
      </c>
      <c r="R1007" s="92">
        <v>4</v>
      </c>
      <c r="S1007" s="92">
        <v>1085</v>
      </c>
      <c r="T1007" s="9">
        <v>44159</v>
      </c>
      <c r="U1007" s="9">
        <v>44201</v>
      </c>
    </row>
    <row r="1008" spans="1:21" x14ac:dyDescent="0.2">
      <c r="A1008" s="10" t="str">
        <f>HYPERLINK("http://www.ofsted.gov.uk/inspection-reports/find-inspection-report/provider/ELS/131574 ","Ofsted School Webpage")</f>
        <v>Ofsted School Webpage</v>
      </c>
      <c r="B1008" s="92">
        <v>131574</v>
      </c>
      <c r="C1008" s="92">
        <v>3317021</v>
      </c>
      <c r="D1008" s="92" t="s">
        <v>2730</v>
      </c>
      <c r="E1008" s="92" t="s">
        <v>96</v>
      </c>
      <c r="F1008" s="92" t="s">
        <v>401</v>
      </c>
      <c r="G1008" s="9">
        <v>38808</v>
      </c>
      <c r="H1008" s="92" t="s">
        <v>271</v>
      </c>
      <c r="I1008" s="92" t="s">
        <v>271</v>
      </c>
      <c r="J1008" s="92" t="s">
        <v>273</v>
      </c>
      <c r="K1008" s="92" t="s">
        <v>273</v>
      </c>
      <c r="L1008" s="92" t="s">
        <v>274</v>
      </c>
      <c r="M1008" s="92" t="s">
        <v>226</v>
      </c>
      <c r="N1008" s="92" t="s">
        <v>226</v>
      </c>
      <c r="O1008" s="92" t="s">
        <v>233</v>
      </c>
      <c r="P1008" s="92" t="s">
        <v>2408</v>
      </c>
      <c r="Q1008" s="92" t="s">
        <v>2731</v>
      </c>
      <c r="R1008" s="92">
        <v>5</v>
      </c>
      <c r="S1008" s="92">
        <v>150</v>
      </c>
      <c r="T1008" s="9">
        <v>44159</v>
      </c>
      <c r="U1008" s="9">
        <v>44178</v>
      </c>
    </row>
    <row r="1009" spans="1:21" x14ac:dyDescent="0.2">
      <c r="A1009" s="10" t="str">
        <f>HYPERLINK("http://www.ofsted.gov.uk/inspection-reports/find-inspection-report/provider/ELS/134241 ","Ofsted School Webpage")</f>
        <v>Ofsted School Webpage</v>
      </c>
      <c r="B1009" s="92">
        <v>134241</v>
      </c>
      <c r="C1009" s="92">
        <v>8011012</v>
      </c>
      <c r="D1009" s="92" t="s">
        <v>2732</v>
      </c>
      <c r="E1009" s="92" t="s">
        <v>93</v>
      </c>
      <c r="F1009" s="92" t="s">
        <v>592</v>
      </c>
      <c r="G1009" s="9">
        <v>37622</v>
      </c>
      <c r="H1009" s="92" t="s">
        <v>271</v>
      </c>
      <c r="I1009" s="92" t="s">
        <v>271</v>
      </c>
      <c r="J1009" s="92" t="s">
        <v>273</v>
      </c>
      <c r="K1009" s="92" t="s">
        <v>273</v>
      </c>
      <c r="L1009" s="92" t="s">
        <v>274</v>
      </c>
      <c r="M1009" s="92" t="s">
        <v>211</v>
      </c>
      <c r="N1009" s="92" t="s">
        <v>211</v>
      </c>
      <c r="O1009" s="92" t="s">
        <v>212</v>
      </c>
      <c r="P1009" s="92" t="s">
        <v>426</v>
      </c>
      <c r="Q1009" s="92" t="s">
        <v>2733</v>
      </c>
      <c r="R1009" s="92">
        <v>5</v>
      </c>
      <c r="S1009" s="92">
        <v>180</v>
      </c>
      <c r="T1009" s="9">
        <v>44159</v>
      </c>
      <c r="U1009" s="9">
        <v>44180</v>
      </c>
    </row>
    <row r="1010" spans="1:21" x14ac:dyDescent="0.2">
      <c r="A1010" s="10" t="str">
        <f>HYPERLINK("http://www.ofsted.gov.uk/inspection-reports/find-inspection-report/provider/ELS/136010 ","Ofsted School Webpage")</f>
        <v>Ofsted School Webpage</v>
      </c>
      <c r="B1010" s="92">
        <v>136010</v>
      </c>
      <c r="C1010" s="92">
        <v>9214030</v>
      </c>
      <c r="D1010" s="92" t="s">
        <v>2734</v>
      </c>
      <c r="E1010" s="92" t="s">
        <v>95</v>
      </c>
      <c r="F1010" s="92" t="s">
        <v>397</v>
      </c>
      <c r="G1010" s="9">
        <v>40787</v>
      </c>
      <c r="H1010" s="92" t="s">
        <v>299</v>
      </c>
      <c r="I1010" s="92" t="s">
        <v>300</v>
      </c>
      <c r="J1010" s="92" t="s">
        <v>410</v>
      </c>
      <c r="K1010" s="92" t="s">
        <v>273</v>
      </c>
      <c r="L1010" s="92" t="s">
        <v>274</v>
      </c>
      <c r="M1010" s="92" t="s">
        <v>192</v>
      </c>
      <c r="N1010" s="92" t="s">
        <v>192</v>
      </c>
      <c r="O1010" s="92" t="s">
        <v>205</v>
      </c>
      <c r="P1010" s="92" t="s">
        <v>205</v>
      </c>
      <c r="Q1010" s="92" t="s">
        <v>2735</v>
      </c>
      <c r="R1010" s="92">
        <v>4</v>
      </c>
      <c r="S1010" s="92">
        <v>1361</v>
      </c>
      <c r="T1010" s="9">
        <v>44159</v>
      </c>
      <c r="U1010" s="9">
        <v>44200</v>
      </c>
    </row>
    <row r="1011" spans="1:21" x14ac:dyDescent="0.2">
      <c r="A1011" s="10" t="str">
        <f>HYPERLINK("http://www.ofsted.gov.uk/inspection-reports/find-inspection-report/provider/ELS/139228 ","Ofsted School Webpage")</f>
        <v>Ofsted School Webpage</v>
      </c>
      <c r="B1011" s="92">
        <v>139228</v>
      </c>
      <c r="C1011" s="92">
        <v>8612006</v>
      </c>
      <c r="D1011" s="92" t="s">
        <v>2736</v>
      </c>
      <c r="E1011" s="92" t="s">
        <v>94</v>
      </c>
      <c r="F1011" s="92" t="s">
        <v>409</v>
      </c>
      <c r="G1011" s="9">
        <v>41426</v>
      </c>
      <c r="H1011" s="92" t="s">
        <v>271</v>
      </c>
      <c r="I1011" s="92" t="s">
        <v>272</v>
      </c>
      <c r="J1011" s="92" t="s">
        <v>273</v>
      </c>
      <c r="K1011" s="92" t="s">
        <v>410</v>
      </c>
      <c r="L1011" s="92" t="s">
        <v>274</v>
      </c>
      <c r="M1011" s="92" t="s">
        <v>226</v>
      </c>
      <c r="N1011" s="92" t="s">
        <v>226</v>
      </c>
      <c r="O1011" s="92" t="s">
        <v>234</v>
      </c>
      <c r="P1011" s="92" t="s">
        <v>2498</v>
      </c>
      <c r="Q1011" s="92" t="s">
        <v>2737</v>
      </c>
      <c r="R1011" s="92">
        <v>5</v>
      </c>
      <c r="S1011" s="92">
        <v>465</v>
      </c>
      <c r="T1011" s="9">
        <v>44159</v>
      </c>
      <c r="U1011" s="9">
        <v>44180</v>
      </c>
    </row>
    <row r="1012" spans="1:21" x14ac:dyDescent="0.2">
      <c r="A1012" s="10" t="str">
        <f>HYPERLINK("http://www.ofsted.gov.uk/inspection-reports/find-inspection-report/provider/ELS/105173 ","Ofsted School Webpage")</f>
        <v>Ofsted School Webpage</v>
      </c>
      <c r="B1012" s="92">
        <v>105173</v>
      </c>
      <c r="C1012" s="92">
        <v>3502040</v>
      </c>
      <c r="D1012" s="92" t="s">
        <v>2738</v>
      </c>
      <c r="E1012" s="92" t="s">
        <v>94</v>
      </c>
      <c r="F1012" s="92" t="s">
        <v>269</v>
      </c>
      <c r="G1012" s="92" t="s">
        <v>270</v>
      </c>
      <c r="H1012" s="92" t="s">
        <v>271</v>
      </c>
      <c r="I1012" s="92" t="s">
        <v>272</v>
      </c>
      <c r="J1012" s="92" t="s">
        <v>273</v>
      </c>
      <c r="K1012" s="92" t="s">
        <v>273</v>
      </c>
      <c r="L1012" s="92" t="s">
        <v>274</v>
      </c>
      <c r="M1012" s="92" t="s">
        <v>168</v>
      </c>
      <c r="N1012" s="92" t="s">
        <v>168</v>
      </c>
      <c r="O1012" s="92" t="s">
        <v>187</v>
      </c>
      <c r="P1012" s="92" t="s">
        <v>2292</v>
      </c>
      <c r="Q1012" s="92" t="s">
        <v>2739</v>
      </c>
      <c r="R1012" s="92">
        <v>2</v>
      </c>
      <c r="S1012" s="92">
        <v>218</v>
      </c>
      <c r="T1012" s="9">
        <v>44159</v>
      </c>
      <c r="U1012" s="9">
        <v>44178</v>
      </c>
    </row>
    <row r="1013" spans="1:21" x14ac:dyDescent="0.2">
      <c r="A1013" s="10" t="str">
        <f>HYPERLINK("http://www.ofsted.gov.uk/inspection-reports/find-inspection-report/provider/ELS/121383 ","Ofsted School Webpage")</f>
        <v>Ofsted School Webpage</v>
      </c>
      <c r="B1013" s="92">
        <v>121383</v>
      </c>
      <c r="C1013" s="92">
        <v>8152310</v>
      </c>
      <c r="D1013" s="92" t="s">
        <v>2740</v>
      </c>
      <c r="E1013" s="92" t="s">
        <v>94</v>
      </c>
      <c r="F1013" s="92" t="s">
        <v>269</v>
      </c>
      <c r="G1013" s="92" t="s">
        <v>270</v>
      </c>
      <c r="H1013" s="92" t="s">
        <v>271</v>
      </c>
      <c r="I1013" s="92" t="s">
        <v>272</v>
      </c>
      <c r="J1013" s="92" t="s">
        <v>273</v>
      </c>
      <c r="K1013" s="92" t="s">
        <v>273</v>
      </c>
      <c r="L1013" s="92" t="s">
        <v>274</v>
      </c>
      <c r="M1013" s="92" t="s">
        <v>261</v>
      </c>
      <c r="N1013" s="92" t="s">
        <v>241</v>
      </c>
      <c r="O1013" s="92" t="s">
        <v>247</v>
      </c>
      <c r="P1013" s="92" t="s">
        <v>1886</v>
      </c>
      <c r="Q1013" s="92" t="s">
        <v>2741</v>
      </c>
      <c r="R1013" s="92">
        <v>1</v>
      </c>
      <c r="S1013" s="92">
        <v>135</v>
      </c>
      <c r="T1013" s="9">
        <v>44159</v>
      </c>
      <c r="U1013" s="9">
        <v>44216</v>
      </c>
    </row>
    <row r="1014" spans="1:21" x14ac:dyDescent="0.2">
      <c r="A1014" s="10" t="str">
        <f>HYPERLINK("http://www.ofsted.gov.uk/inspection-reports/find-inspection-report/provider/ELS/107761 ","Ofsted School Webpage")</f>
        <v>Ofsted School Webpage</v>
      </c>
      <c r="B1014" s="92">
        <v>107761</v>
      </c>
      <c r="C1014" s="92">
        <v>3824022</v>
      </c>
      <c r="D1014" s="92" t="s">
        <v>2742</v>
      </c>
      <c r="E1014" s="92" t="s">
        <v>95</v>
      </c>
      <c r="F1014" s="92" t="s">
        <v>269</v>
      </c>
      <c r="G1014" s="92" t="s">
        <v>270</v>
      </c>
      <c r="H1014" s="92" t="s">
        <v>299</v>
      </c>
      <c r="I1014" s="92" t="s">
        <v>272</v>
      </c>
      <c r="J1014" s="92" t="s">
        <v>273</v>
      </c>
      <c r="K1014" s="92" t="s">
        <v>273</v>
      </c>
      <c r="L1014" s="92" t="s">
        <v>274</v>
      </c>
      <c r="M1014" s="92" t="s">
        <v>261</v>
      </c>
      <c r="N1014" s="92" t="s">
        <v>241</v>
      </c>
      <c r="O1014" s="92" t="s">
        <v>251</v>
      </c>
      <c r="P1014" s="92" t="s">
        <v>2743</v>
      </c>
      <c r="Q1014" s="92" t="s">
        <v>2744</v>
      </c>
      <c r="R1014" s="92">
        <v>5</v>
      </c>
      <c r="S1014" s="92">
        <v>580</v>
      </c>
      <c r="T1014" s="9">
        <v>44159</v>
      </c>
      <c r="U1014" s="9">
        <v>44213</v>
      </c>
    </row>
    <row r="1015" spans="1:21" x14ac:dyDescent="0.2">
      <c r="A1015" s="10" t="str">
        <f>HYPERLINK("http://www.ofsted.gov.uk/inspection-reports/find-inspection-report/provider/ELS/117811 ","Ofsted School Webpage")</f>
        <v>Ofsted School Webpage</v>
      </c>
      <c r="B1015" s="92">
        <v>117811</v>
      </c>
      <c r="C1015" s="92">
        <v>8132567</v>
      </c>
      <c r="D1015" s="92" t="s">
        <v>2745</v>
      </c>
      <c r="E1015" s="92" t="s">
        <v>94</v>
      </c>
      <c r="F1015" s="92" t="s">
        <v>269</v>
      </c>
      <c r="G1015" s="92" t="s">
        <v>270</v>
      </c>
      <c r="H1015" s="92" t="s">
        <v>271</v>
      </c>
      <c r="I1015" s="92" t="s">
        <v>272</v>
      </c>
      <c r="J1015" s="92" t="s">
        <v>273</v>
      </c>
      <c r="K1015" s="92" t="s">
        <v>273</v>
      </c>
      <c r="L1015" s="92" t="s">
        <v>274</v>
      </c>
      <c r="M1015" s="92" t="s">
        <v>261</v>
      </c>
      <c r="N1015" s="92" t="s">
        <v>241</v>
      </c>
      <c r="O1015" s="92" t="s">
        <v>252</v>
      </c>
      <c r="P1015" s="92" t="s">
        <v>910</v>
      </c>
      <c r="Q1015" s="92" t="s">
        <v>2746</v>
      </c>
      <c r="R1015" s="92">
        <v>3</v>
      </c>
      <c r="S1015" s="92">
        <v>417</v>
      </c>
      <c r="T1015" s="9">
        <v>44159</v>
      </c>
      <c r="U1015" s="9">
        <v>44185</v>
      </c>
    </row>
    <row r="1016" spans="1:21" x14ac:dyDescent="0.2">
      <c r="A1016" s="10" t="str">
        <f>HYPERLINK("http://www.ofsted.gov.uk/inspection-reports/find-inspection-report/provider/ELS/117330 ","Ofsted School Webpage")</f>
        <v>Ofsted School Webpage</v>
      </c>
      <c r="B1016" s="92">
        <v>117330</v>
      </c>
      <c r="C1016" s="92">
        <v>9192416</v>
      </c>
      <c r="D1016" s="92" t="s">
        <v>2747</v>
      </c>
      <c r="E1016" s="92" t="s">
        <v>94</v>
      </c>
      <c r="F1016" s="92" t="s">
        <v>269</v>
      </c>
      <c r="G1016" s="92" t="s">
        <v>270</v>
      </c>
      <c r="H1016" s="92" t="s">
        <v>271</v>
      </c>
      <c r="I1016" s="92" t="s">
        <v>272</v>
      </c>
      <c r="J1016" s="92" t="s">
        <v>273</v>
      </c>
      <c r="K1016" s="92" t="s">
        <v>273</v>
      </c>
      <c r="L1016" s="92" t="s">
        <v>274</v>
      </c>
      <c r="M1016" s="92" t="s">
        <v>110</v>
      </c>
      <c r="N1016" s="92" t="s">
        <v>110</v>
      </c>
      <c r="O1016" s="92" t="s">
        <v>117</v>
      </c>
      <c r="P1016" s="92" t="s">
        <v>777</v>
      </c>
      <c r="Q1016" s="92" t="s">
        <v>2748</v>
      </c>
      <c r="R1016" s="92">
        <v>2</v>
      </c>
      <c r="S1016" s="92">
        <v>452</v>
      </c>
      <c r="T1016" s="9">
        <v>44159</v>
      </c>
      <c r="U1016" s="9">
        <v>44200</v>
      </c>
    </row>
    <row r="1017" spans="1:21" x14ac:dyDescent="0.2">
      <c r="A1017" s="10" t="str">
        <f>HYPERLINK("http://www.ofsted.gov.uk/inspection-reports/find-inspection-report/provider/ELS/110290 ","Ofsted School Webpage")</f>
        <v>Ofsted School Webpage</v>
      </c>
      <c r="B1017" s="92">
        <v>110290</v>
      </c>
      <c r="C1017" s="92">
        <v>8262185</v>
      </c>
      <c r="D1017" s="92" t="s">
        <v>2749</v>
      </c>
      <c r="E1017" s="92" t="s">
        <v>94</v>
      </c>
      <c r="F1017" s="92" t="s">
        <v>269</v>
      </c>
      <c r="G1017" s="92" t="s">
        <v>270</v>
      </c>
      <c r="H1017" s="92" t="s">
        <v>271</v>
      </c>
      <c r="I1017" s="92" t="s">
        <v>272</v>
      </c>
      <c r="J1017" s="92" t="s">
        <v>273</v>
      </c>
      <c r="K1017" s="92" t="s">
        <v>273</v>
      </c>
      <c r="L1017" s="92" t="s">
        <v>274</v>
      </c>
      <c r="M1017" s="92" t="s">
        <v>192</v>
      </c>
      <c r="N1017" s="92" t="s">
        <v>192</v>
      </c>
      <c r="O1017" s="92" t="s">
        <v>209</v>
      </c>
      <c r="P1017" s="92" t="s">
        <v>1955</v>
      </c>
      <c r="Q1017" s="92" t="s">
        <v>2750</v>
      </c>
      <c r="R1017" s="92">
        <v>3</v>
      </c>
      <c r="S1017" s="92">
        <v>266</v>
      </c>
      <c r="T1017" s="9">
        <v>44159</v>
      </c>
      <c r="U1017" s="9">
        <v>44201</v>
      </c>
    </row>
    <row r="1018" spans="1:21" x14ac:dyDescent="0.2">
      <c r="A1018" s="10" t="str">
        <f>HYPERLINK("http://www.ofsted.gov.uk/inspection-reports/find-inspection-report/provider/ELS/117342 ","Ofsted School Webpage")</f>
        <v>Ofsted School Webpage</v>
      </c>
      <c r="B1018" s="92">
        <v>117342</v>
      </c>
      <c r="C1018" s="92">
        <v>9192437</v>
      </c>
      <c r="D1018" s="92" t="s">
        <v>2751</v>
      </c>
      <c r="E1018" s="92" t="s">
        <v>94</v>
      </c>
      <c r="F1018" s="92" t="s">
        <v>269</v>
      </c>
      <c r="G1018" s="92" t="s">
        <v>270</v>
      </c>
      <c r="H1018" s="92" t="s">
        <v>271</v>
      </c>
      <c r="I1018" s="92" t="s">
        <v>272</v>
      </c>
      <c r="J1018" s="92" t="s">
        <v>273</v>
      </c>
      <c r="K1018" s="92" t="s">
        <v>273</v>
      </c>
      <c r="L1018" s="92" t="s">
        <v>274</v>
      </c>
      <c r="M1018" s="92" t="s">
        <v>110</v>
      </c>
      <c r="N1018" s="92" t="s">
        <v>110</v>
      </c>
      <c r="O1018" s="92" t="s">
        <v>117</v>
      </c>
      <c r="P1018" s="92" t="s">
        <v>669</v>
      </c>
      <c r="Q1018" s="92" t="s">
        <v>2752</v>
      </c>
      <c r="R1018" s="92">
        <v>1</v>
      </c>
      <c r="S1018" s="92">
        <v>414</v>
      </c>
      <c r="T1018" s="9">
        <v>44159</v>
      </c>
      <c r="U1018" s="9">
        <v>44213</v>
      </c>
    </row>
    <row r="1019" spans="1:21" x14ac:dyDescent="0.2">
      <c r="A1019" s="10" t="str">
        <f>HYPERLINK("http://www.ofsted.gov.uk/inspection-reports/find-inspection-report/provider/ELS/130968 ","Ofsted School Webpage")</f>
        <v>Ofsted School Webpage</v>
      </c>
      <c r="B1019" s="92">
        <v>130968</v>
      </c>
      <c r="C1019" s="92">
        <v>3842199</v>
      </c>
      <c r="D1019" s="92" t="s">
        <v>2753</v>
      </c>
      <c r="E1019" s="92" t="s">
        <v>94</v>
      </c>
      <c r="F1019" s="92" t="s">
        <v>269</v>
      </c>
      <c r="G1019" s="9">
        <v>35309</v>
      </c>
      <c r="H1019" s="92" t="s">
        <v>271</v>
      </c>
      <c r="I1019" s="92" t="s">
        <v>272</v>
      </c>
      <c r="J1019" s="92" t="s">
        <v>273</v>
      </c>
      <c r="K1019" s="92" t="s">
        <v>273</v>
      </c>
      <c r="L1019" s="92" t="s">
        <v>274</v>
      </c>
      <c r="M1019" s="92" t="s">
        <v>261</v>
      </c>
      <c r="N1019" s="92" t="s">
        <v>241</v>
      </c>
      <c r="O1019" s="92" t="s">
        <v>246</v>
      </c>
      <c r="P1019" s="92" t="s">
        <v>702</v>
      </c>
      <c r="Q1019" s="92" t="s">
        <v>2754</v>
      </c>
      <c r="R1019" s="92">
        <v>4</v>
      </c>
      <c r="S1019" s="92">
        <v>254</v>
      </c>
      <c r="T1019" s="9">
        <v>44159</v>
      </c>
      <c r="U1019" s="9">
        <v>44179</v>
      </c>
    </row>
    <row r="1020" spans="1:21" x14ac:dyDescent="0.2">
      <c r="A1020" s="10" t="str">
        <f>HYPERLINK("http://www.ofsted.gov.uk/inspection-reports/find-inspection-report/provider/ELS/113162 ","Ofsted School Webpage")</f>
        <v>Ofsted School Webpage</v>
      </c>
      <c r="B1020" s="92">
        <v>113162</v>
      </c>
      <c r="C1020" s="92">
        <v>8782239</v>
      </c>
      <c r="D1020" s="92" t="s">
        <v>2755</v>
      </c>
      <c r="E1020" s="92" t="s">
        <v>94</v>
      </c>
      <c r="F1020" s="92" t="s">
        <v>269</v>
      </c>
      <c r="G1020" s="92" t="s">
        <v>270</v>
      </c>
      <c r="H1020" s="92" t="s">
        <v>271</v>
      </c>
      <c r="I1020" s="92" t="s">
        <v>272</v>
      </c>
      <c r="J1020" s="92" t="s">
        <v>273</v>
      </c>
      <c r="K1020" s="92" t="s">
        <v>273</v>
      </c>
      <c r="L1020" s="92" t="s">
        <v>274</v>
      </c>
      <c r="M1020" s="92" t="s">
        <v>211</v>
      </c>
      <c r="N1020" s="92" t="s">
        <v>211</v>
      </c>
      <c r="O1020" s="92" t="s">
        <v>220</v>
      </c>
      <c r="P1020" s="92" t="s">
        <v>1300</v>
      </c>
      <c r="Q1020" s="92" t="s">
        <v>2756</v>
      </c>
      <c r="R1020" s="92">
        <v>2</v>
      </c>
      <c r="S1020" s="92">
        <v>107</v>
      </c>
      <c r="T1020" s="9">
        <v>44159</v>
      </c>
      <c r="U1020" s="9">
        <v>44179</v>
      </c>
    </row>
    <row r="1021" spans="1:21" x14ac:dyDescent="0.2">
      <c r="A1021" s="10" t="str">
        <f>HYPERLINK("http://www.ofsted.gov.uk/inspection-reports/find-inspection-report/provider/ELS/106094 ","Ofsted School Webpage")</f>
        <v>Ofsted School Webpage</v>
      </c>
      <c r="B1021" s="92">
        <v>106094</v>
      </c>
      <c r="C1021" s="92">
        <v>3562108</v>
      </c>
      <c r="D1021" s="92" t="s">
        <v>2757</v>
      </c>
      <c r="E1021" s="92" t="s">
        <v>94</v>
      </c>
      <c r="F1021" s="92" t="s">
        <v>269</v>
      </c>
      <c r="G1021" s="92" t="s">
        <v>270</v>
      </c>
      <c r="H1021" s="92" t="s">
        <v>271</v>
      </c>
      <c r="I1021" s="92" t="s">
        <v>272</v>
      </c>
      <c r="J1021" s="92" t="s">
        <v>273</v>
      </c>
      <c r="K1021" s="92" t="s">
        <v>273</v>
      </c>
      <c r="L1021" s="92" t="s">
        <v>274</v>
      </c>
      <c r="M1021" s="92" t="s">
        <v>168</v>
      </c>
      <c r="N1021" s="92" t="s">
        <v>168</v>
      </c>
      <c r="O1021" s="92" t="s">
        <v>174</v>
      </c>
      <c r="P1021" s="92" t="s">
        <v>2758</v>
      </c>
      <c r="Q1021" s="92" t="s">
        <v>2759</v>
      </c>
      <c r="R1021" s="92">
        <v>3</v>
      </c>
      <c r="S1021" s="92">
        <v>210</v>
      </c>
      <c r="T1021" s="9">
        <v>44159</v>
      </c>
      <c r="U1021" s="9">
        <v>44215</v>
      </c>
    </row>
    <row r="1022" spans="1:21" x14ac:dyDescent="0.2">
      <c r="A1022" s="10" t="str">
        <f>HYPERLINK("http://www.ofsted.gov.uk/inspection-reports/find-inspection-report/provider/ELS/115929 ","Ofsted School Webpage")</f>
        <v>Ofsted School Webpage</v>
      </c>
      <c r="B1022" s="92">
        <v>115929</v>
      </c>
      <c r="C1022" s="92">
        <v>8502140</v>
      </c>
      <c r="D1022" s="92" t="s">
        <v>2760</v>
      </c>
      <c r="E1022" s="92" t="s">
        <v>94</v>
      </c>
      <c r="F1022" s="92" t="s">
        <v>269</v>
      </c>
      <c r="G1022" s="92" t="s">
        <v>270</v>
      </c>
      <c r="H1022" s="92" t="s">
        <v>271</v>
      </c>
      <c r="I1022" s="92" t="s">
        <v>272</v>
      </c>
      <c r="J1022" s="92" t="s">
        <v>273</v>
      </c>
      <c r="K1022" s="92" t="s">
        <v>273</v>
      </c>
      <c r="L1022" s="92" t="s">
        <v>274</v>
      </c>
      <c r="M1022" s="92" t="s">
        <v>192</v>
      </c>
      <c r="N1022" s="92" t="s">
        <v>192</v>
      </c>
      <c r="O1022" s="92" t="s">
        <v>193</v>
      </c>
      <c r="P1022" s="92" t="s">
        <v>1919</v>
      </c>
      <c r="Q1022" s="92" t="s">
        <v>2761</v>
      </c>
      <c r="R1022" s="92">
        <v>3</v>
      </c>
      <c r="S1022" s="92">
        <v>368</v>
      </c>
      <c r="T1022" s="9">
        <v>44159</v>
      </c>
      <c r="U1022" s="9">
        <v>44200</v>
      </c>
    </row>
    <row r="1023" spans="1:21" x14ac:dyDescent="0.2">
      <c r="A1023" s="10" t="str">
        <f>HYPERLINK("http://www.ofsted.gov.uk/inspection-reports/find-inspection-report/provider/ELS/122456 ","Ofsted School Webpage")</f>
        <v>Ofsted School Webpage</v>
      </c>
      <c r="B1023" s="92">
        <v>122456</v>
      </c>
      <c r="C1023" s="92">
        <v>8922117</v>
      </c>
      <c r="D1023" s="92" t="s">
        <v>2762</v>
      </c>
      <c r="E1023" s="92" t="s">
        <v>94</v>
      </c>
      <c r="F1023" s="92" t="s">
        <v>269</v>
      </c>
      <c r="G1023" s="92" t="s">
        <v>270</v>
      </c>
      <c r="H1023" s="92" t="s">
        <v>271</v>
      </c>
      <c r="I1023" s="92" t="s">
        <v>272</v>
      </c>
      <c r="J1023" s="92" t="s">
        <v>273</v>
      </c>
      <c r="K1023" s="92" t="s">
        <v>273</v>
      </c>
      <c r="L1023" s="92" t="s">
        <v>274</v>
      </c>
      <c r="M1023" s="92" t="s">
        <v>100</v>
      </c>
      <c r="N1023" s="92" t="s">
        <v>100</v>
      </c>
      <c r="O1023" s="92" t="s">
        <v>109</v>
      </c>
      <c r="P1023" s="92" t="s">
        <v>1358</v>
      </c>
      <c r="Q1023" s="92" t="s">
        <v>2763</v>
      </c>
      <c r="R1023" s="92">
        <v>5</v>
      </c>
      <c r="S1023" s="92">
        <v>442</v>
      </c>
      <c r="T1023" s="9">
        <v>44159</v>
      </c>
      <c r="U1023" s="9">
        <v>44180</v>
      </c>
    </row>
    <row r="1024" spans="1:21" x14ac:dyDescent="0.2">
      <c r="A1024" s="10" t="str">
        <f>HYPERLINK("http://www.ofsted.gov.uk/inspection-reports/find-inspection-report/provider/ELS/132201 ","Ofsted School Webpage")</f>
        <v>Ofsted School Webpage</v>
      </c>
      <c r="B1024" s="92">
        <v>132201</v>
      </c>
      <c r="C1024" s="92">
        <v>3302482</v>
      </c>
      <c r="D1024" s="92" t="s">
        <v>2764</v>
      </c>
      <c r="E1024" s="92" t="s">
        <v>94</v>
      </c>
      <c r="F1024" s="92" t="s">
        <v>269</v>
      </c>
      <c r="G1024" s="9">
        <v>36982</v>
      </c>
      <c r="H1024" s="92" t="s">
        <v>271</v>
      </c>
      <c r="I1024" s="92" t="s">
        <v>271</v>
      </c>
      <c r="J1024" s="92" t="s">
        <v>273</v>
      </c>
      <c r="K1024" s="92" t="s">
        <v>273</v>
      </c>
      <c r="L1024" s="92" t="s">
        <v>274</v>
      </c>
      <c r="M1024" s="92" t="s">
        <v>226</v>
      </c>
      <c r="N1024" s="92" t="s">
        <v>226</v>
      </c>
      <c r="O1024" s="92" t="s">
        <v>232</v>
      </c>
      <c r="P1024" s="92" t="s">
        <v>885</v>
      </c>
      <c r="Q1024" s="92" t="s">
        <v>2765</v>
      </c>
      <c r="R1024" s="92">
        <v>5</v>
      </c>
      <c r="S1024" s="92">
        <v>481</v>
      </c>
      <c r="T1024" s="9">
        <v>44159</v>
      </c>
      <c r="U1024" s="9">
        <v>44200</v>
      </c>
    </row>
    <row r="1025" spans="1:21" x14ac:dyDescent="0.2">
      <c r="A1025" s="10" t="str">
        <f>HYPERLINK("http://www.ofsted.gov.uk/inspection-reports/find-inspection-report/provider/ELS/131251 ","Ofsted School Webpage")</f>
        <v>Ofsted School Webpage</v>
      </c>
      <c r="B1025" s="92">
        <v>131251</v>
      </c>
      <c r="C1025" s="92">
        <v>8083396</v>
      </c>
      <c r="D1025" s="92" t="s">
        <v>2766</v>
      </c>
      <c r="E1025" s="92" t="s">
        <v>94</v>
      </c>
      <c r="F1025" s="92" t="s">
        <v>351</v>
      </c>
      <c r="G1025" s="9">
        <v>38808</v>
      </c>
      <c r="H1025" s="92" t="s">
        <v>271</v>
      </c>
      <c r="I1025" s="92" t="s">
        <v>272</v>
      </c>
      <c r="J1025" s="92" t="s">
        <v>346</v>
      </c>
      <c r="K1025" s="92" t="s">
        <v>273</v>
      </c>
      <c r="L1025" s="92" t="s">
        <v>347</v>
      </c>
      <c r="M1025" s="92" t="s">
        <v>261</v>
      </c>
      <c r="N1025" s="92" t="s">
        <v>155</v>
      </c>
      <c r="O1025" s="92" t="s">
        <v>159</v>
      </c>
      <c r="P1025" s="92" t="s">
        <v>2002</v>
      </c>
      <c r="Q1025" s="92" t="s">
        <v>2767</v>
      </c>
      <c r="R1025" s="92">
        <v>2</v>
      </c>
      <c r="S1025" s="92">
        <v>415</v>
      </c>
      <c r="T1025" s="9">
        <v>44159</v>
      </c>
      <c r="U1025" s="9">
        <v>44215</v>
      </c>
    </row>
    <row r="1026" spans="1:21" x14ac:dyDescent="0.2">
      <c r="A1026" s="10" t="str">
        <f>HYPERLINK("http://www.ofsted.gov.uk/inspection-reports/find-inspection-report/provider/ELS/121611 ","Ofsted School Webpage")</f>
        <v>Ofsted School Webpage</v>
      </c>
      <c r="B1026" s="92">
        <v>121611</v>
      </c>
      <c r="C1026" s="92">
        <v>8153315</v>
      </c>
      <c r="D1026" s="92" t="s">
        <v>2768</v>
      </c>
      <c r="E1026" s="92" t="s">
        <v>94</v>
      </c>
      <c r="F1026" s="92" t="s">
        <v>351</v>
      </c>
      <c r="G1026" s="92" t="s">
        <v>270</v>
      </c>
      <c r="H1026" s="92" t="s">
        <v>271</v>
      </c>
      <c r="I1026" s="92" t="s">
        <v>272</v>
      </c>
      <c r="J1026" s="92" t="s">
        <v>346</v>
      </c>
      <c r="K1026" s="92" t="s">
        <v>273</v>
      </c>
      <c r="L1026" s="92" t="s">
        <v>347</v>
      </c>
      <c r="M1026" s="92" t="s">
        <v>261</v>
      </c>
      <c r="N1026" s="92" t="s">
        <v>241</v>
      </c>
      <c r="O1026" s="92" t="s">
        <v>247</v>
      </c>
      <c r="P1026" s="92" t="s">
        <v>638</v>
      </c>
      <c r="Q1026" s="92" t="s">
        <v>2769</v>
      </c>
      <c r="R1026" s="92">
        <v>2</v>
      </c>
      <c r="S1026" s="92">
        <v>121</v>
      </c>
      <c r="T1026" s="9">
        <v>44159</v>
      </c>
      <c r="U1026" s="9">
        <v>44201</v>
      </c>
    </row>
    <row r="1027" spans="1:21" x14ac:dyDescent="0.2">
      <c r="A1027" s="10" t="str">
        <f>HYPERLINK("http://www.ofsted.gov.uk/inspection-reports/find-inspection-report/provider/ELS/112364 ","Ofsted School Webpage")</f>
        <v>Ofsted School Webpage</v>
      </c>
      <c r="B1027" s="92">
        <v>112364</v>
      </c>
      <c r="C1027" s="92">
        <v>9093603</v>
      </c>
      <c r="D1027" s="92" t="s">
        <v>2770</v>
      </c>
      <c r="E1027" s="92" t="s">
        <v>94</v>
      </c>
      <c r="F1027" s="92" t="s">
        <v>351</v>
      </c>
      <c r="G1027" s="92" t="s">
        <v>270</v>
      </c>
      <c r="H1027" s="92" t="s">
        <v>271</v>
      </c>
      <c r="I1027" s="92" t="s">
        <v>272</v>
      </c>
      <c r="J1027" s="92" t="s">
        <v>352</v>
      </c>
      <c r="K1027" s="92" t="s">
        <v>273</v>
      </c>
      <c r="L1027" s="92" t="s">
        <v>347</v>
      </c>
      <c r="M1027" s="92" t="s">
        <v>168</v>
      </c>
      <c r="N1027" s="92" t="s">
        <v>168</v>
      </c>
      <c r="O1027" s="92" t="s">
        <v>176</v>
      </c>
      <c r="P1027" s="92" t="s">
        <v>368</v>
      </c>
      <c r="Q1027" s="92" t="s">
        <v>2771</v>
      </c>
      <c r="R1027" s="92">
        <v>3</v>
      </c>
      <c r="S1027" s="92">
        <v>230</v>
      </c>
      <c r="T1027" s="9">
        <v>44159</v>
      </c>
      <c r="U1027" s="9">
        <v>44201</v>
      </c>
    </row>
    <row r="1028" spans="1:21" x14ac:dyDescent="0.2">
      <c r="A1028" s="10" t="str">
        <f>HYPERLINK("http://www.ofsted.gov.uk/inspection-reports/find-inspection-report/provider/ELS/116394 ","Ofsted School Webpage")</f>
        <v>Ofsted School Webpage</v>
      </c>
      <c r="B1028" s="92">
        <v>116394</v>
      </c>
      <c r="C1028" s="92">
        <v>8503650</v>
      </c>
      <c r="D1028" s="92" t="s">
        <v>2204</v>
      </c>
      <c r="E1028" s="92" t="s">
        <v>94</v>
      </c>
      <c r="F1028" s="92" t="s">
        <v>351</v>
      </c>
      <c r="G1028" s="92" t="s">
        <v>270</v>
      </c>
      <c r="H1028" s="92" t="s">
        <v>271</v>
      </c>
      <c r="I1028" s="92" t="s">
        <v>272</v>
      </c>
      <c r="J1028" s="92" t="s">
        <v>352</v>
      </c>
      <c r="K1028" s="92" t="s">
        <v>273</v>
      </c>
      <c r="L1028" s="92" t="s">
        <v>347</v>
      </c>
      <c r="M1028" s="92" t="s">
        <v>192</v>
      </c>
      <c r="N1028" s="92" t="s">
        <v>192</v>
      </c>
      <c r="O1028" s="92" t="s">
        <v>193</v>
      </c>
      <c r="P1028" s="92" t="s">
        <v>2772</v>
      </c>
      <c r="Q1028" s="92" t="s">
        <v>2773</v>
      </c>
      <c r="R1028" s="92">
        <v>3</v>
      </c>
      <c r="S1028" s="92">
        <v>221</v>
      </c>
      <c r="T1028" s="9">
        <v>44159</v>
      </c>
      <c r="U1028" s="9">
        <v>44178</v>
      </c>
    </row>
    <row r="1029" spans="1:21" x14ac:dyDescent="0.2">
      <c r="A1029" s="10" t="str">
        <f>HYPERLINK("http://www.ofsted.gov.uk/inspection-reports/find-inspection-report/provider/ELS/119620 ","Ofsted School Webpage")</f>
        <v>Ofsted School Webpage</v>
      </c>
      <c r="B1029" s="92">
        <v>119620</v>
      </c>
      <c r="C1029" s="92">
        <v>8883705</v>
      </c>
      <c r="D1029" s="92" t="s">
        <v>2774</v>
      </c>
      <c r="E1029" s="92" t="s">
        <v>94</v>
      </c>
      <c r="F1029" s="92" t="s">
        <v>351</v>
      </c>
      <c r="G1029" s="92" t="s">
        <v>270</v>
      </c>
      <c r="H1029" s="92" t="s">
        <v>271</v>
      </c>
      <c r="I1029" s="92" t="s">
        <v>272</v>
      </c>
      <c r="J1029" s="92" t="s">
        <v>352</v>
      </c>
      <c r="K1029" s="92" t="s">
        <v>273</v>
      </c>
      <c r="L1029" s="92" t="s">
        <v>347</v>
      </c>
      <c r="M1029" s="92" t="s">
        <v>168</v>
      </c>
      <c r="N1029" s="92" t="s">
        <v>168</v>
      </c>
      <c r="O1029" s="92" t="s">
        <v>169</v>
      </c>
      <c r="P1029" s="92" t="s">
        <v>985</v>
      </c>
      <c r="Q1029" s="92" t="s">
        <v>2775</v>
      </c>
      <c r="R1029" s="92">
        <v>5</v>
      </c>
      <c r="S1029" s="92">
        <v>185</v>
      </c>
      <c r="T1029" s="9">
        <v>44159</v>
      </c>
      <c r="U1029" s="9">
        <v>44213</v>
      </c>
    </row>
    <row r="1030" spans="1:21" x14ac:dyDescent="0.2">
      <c r="A1030" s="10" t="str">
        <f>HYPERLINK("http://www.ofsted.gov.uk/inspection-reports/find-inspection-report/provider/ELS/105965 ","Ofsted School Webpage")</f>
        <v>Ofsted School Webpage</v>
      </c>
      <c r="B1030" s="92">
        <v>105965</v>
      </c>
      <c r="C1030" s="92">
        <v>3553615</v>
      </c>
      <c r="D1030" s="92" t="s">
        <v>2776</v>
      </c>
      <c r="E1030" s="92" t="s">
        <v>94</v>
      </c>
      <c r="F1030" s="92" t="s">
        <v>351</v>
      </c>
      <c r="G1030" s="92" t="s">
        <v>270</v>
      </c>
      <c r="H1030" s="92" t="s">
        <v>271</v>
      </c>
      <c r="I1030" s="92" t="s">
        <v>272</v>
      </c>
      <c r="J1030" s="92" t="s">
        <v>352</v>
      </c>
      <c r="K1030" s="92" t="s">
        <v>273</v>
      </c>
      <c r="L1030" s="92" t="s">
        <v>347</v>
      </c>
      <c r="M1030" s="92" t="s">
        <v>168</v>
      </c>
      <c r="N1030" s="92" t="s">
        <v>168</v>
      </c>
      <c r="O1030" s="92" t="s">
        <v>191</v>
      </c>
      <c r="P1030" s="92" t="s">
        <v>2222</v>
      </c>
      <c r="Q1030" s="92" t="s">
        <v>2777</v>
      </c>
      <c r="R1030" s="92">
        <v>5</v>
      </c>
      <c r="S1030" s="92">
        <v>188</v>
      </c>
      <c r="T1030" s="9">
        <v>44159</v>
      </c>
      <c r="U1030" s="9">
        <v>44180</v>
      </c>
    </row>
    <row r="1031" spans="1:21" x14ac:dyDescent="0.2">
      <c r="A1031" s="10" t="str">
        <f>HYPERLINK("http://www.ofsted.gov.uk/inspection-reports/find-inspection-report/provider/ELS/136062 ","Ofsted School Webpage")</f>
        <v>Ofsted School Webpage</v>
      </c>
      <c r="B1031" s="92">
        <v>136062</v>
      </c>
      <c r="C1031" s="92">
        <v>3412176</v>
      </c>
      <c r="D1031" s="92" t="s">
        <v>2778</v>
      </c>
      <c r="E1031" s="92" t="s">
        <v>94</v>
      </c>
      <c r="F1031" s="92" t="s">
        <v>351</v>
      </c>
      <c r="G1031" s="9">
        <v>40421</v>
      </c>
      <c r="H1031" s="92" t="s">
        <v>271</v>
      </c>
      <c r="I1031" s="92" t="s">
        <v>272</v>
      </c>
      <c r="J1031" s="92" t="s">
        <v>352</v>
      </c>
      <c r="K1031" s="92" t="s">
        <v>273</v>
      </c>
      <c r="L1031" s="92" t="s">
        <v>347</v>
      </c>
      <c r="M1031" s="92" t="s">
        <v>168</v>
      </c>
      <c r="N1031" s="92" t="s">
        <v>168</v>
      </c>
      <c r="O1031" s="92" t="s">
        <v>170</v>
      </c>
      <c r="P1031" s="92" t="s">
        <v>388</v>
      </c>
      <c r="Q1031" s="92" t="s">
        <v>2779</v>
      </c>
      <c r="R1031" s="92">
        <v>5</v>
      </c>
      <c r="S1031" s="92">
        <v>247</v>
      </c>
      <c r="T1031" s="9">
        <v>44159</v>
      </c>
      <c r="U1031" s="9">
        <v>44200</v>
      </c>
    </row>
    <row r="1032" spans="1:21" x14ac:dyDescent="0.2">
      <c r="A1032" s="10" t="str">
        <f>HYPERLINK("http://www.ofsted.gov.uk/inspection-reports/find-inspection-report/provider/ELS/104964 ","Ofsted School Webpage")</f>
        <v>Ofsted School Webpage</v>
      </c>
      <c r="B1032" s="92">
        <v>104964</v>
      </c>
      <c r="C1032" s="92">
        <v>3434800</v>
      </c>
      <c r="D1032" s="92" t="s">
        <v>2780</v>
      </c>
      <c r="E1032" s="92" t="s">
        <v>95</v>
      </c>
      <c r="F1032" s="92" t="s">
        <v>351</v>
      </c>
      <c r="G1032" s="92" t="s">
        <v>270</v>
      </c>
      <c r="H1032" s="92" t="s">
        <v>299</v>
      </c>
      <c r="I1032" s="92" t="s">
        <v>300</v>
      </c>
      <c r="J1032" s="92" t="s">
        <v>352</v>
      </c>
      <c r="K1032" s="92" t="s">
        <v>273</v>
      </c>
      <c r="L1032" s="92" t="s">
        <v>347</v>
      </c>
      <c r="M1032" s="92" t="s">
        <v>168</v>
      </c>
      <c r="N1032" s="92" t="s">
        <v>168</v>
      </c>
      <c r="O1032" s="92" t="s">
        <v>183</v>
      </c>
      <c r="P1032" s="92" t="s">
        <v>2335</v>
      </c>
      <c r="Q1032" s="92" t="s">
        <v>2781</v>
      </c>
      <c r="R1032" s="92">
        <v>3</v>
      </c>
      <c r="S1032" s="92">
        <v>954</v>
      </c>
      <c r="T1032" s="9">
        <v>44159</v>
      </c>
      <c r="U1032" s="9">
        <v>44213</v>
      </c>
    </row>
    <row r="1033" spans="1:21" x14ac:dyDescent="0.2">
      <c r="A1033" s="10" t="str">
        <f>HYPERLINK("http://www.ofsted.gov.uk/inspection-reports/find-inspection-report/provider/ELS/100029 ","Ofsted School Webpage")</f>
        <v>Ofsted School Webpage</v>
      </c>
      <c r="B1033" s="92">
        <v>100029</v>
      </c>
      <c r="C1033" s="92">
        <v>2023327</v>
      </c>
      <c r="D1033" s="92" t="s">
        <v>2782</v>
      </c>
      <c r="E1033" s="92" t="s">
        <v>94</v>
      </c>
      <c r="F1033" s="92" t="s">
        <v>351</v>
      </c>
      <c r="G1033" s="92" t="s">
        <v>270</v>
      </c>
      <c r="H1033" s="92" t="s">
        <v>271</v>
      </c>
      <c r="I1033" s="92" t="s">
        <v>272</v>
      </c>
      <c r="J1033" s="92" t="s">
        <v>346</v>
      </c>
      <c r="K1033" s="92" t="s">
        <v>273</v>
      </c>
      <c r="L1033" s="92" t="s">
        <v>347</v>
      </c>
      <c r="M1033" s="92" t="s">
        <v>122</v>
      </c>
      <c r="N1033" s="92" t="s">
        <v>122</v>
      </c>
      <c r="O1033" s="92" t="s">
        <v>127</v>
      </c>
      <c r="P1033" s="92" t="s">
        <v>1411</v>
      </c>
      <c r="Q1033" s="92" t="s">
        <v>2783</v>
      </c>
      <c r="R1033" s="92">
        <v>5</v>
      </c>
      <c r="S1033" s="92">
        <v>210</v>
      </c>
      <c r="T1033" s="9">
        <v>44159</v>
      </c>
      <c r="U1033" s="9">
        <v>44180</v>
      </c>
    </row>
    <row r="1034" spans="1:21" x14ac:dyDescent="0.2">
      <c r="A1034" s="10" t="str">
        <f>HYPERLINK("http://www.ofsted.gov.uk/inspection-reports/find-inspection-report/provider/ELS/102037 ","Ofsted School Webpage")</f>
        <v>Ofsted School Webpage</v>
      </c>
      <c r="B1034" s="92">
        <v>102037</v>
      </c>
      <c r="C1034" s="92">
        <v>3083501</v>
      </c>
      <c r="D1034" s="92" t="s">
        <v>2784</v>
      </c>
      <c r="E1034" s="92" t="s">
        <v>94</v>
      </c>
      <c r="F1034" s="92" t="s">
        <v>351</v>
      </c>
      <c r="G1034" s="92" t="s">
        <v>270</v>
      </c>
      <c r="H1034" s="92" t="s">
        <v>271</v>
      </c>
      <c r="I1034" s="92" t="s">
        <v>272</v>
      </c>
      <c r="J1034" s="92" t="s">
        <v>352</v>
      </c>
      <c r="K1034" s="92" t="s">
        <v>273</v>
      </c>
      <c r="L1034" s="92" t="s">
        <v>347</v>
      </c>
      <c r="M1034" s="92" t="s">
        <v>122</v>
      </c>
      <c r="N1034" s="92" t="s">
        <v>122</v>
      </c>
      <c r="O1034" s="92" t="s">
        <v>130</v>
      </c>
      <c r="P1034" s="92" t="s">
        <v>524</v>
      </c>
      <c r="Q1034" s="92" t="s">
        <v>2785</v>
      </c>
      <c r="R1034" s="92">
        <v>5</v>
      </c>
      <c r="S1034" s="92">
        <v>424</v>
      </c>
      <c r="T1034" s="9">
        <v>44160</v>
      </c>
      <c r="U1034" s="9">
        <v>44213</v>
      </c>
    </row>
    <row r="1035" spans="1:21" x14ac:dyDescent="0.2">
      <c r="A1035" s="10" t="str">
        <f>HYPERLINK("http://www.ofsted.gov.uk/inspection-reports/find-inspection-report/provider/ELS/134369 ","Ofsted School Webpage")</f>
        <v>Ofsted School Webpage</v>
      </c>
      <c r="B1035" s="92">
        <v>134369</v>
      </c>
      <c r="C1035" s="92">
        <v>3076905</v>
      </c>
      <c r="D1035" s="92" t="s">
        <v>2786</v>
      </c>
      <c r="E1035" s="92" t="s">
        <v>95</v>
      </c>
      <c r="F1035" s="92" t="s">
        <v>409</v>
      </c>
      <c r="G1035" s="9">
        <v>37865</v>
      </c>
      <c r="H1035" s="92" t="s">
        <v>299</v>
      </c>
      <c r="I1035" s="92" t="s">
        <v>300</v>
      </c>
      <c r="J1035" s="92" t="s">
        <v>273</v>
      </c>
      <c r="K1035" s="92" t="s">
        <v>410</v>
      </c>
      <c r="L1035" s="92" t="s">
        <v>274</v>
      </c>
      <c r="M1035" s="92" t="s">
        <v>122</v>
      </c>
      <c r="N1035" s="92" t="s">
        <v>122</v>
      </c>
      <c r="O1035" s="92" t="s">
        <v>123</v>
      </c>
      <c r="P1035" s="92" t="s">
        <v>871</v>
      </c>
      <c r="Q1035" s="92" t="s">
        <v>2787</v>
      </c>
      <c r="R1035" s="92">
        <v>4</v>
      </c>
      <c r="S1035" s="92">
        <v>1686</v>
      </c>
      <c r="T1035" s="9">
        <v>44160</v>
      </c>
      <c r="U1035" s="9">
        <v>44213</v>
      </c>
    </row>
    <row r="1036" spans="1:21" x14ac:dyDescent="0.2">
      <c r="A1036" s="10" t="str">
        <f>HYPERLINK("http://www.ofsted.gov.uk/inspection-reports/find-inspection-report/provider/ELS/134523 ","Ofsted School Webpage")</f>
        <v>Ofsted School Webpage</v>
      </c>
      <c r="B1036" s="92">
        <v>134523</v>
      </c>
      <c r="C1036" s="92">
        <v>3351104</v>
      </c>
      <c r="D1036" s="92" t="s">
        <v>2788</v>
      </c>
      <c r="E1036" s="92" t="s">
        <v>98</v>
      </c>
      <c r="F1036" s="92" t="s">
        <v>405</v>
      </c>
      <c r="G1036" s="9">
        <v>37987</v>
      </c>
      <c r="H1036" s="92" t="s">
        <v>271</v>
      </c>
      <c r="I1036" s="92" t="s">
        <v>271</v>
      </c>
      <c r="J1036" s="92" t="s">
        <v>273</v>
      </c>
      <c r="K1036" s="92" t="s">
        <v>273</v>
      </c>
      <c r="L1036" s="92" t="s">
        <v>274</v>
      </c>
      <c r="M1036" s="92" t="s">
        <v>226</v>
      </c>
      <c r="N1036" s="92" t="s">
        <v>226</v>
      </c>
      <c r="O1036" s="92" t="s">
        <v>230</v>
      </c>
      <c r="P1036" s="92" t="s">
        <v>1651</v>
      </c>
      <c r="Q1036" s="92" t="s">
        <v>2789</v>
      </c>
      <c r="R1036" s="92">
        <v>5</v>
      </c>
      <c r="S1036" s="92">
        <v>92</v>
      </c>
      <c r="T1036" s="9">
        <v>44160</v>
      </c>
      <c r="U1036" s="9">
        <v>44200</v>
      </c>
    </row>
    <row r="1037" spans="1:21" x14ac:dyDescent="0.2">
      <c r="A1037" s="10" t="str">
        <f>HYPERLINK("http://www.ofsted.gov.uk/inspection-reports/find-inspection-report/provider/ELS/135004 ","Ofsted School Webpage")</f>
        <v>Ofsted School Webpage</v>
      </c>
      <c r="B1037" s="92">
        <v>135004</v>
      </c>
      <c r="C1037" s="92">
        <v>3126906</v>
      </c>
      <c r="D1037" s="92" t="s">
        <v>2790</v>
      </c>
      <c r="E1037" s="92" t="s">
        <v>95</v>
      </c>
      <c r="F1037" s="92" t="s">
        <v>409</v>
      </c>
      <c r="G1037" s="9">
        <v>38596</v>
      </c>
      <c r="H1037" s="92" t="s">
        <v>299</v>
      </c>
      <c r="I1037" s="92" t="s">
        <v>300</v>
      </c>
      <c r="J1037" s="92" t="s">
        <v>273</v>
      </c>
      <c r="K1037" s="92" t="s">
        <v>410</v>
      </c>
      <c r="L1037" s="92" t="s">
        <v>274</v>
      </c>
      <c r="M1037" s="92" t="s">
        <v>122</v>
      </c>
      <c r="N1037" s="92" t="s">
        <v>122</v>
      </c>
      <c r="O1037" s="92" t="s">
        <v>146</v>
      </c>
      <c r="P1037" s="92" t="s">
        <v>1895</v>
      </c>
      <c r="Q1037" s="92" t="s">
        <v>2791</v>
      </c>
      <c r="R1037" s="92">
        <v>3</v>
      </c>
      <c r="S1037" s="92">
        <v>391</v>
      </c>
      <c r="T1037" s="9">
        <v>44160</v>
      </c>
      <c r="U1037" s="9">
        <v>44216</v>
      </c>
    </row>
    <row r="1038" spans="1:21" x14ac:dyDescent="0.2">
      <c r="A1038" s="10" t="str">
        <f>HYPERLINK("http://www.ofsted.gov.uk/inspection-reports/find-inspection-report/provider/ELS/136907 ","Ofsted School Webpage")</f>
        <v>Ofsted School Webpage</v>
      </c>
      <c r="B1038" s="92">
        <v>136907</v>
      </c>
      <c r="C1038" s="92">
        <v>9375403</v>
      </c>
      <c r="D1038" s="92" t="s">
        <v>2792</v>
      </c>
      <c r="E1038" s="92" t="s">
        <v>95</v>
      </c>
      <c r="F1038" s="92" t="s">
        <v>429</v>
      </c>
      <c r="G1038" s="9">
        <v>40725</v>
      </c>
      <c r="H1038" s="92" t="s">
        <v>299</v>
      </c>
      <c r="I1038" s="92" t="s">
        <v>300</v>
      </c>
      <c r="J1038" s="92" t="s">
        <v>410</v>
      </c>
      <c r="K1038" s="92" t="s">
        <v>273</v>
      </c>
      <c r="L1038" s="92" t="s">
        <v>274</v>
      </c>
      <c r="M1038" s="92" t="s">
        <v>226</v>
      </c>
      <c r="N1038" s="92" t="s">
        <v>226</v>
      </c>
      <c r="O1038" s="92" t="s">
        <v>235</v>
      </c>
      <c r="P1038" s="92" t="s">
        <v>764</v>
      </c>
      <c r="Q1038" s="92" t="s">
        <v>2793</v>
      </c>
      <c r="R1038" s="92">
        <v>1</v>
      </c>
      <c r="S1038" s="92">
        <v>1659</v>
      </c>
      <c r="T1038" s="9">
        <v>44160</v>
      </c>
      <c r="U1038" s="9">
        <v>44213</v>
      </c>
    </row>
    <row r="1039" spans="1:21" x14ac:dyDescent="0.2">
      <c r="A1039" s="10" t="str">
        <f>HYPERLINK("http://www.ofsted.gov.uk/inspection-reports/find-inspection-report/provider/ELS/143482 ","Ofsted School Webpage")</f>
        <v>Ofsted School Webpage</v>
      </c>
      <c r="B1039" s="92">
        <v>143482</v>
      </c>
      <c r="C1039" s="92">
        <v>3722122</v>
      </c>
      <c r="D1039" s="92" t="s">
        <v>2794</v>
      </c>
      <c r="E1039" s="92" t="s">
        <v>94</v>
      </c>
      <c r="F1039" s="92" t="s">
        <v>429</v>
      </c>
      <c r="G1039" s="9">
        <v>42644</v>
      </c>
      <c r="H1039" s="92" t="s">
        <v>271</v>
      </c>
      <c r="I1039" s="92" t="s">
        <v>272</v>
      </c>
      <c r="J1039" s="92" t="s">
        <v>273</v>
      </c>
      <c r="K1039" s="92" t="s">
        <v>273</v>
      </c>
      <c r="L1039" s="92" t="s">
        <v>274</v>
      </c>
      <c r="M1039" s="92" t="s">
        <v>261</v>
      </c>
      <c r="N1039" s="92" t="s">
        <v>241</v>
      </c>
      <c r="O1039" s="92" t="s">
        <v>242</v>
      </c>
      <c r="P1039" s="92" t="s">
        <v>275</v>
      </c>
      <c r="Q1039" s="92" t="s">
        <v>2795</v>
      </c>
      <c r="R1039" s="92">
        <v>4</v>
      </c>
      <c r="S1039" s="92">
        <v>181</v>
      </c>
      <c r="T1039" s="9">
        <v>44160</v>
      </c>
      <c r="U1039" s="9">
        <v>44201</v>
      </c>
    </row>
    <row r="1040" spans="1:21" x14ac:dyDescent="0.2">
      <c r="A1040" s="10" t="str">
        <f>HYPERLINK("http://www.ofsted.gov.uk/inspection-reports/find-inspection-report/provider/ELS/145453 ","Ofsted School Webpage")</f>
        <v>Ofsted School Webpage</v>
      </c>
      <c r="B1040" s="92">
        <v>145453</v>
      </c>
      <c r="C1040" s="92">
        <v>3433020</v>
      </c>
      <c r="D1040" s="92" t="s">
        <v>2796</v>
      </c>
      <c r="E1040" s="92" t="s">
        <v>94</v>
      </c>
      <c r="F1040" s="92" t="s">
        <v>429</v>
      </c>
      <c r="G1040" s="9">
        <v>43221</v>
      </c>
      <c r="H1040" s="92" t="s">
        <v>271</v>
      </c>
      <c r="I1040" s="92" t="s">
        <v>272</v>
      </c>
      <c r="J1040" s="92" t="s">
        <v>346</v>
      </c>
      <c r="K1040" s="92" t="s">
        <v>273</v>
      </c>
      <c r="L1040" s="92" t="s">
        <v>347</v>
      </c>
      <c r="M1040" s="92" t="s">
        <v>168</v>
      </c>
      <c r="N1040" s="92" t="s">
        <v>168</v>
      </c>
      <c r="O1040" s="92" t="s">
        <v>183</v>
      </c>
      <c r="P1040" s="92" t="s">
        <v>2194</v>
      </c>
      <c r="Q1040" s="92" t="s">
        <v>2797</v>
      </c>
      <c r="R1040" s="92">
        <v>3</v>
      </c>
      <c r="S1040" s="92">
        <v>296</v>
      </c>
      <c r="T1040" s="9">
        <v>44161</v>
      </c>
      <c r="U1040" s="9">
        <v>44201</v>
      </c>
    </row>
    <row r="1041" spans="1:21" x14ac:dyDescent="0.2">
      <c r="A1041" s="10" t="str">
        <f>HYPERLINK("http://www.ofsted.gov.uk/inspection-reports/find-inspection-report/provider/ELS/148350 ","Ofsted School Webpage")</f>
        <v>Ofsted School Webpage</v>
      </c>
      <c r="B1041" s="92">
        <v>148350</v>
      </c>
      <c r="C1041" s="92">
        <v>3192118</v>
      </c>
      <c r="D1041" s="92" t="s">
        <v>2798</v>
      </c>
      <c r="E1041" s="92" t="s">
        <v>94</v>
      </c>
      <c r="F1041" s="92" t="s">
        <v>409</v>
      </c>
      <c r="G1041" s="9">
        <v>44136</v>
      </c>
      <c r="H1041" s="92" t="s">
        <v>484</v>
      </c>
      <c r="I1041" s="92" t="s">
        <v>272</v>
      </c>
      <c r="J1041" s="92" t="s">
        <v>410</v>
      </c>
      <c r="K1041" s="92" t="s">
        <v>410</v>
      </c>
      <c r="L1041" s="92" t="s">
        <v>274</v>
      </c>
      <c r="M1041" s="92" t="s">
        <v>122</v>
      </c>
      <c r="N1041" s="92" t="s">
        <v>122</v>
      </c>
      <c r="O1041" s="92" t="s">
        <v>152</v>
      </c>
      <c r="P1041" s="92" t="s">
        <v>2703</v>
      </c>
      <c r="Q1041" s="92" t="s">
        <v>2799</v>
      </c>
      <c r="R1041" s="92" t="s">
        <v>270</v>
      </c>
      <c r="S1041" s="92" t="s">
        <v>270</v>
      </c>
      <c r="T1041" s="9">
        <v>44161</v>
      </c>
      <c r="U1041" s="9">
        <v>44213</v>
      </c>
    </row>
    <row r="1042" spans="1:21" x14ac:dyDescent="0.2">
      <c r="A1042" s="10" t="str">
        <f>HYPERLINK("http://www.ofsted.gov.uk/inspection-reports/find-inspection-report/provider/ELS/142712 ","Ofsted School Webpage")</f>
        <v>Ofsted School Webpage</v>
      </c>
      <c r="B1042" s="92">
        <v>142712</v>
      </c>
      <c r="C1042" s="92">
        <v>9082510</v>
      </c>
      <c r="D1042" s="92" t="s">
        <v>2800</v>
      </c>
      <c r="E1042" s="92" t="s">
        <v>94</v>
      </c>
      <c r="F1042" s="92" t="s">
        <v>429</v>
      </c>
      <c r="G1042" s="9">
        <v>42461</v>
      </c>
      <c r="H1042" s="92" t="s">
        <v>271</v>
      </c>
      <c r="I1042" s="92" t="s">
        <v>272</v>
      </c>
      <c r="J1042" s="92" t="s">
        <v>273</v>
      </c>
      <c r="K1042" s="92" t="s">
        <v>273</v>
      </c>
      <c r="L1042" s="92" t="s">
        <v>274</v>
      </c>
      <c r="M1042" s="92" t="s">
        <v>211</v>
      </c>
      <c r="N1042" s="92" t="s">
        <v>211</v>
      </c>
      <c r="O1042" s="92" t="s">
        <v>219</v>
      </c>
      <c r="P1042" s="92" t="s">
        <v>576</v>
      </c>
      <c r="Q1042" s="92" t="s">
        <v>2801</v>
      </c>
      <c r="R1042" s="92">
        <v>3</v>
      </c>
      <c r="S1042" s="92">
        <v>103</v>
      </c>
      <c r="T1042" s="9">
        <v>44161</v>
      </c>
      <c r="U1042" s="9">
        <v>44209</v>
      </c>
    </row>
    <row r="1043" spans="1:21" x14ac:dyDescent="0.2">
      <c r="A1043" s="10" t="str">
        <f>HYPERLINK("http://www.ofsted.gov.uk/inspection-reports/find-inspection-report/provider/ELS/144479 ","Ofsted School Webpage")</f>
        <v>Ofsted School Webpage</v>
      </c>
      <c r="B1043" s="92">
        <v>144479</v>
      </c>
      <c r="C1043" s="92">
        <v>8564004</v>
      </c>
      <c r="D1043" s="92" t="s">
        <v>2802</v>
      </c>
      <c r="E1043" s="92" t="s">
        <v>95</v>
      </c>
      <c r="F1043" s="92" t="s">
        <v>409</v>
      </c>
      <c r="G1043" s="9">
        <v>42370</v>
      </c>
      <c r="H1043" s="92" t="s">
        <v>484</v>
      </c>
      <c r="I1043" s="92" t="s">
        <v>271</v>
      </c>
      <c r="J1043" s="92" t="s">
        <v>346</v>
      </c>
      <c r="K1043" s="92" t="s">
        <v>410</v>
      </c>
      <c r="L1043" s="92" t="s">
        <v>347</v>
      </c>
      <c r="M1043" s="92" t="s">
        <v>100</v>
      </c>
      <c r="N1043" s="92" t="s">
        <v>100</v>
      </c>
      <c r="O1043" s="92" t="s">
        <v>102</v>
      </c>
      <c r="P1043" s="92" t="s">
        <v>1147</v>
      </c>
      <c r="Q1043" s="92" t="s">
        <v>2803</v>
      </c>
      <c r="R1043" s="92">
        <v>5</v>
      </c>
      <c r="S1043" s="92">
        <v>847</v>
      </c>
      <c r="T1043" s="9">
        <v>44161</v>
      </c>
      <c r="U1043" s="9">
        <v>44209</v>
      </c>
    </row>
    <row r="1044" spans="1:21" x14ac:dyDescent="0.2">
      <c r="A1044" s="10" t="str">
        <f>HYPERLINK("http://www.ofsted.gov.uk/inspection-reports/find-inspection-report/provider/ELS/144549 ","Ofsted School Webpage")</f>
        <v>Ofsted School Webpage</v>
      </c>
      <c r="B1044" s="92">
        <v>144549</v>
      </c>
      <c r="C1044" s="92">
        <v>3053504</v>
      </c>
      <c r="D1044" s="92" t="s">
        <v>2804</v>
      </c>
      <c r="E1044" s="92" t="s">
        <v>94</v>
      </c>
      <c r="F1044" s="92" t="s">
        <v>429</v>
      </c>
      <c r="G1044" s="9">
        <v>42917</v>
      </c>
      <c r="H1044" s="92" t="s">
        <v>271</v>
      </c>
      <c r="I1044" s="92" t="s">
        <v>272</v>
      </c>
      <c r="J1044" s="92" t="s">
        <v>2805</v>
      </c>
      <c r="K1044" s="92" t="s">
        <v>273</v>
      </c>
      <c r="L1044" s="92" t="s">
        <v>347</v>
      </c>
      <c r="M1044" s="92" t="s">
        <v>122</v>
      </c>
      <c r="N1044" s="92" t="s">
        <v>122</v>
      </c>
      <c r="O1044" s="92" t="s">
        <v>139</v>
      </c>
      <c r="P1044" s="92" t="s">
        <v>723</v>
      </c>
      <c r="Q1044" s="92" t="s">
        <v>2806</v>
      </c>
      <c r="R1044" s="92">
        <v>4</v>
      </c>
      <c r="S1044" s="92">
        <v>166</v>
      </c>
      <c r="T1044" s="9">
        <v>44161</v>
      </c>
      <c r="U1044" s="9">
        <v>44213</v>
      </c>
    </row>
    <row r="1045" spans="1:21" x14ac:dyDescent="0.2">
      <c r="A1045" s="10" t="str">
        <f>HYPERLINK("http://www.ofsted.gov.uk/inspection-reports/find-inspection-report/provider/ELS/140296 ","Ofsted School Webpage")</f>
        <v>Ofsted School Webpage</v>
      </c>
      <c r="B1045" s="92">
        <v>140296</v>
      </c>
      <c r="C1045" s="92">
        <v>8613412</v>
      </c>
      <c r="D1045" s="92" t="s">
        <v>2807</v>
      </c>
      <c r="E1045" s="92" t="s">
        <v>94</v>
      </c>
      <c r="F1045" s="92" t="s">
        <v>429</v>
      </c>
      <c r="G1045" s="9">
        <v>41579</v>
      </c>
      <c r="H1045" s="92" t="s">
        <v>271</v>
      </c>
      <c r="I1045" s="92" t="s">
        <v>272</v>
      </c>
      <c r="J1045" s="92" t="s">
        <v>352</v>
      </c>
      <c r="K1045" s="92" t="s">
        <v>273</v>
      </c>
      <c r="L1045" s="92" t="s">
        <v>347</v>
      </c>
      <c r="M1045" s="92" t="s">
        <v>226</v>
      </c>
      <c r="N1045" s="92" t="s">
        <v>226</v>
      </c>
      <c r="O1045" s="92" t="s">
        <v>234</v>
      </c>
      <c r="P1045" s="92" t="s">
        <v>450</v>
      </c>
      <c r="Q1045" s="92" t="s">
        <v>2808</v>
      </c>
      <c r="R1045" s="92">
        <v>5</v>
      </c>
      <c r="S1045" s="92">
        <v>220</v>
      </c>
      <c r="T1045" s="9">
        <v>44161</v>
      </c>
      <c r="U1045" s="9">
        <v>44200</v>
      </c>
    </row>
    <row r="1046" spans="1:21" x14ac:dyDescent="0.2">
      <c r="A1046" s="10" t="str">
        <f>HYPERLINK("http://www.ofsted.gov.uk/inspection-reports/find-inspection-report/provider/ELS/138089 ","Ofsted School Webpage")</f>
        <v>Ofsted School Webpage</v>
      </c>
      <c r="B1046" s="92">
        <v>138089</v>
      </c>
      <c r="C1046" s="92">
        <v>8414285</v>
      </c>
      <c r="D1046" s="92" t="s">
        <v>2809</v>
      </c>
      <c r="E1046" s="92" t="s">
        <v>95</v>
      </c>
      <c r="F1046" s="92" t="s">
        <v>429</v>
      </c>
      <c r="G1046" s="9">
        <v>41000</v>
      </c>
      <c r="H1046" s="92" t="s">
        <v>299</v>
      </c>
      <c r="I1046" s="92" t="s">
        <v>272</v>
      </c>
      <c r="J1046" s="92" t="s">
        <v>273</v>
      </c>
      <c r="K1046" s="92" t="s">
        <v>273</v>
      </c>
      <c r="L1046" s="92" t="s">
        <v>274</v>
      </c>
      <c r="M1046" s="92" t="s">
        <v>261</v>
      </c>
      <c r="N1046" s="92" t="s">
        <v>155</v>
      </c>
      <c r="O1046" s="92" t="s">
        <v>160</v>
      </c>
      <c r="P1046" s="92" t="s">
        <v>160</v>
      </c>
      <c r="Q1046" s="92" t="s">
        <v>2810</v>
      </c>
      <c r="R1046" s="92">
        <v>5</v>
      </c>
      <c r="S1046" s="92">
        <v>782</v>
      </c>
      <c r="T1046" s="9">
        <v>44161</v>
      </c>
      <c r="U1046" s="9">
        <v>44201</v>
      </c>
    </row>
    <row r="1047" spans="1:21" x14ac:dyDescent="0.2">
      <c r="A1047" s="10" t="str">
        <f>HYPERLINK("http://www.ofsted.gov.uk/inspection-reports/find-inspection-report/provider/ELS/140208 ","Ofsted School Webpage")</f>
        <v>Ofsted School Webpage</v>
      </c>
      <c r="B1047" s="92">
        <v>140208</v>
      </c>
      <c r="C1047" s="92">
        <v>3062040</v>
      </c>
      <c r="D1047" s="92" t="s">
        <v>2811</v>
      </c>
      <c r="E1047" s="92" t="s">
        <v>94</v>
      </c>
      <c r="F1047" s="92" t="s">
        <v>409</v>
      </c>
      <c r="G1047" s="9">
        <v>41883</v>
      </c>
      <c r="H1047" s="92" t="s">
        <v>271</v>
      </c>
      <c r="I1047" s="92" t="s">
        <v>272</v>
      </c>
      <c r="J1047" s="92" t="s">
        <v>410</v>
      </c>
      <c r="K1047" s="92" t="s">
        <v>410</v>
      </c>
      <c r="L1047" s="92" t="s">
        <v>274</v>
      </c>
      <c r="M1047" s="92" t="s">
        <v>122</v>
      </c>
      <c r="N1047" s="92" t="s">
        <v>122</v>
      </c>
      <c r="O1047" s="92" t="s">
        <v>144</v>
      </c>
      <c r="P1047" s="92" t="s">
        <v>1389</v>
      </c>
      <c r="Q1047" s="92" t="s">
        <v>2812</v>
      </c>
      <c r="R1047" s="92">
        <v>3</v>
      </c>
      <c r="S1047" s="92">
        <v>323</v>
      </c>
      <c r="T1047" s="9">
        <v>44161</v>
      </c>
      <c r="U1047" s="9">
        <v>44213</v>
      </c>
    </row>
    <row r="1048" spans="1:21" x14ac:dyDescent="0.2">
      <c r="A1048" s="10" t="str">
        <f>HYPERLINK("http://www.ofsted.gov.uk/inspection-reports/find-inspection-report/provider/ELS/135744 ","Ofsted School Webpage")</f>
        <v>Ofsted School Webpage</v>
      </c>
      <c r="B1048" s="92">
        <v>135744</v>
      </c>
      <c r="C1048" s="92">
        <v>9386911</v>
      </c>
      <c r="D1048" s="92" t="s">
        <v>2813</v>
      </c>
      <c r="E1048" s="92" t="s">
        <v>95</v>
      </c>
      <c r="F1048" s="92" t="s">
        <v>409</v>
      </c>
      <c r="G1048" s="9">
        <v>40057</v>
      </c>
      <c r="H1048" s="92" t="s">
        <v>299</v>
      </c>
      <c r="I1048" s="92" t="s">
        <v>300</v>
      </c>
      <c r="J1048" s="92" t="s">
        <v>347</v>
      </c>
      <c r="K1048" s="92" t="s">
        <v>410</v>
      </c>
      <c r="L1048" s="92" t="s">
        <v>347</v>
      </c>
      <c r="M1048" s="92" t="s">
        <v>192</v>
      </c>
      <c r="N1048" s="92" t="s">
        <v>192</v>
      </c>
      <c r="O1048" s="92" t="s">
        <v>200</v>
      </c>
      <c r="P1048" s="92" t="s">
        <v>2814</v>
      </c>
      <c r="Q1048" s="92" t="s">
        <v>2815</v>
      </c>
      <c r="R1048" s="92">
        <v>3</v>
      </c>
      <c r="S1048" s="92">
        <v>1084</v>
      </c>
      <c r="T1048" s="9">
        <v>44161</v>
      </c>
      <c r="U1048" s="9">
        <v>44216</v>
      </c>
    </row>
    <row r="1049" spans="1:21" x14ac:dyDescent="0.2">
      <c r="A1049" s="10" t="str">
        <f>HYPERLINK("http://www.ofsted.gov.uk/inspection-reports/find-inspection-report/provider/ELS/138786 ","Ofsted School Webpage")</f>
        <v>Ofsted School Webpage</v>
      </c>
      <c r="B1049" s="92">
        <v>138786</v>
      </c>
      <c r="C1049" s="92">
        <v>9162006</v>
      </c>
      <c r="D1049" s="92" t="s">
        <v>2816</v>
      </c>
      <c r="E1049" s="92" t="s">
        <v>94</v>
      </c>
      <c r="F1049" s="92" t="s">
        <v>409</v>
      </c>
      <c r="G1049" s="9">
        <v>41153</v>
      </c>
      <c r="H1049" s="92" t="s">
        <v>271</v>
      </c>
      <c r="I1049" s="92" t="s">
        <v>271</v>
      </c>
      <c r="J1049" s="92" t="s">
        <v>273</v>
      </c>
      <c r="K1049" s="92" t="s">
        <v>410</v>
      </c>
      <c r="L1049" s="92" t="s">
        <v>274</v>
      </c>
      <c r="M1049" s="92" t="s">
        <v>211</v>
      </c>
      <c r="N1049" s="92" t="s">
        <v>211</v>
      </c>
      <c r="O1049" s="92" t="s">
        <v>217</v>
      </c>
      <c r="P1049" s="92" t="s">
        <v>1349</v>
      </c>
      <c r="Q1049" s="92" t="s">
        <v>2817</v>
      </c>
      <c r="R1049" s="92">
        <v>3</v>
      </c>
      <c r="S1049" s="92">
        <v>147</v>
      </c>
      <c r="T1049" s="9">
        <v>44161</v>
      </c>
      <c r="U1049" s="9">
        <v>44209</v>
      </c>
    </row>
    <row r="1050" spans="1:21" x14ac:dyDescent="0.2">
      <c r="A1050" s="10" t="str">
        <f>HYPERLINK("http://www.ofsted.gov.uk/inspection-reports/find-inspection-report/provider/ELS/138543 ","Ofsted School Webpage")</f>
        <v>Ofsted School Webpage</v>
      </c>
      <c r="B1050" s="92">
        <v>138543</v>
      </c>
      <c r="C1050" s="92">
        <v>3553802</v>
      </c>
      <c r="D1050" s="92" t="s">
        <v>2818</v>
      </c>
      <c r="E1050" s="92" t="s">
        <v>94</v>
      </c>
      <c r="F1050" s="92" t="s">
        <v>429</v>
      </c>
      <c r="G1050" s="9">
        <v>41122</v>
      </c>
      <c r="H1050" s="92" t="s">
        <v>271</v>
      </c>
      <c r="I1050" s="92" t="s">
        <v>272</v>
      </c>
      <c r="J1050" s="92" t="s">
        <v>2819</v>
      </c>
      <c r="K1050" s="92" t="s">
        <v>273</v>
      </c>
      <c r="L1050" s="92" t="s">
        <v>2819</v>
      </c>
      <c r="M1050" s="92" t="s">
        <v>168</v>
      </c>
      <c r="N1050" s="92" t="s">
        <v>168</v>
      </c>
      <c r="O1050" s="92" t="s">
        <v>191</v>
      </c>
      <c r="P1050" s="92" t="s">
        <v>287</v>
      </c>
      <c r="Q1050" s="92" t="s">
        <v>2820</v>
      </c>
      <c r="R1050" s="92">
        <v>2</v>
      </c>
      <c r="S1050" s="92">
        <v>494</v>
      </c>
      <c r="T1050" s="9">
        <v>44161</v>
      </c>
      <c r="U1050" s="9">
        <v>44209</v>
      </c>
    </row>
    <row r="1051" spans="1:21" x14ac:dyDescent="0.2">
      <c r="A1051" s="10" t="str">
        <f>HYPERLINK("http://www.ofsted.gov.uk/inspection-reports/find-inspection-report/provider/ELS/144961 ","Ofsted School Webpage")</f>
        <v>Ofsted School Webpage</v>
      </c>
      <c r="B1051" s="92">
        <v>144961</v>
      </c>
      <c r="C1051" s="92">
        <v>2062002</v>
      </c>
      <c r="D1051" s="92" t="s">
        <v>2821</v>
      </c>
      <c r="E1051" s="92" t="s">
        <v>94</v>
      </c>
      <c r="F1051" s="92" t="s">
        <v>409</v>
      </c>
      <c r="G1051" s="9">
        <v>43040</v>
      </c>
      <c r="H1051" s="92" t="s">
        <v>271</v>
      </c>
      <c r="I1051" s="92" t="s">
        <v>272</v>
      </c>
      <c r="J1051" s="92" t="s">
        <v>346</v>
      </c>
      <c r="K1051" s="92" t="s">
        <v>484</v>
      </c>
      <c r="L1051" s="92" t="s">
        <v>347</v>
      </c>
      <c r="M1051" s="92" t="s">
        <v>122</v>
      </c>
      <c r="N1051" s="92" t="s">
        <v>122</v>
      </c>
      <c r="O1051" s="92" t="s">
        <v>133</v>
      </c>
      <c r="P1051" s="92" t="s">
        <v>553</v>
      </c>
      <c r="Q1051" s="92" t="s">
        <v>2822</v>
      </c>
      <c r="R1051" s="92">
        <v>5</v>
      </c>
      <c r="S1051" s="92">
        <v>117</v>
      </c>
      <c r="T1051" s="9">
        <v>44161</v>
      </c>
      <c r="U1051" s="9">
        <v>44215</v>
      </c>
    </row>
    <row r="1052" spans="1:21" x14ac:dyDescent="0.2">
      <c r="A1052" s="10" t="str">
        <f>HYPERLINK("http://www.ofsted.gov.uk/inspection-reports/find-inspection-report/provider/ELS/145026 ","Ofsted School Webpage")</f>
        <v>Ofsted School Webpage</v>
      </c>
      <c r="B1052" s="92">
        <v>145026</v>
      </c>
      <c r="C1052" s="92">
        <v>8152383</v>
      </c>
      <c r="D1052" s="92" t="s">
        <v>2823</v>
      </c>
      <c r="E1052" s="92" t="s">
        <v>94</v>
      </c>
      <c r="F1052" s="92" t="s">
        <v>429</v>
      </c>
      <c r="G1052" s="9">
        <v>42948</v>
      </c>
      <c r="H1052" s="92" t="s">
        <v>271</v>
      </c>
      <c r="I1052" s="92" t="s">
        <v>272</v>
      </c>
      <c r="J1052" s="92" t="s">
        <v>273</v>
      </c>
      <c r="K1052" s="92" t="s">
        <v>273</v>
      </c>
      <c r="L1052" s="92" t="s">
        <v>274</v>
      </c>
      <c r="M1052" s="92" t="s">
        <v>261</v>
      </c>
      <c r="N1052" s="92" t="s">
        <v>241</v>
      </c>
      <c r="O1052" s="92" t="s">
        <v>247</v>
      </c>
      <c r="P1052" s="92" t="s">
        <v>508</v>
      </c>
      <c r="Q1052" s="92" t="s">
        <v>2824</v>
      </c>
      <c r="R1052" s="92">
        <v>2</v>
      </c>
      <c r="S1052" s="92">
        <v>193</v>
      </c>
      <c r="T1052" s="9">
        <v>44161</v>
      </c>
      <c r="U1052" s="9">
        <v>44201</v>
      </c>
    </row>
    <row r="1053" spans="1:21" x14ac:dyDescent="0.2">
      <c r="A1053" s="10" t="str">
        <f>HYPERLINK("http://www.ofsted.gov.uk/inspection-reports/find-inspection-report/provider/ELS/139857 ","Ofsted School Webpage")</f>
        <v>Ofsted School Webpage</v>
      </c>
      <c r="B1053" s="92">
        <v>139857</v>
      </c>
      <c r="C1053" s="92">
        <v>9282065</v>
      </c>
      <c r="D1053" s="92" t="s">
        <v>2825</v>
      </c>
      <c r="E1053" s="92" t="s">
        <v>94</v>
      </c>
      <c r="F1053" s="92" t="s">
        <v>429</v>
      </c>
      <c r="G1053" s="9">
        <v>41518</v>
      </c>
      <c r="H1053" s="92" t="s">
        <v>271</v>
      </c>
      <c r="I1053" s="92" t="s">
        <v>272</v>
      </c>
      <c r="J1053" s="92" t="s">
        <v>273</v>
      </c>
      <c r="K1053" s="92" t="s">
        <v>273</v>
      </c>
      <c r="L1053" s="92" t="s">
        <v>274</v>
      </c>
      <c r="M1053" s="92" t="s">
        <v>100</v>
      </c>
      <c r="N1053" s="92" t="s">
        <v>100</v>
      </c>
      <c r="O1053" s="92" t="s">
        <v>107</v>
      </c>
      <c r="P1053" s="92" t="s">
        <v>1542</v>
      </c>
      <c r="Q1053" s="92" t="s">
        <v>2826</v>
      </c>
      <c r="R1053" s="92">
        <v>1</v>
      </c>
      <c r="S1053" s="92">
        <v>156</v>
      </c>
      <c r="T1053" s="9">
        <v>44161</v>
      </c>
      <c r="U1053" s="9">
        <v>44200</v>
      </c>
    </row>
    <row r="1054" spans="1:21" x14ac:dyDescent="0.2">
      <c r="A1054" s="10" t="str">
        <f>HYPERLINK("http://www.ofsted.gov.uk/inspection-reports/find-inspection-report/provider/ELS/136840 ","Ofsted School Webpage")</f>
        <v>Ofsted School Webpage</v>
      </c>
      <c r="B1054" s="92">
        <v>136840</v>
      </c>
      <c r="C1054" s="92">
        <v>3314044</v>
      </c>
      <c r="D1054" s="92" t="s">
        <v>2827</v>
      </c>
      <c r="E1054" s="92" t="s">
        <v>95</v>
      </c>
      <c r="F1054" s="92" t="s">
        <v>429</v>
      </c>
      <c r="G1054" s="9">
        <v>40725</v>
      </c>
      <c r="H1054" s="92" t="s">
        <v>299</v>
      </c>
      <c r="I1054" s="92" t="s">
        <v>300</v>
      </c>
      <c r="J1054" s="92" t="s">
        <v>410</v>
      </c>
      <c r="K1054" s="92" t="s">
        <v>273</v>
      </c>
      <c r="L1054" s="92" t="s">
        <v>274</v>
      </c>
      <c r="M1054" s="92" t="s">
        <v>226</v>
      </c>
      <c r="N1054" s="92" t="s">
        <v>226</v>
      </c>
      <c r="O1054" s="92" t="s">
        <v>233</v>
      </c>
      <c r="P1054" s="92" t="s">
        <v>2408</v>
      </c>
      <c r="Q1054" s="92" t="s">
        <v>2828</v>
      </c>
      <c r="R1054" s="92">
        <v>5</v>
      </c>
      <c r="S1054" s="92">
        <v>897</v>
      </c>
      <c r="T1054" s="9">
        <v>44161</v>
      </c>
      <c r="U1054" s="9">
        <v>44179</v>
      </c>
    </row>
    <row r="1055" spans="1:21" x14ac:dyDescent="0.2">
      <c r="A1055" s="10" t="str">
        <f>HYPERLINK("http://www.ofsted.gov.uk/inspection-reports/find-inspection-report/provider/ELS/139893 ","Ofsted School Webpage")</f>
        <v>Ofsted School Webpage</v>
      </c>
      <c r="B1055" s="92">
        <v>139893</v>
      </c>
      <c r="C1055" s="92">
        <v>3363311</v>
      </c>
      <c r="D1055" s="92" t="s">
        <v>2829</v>
      </c>
      <c r="E1055" s="92" t="s">
        <v>94</v>
      </c>
      <c r="F1055" s="92" t="s">
        <v>429</v>
      </c>
      <c r="G1055" s="9">
        <v>41456</v>
      </c>
      <c r="H1055" s="92" t="s">
        <v>271</v>
      </c>
      <c r="I1055" s="92" t="s">
        <v>272</v>
      </c>
      <c r="J1055" s="92" t="s">
        <v>352</v>
      </c>
      <c r="K1055" s="92" t="s">
        <v>273</v>
      </c>
      <c r="L1055" s="92" t="s">
        <v>347</v>
      </c>
      <c r="M1055" s="92" t="s">
        <v>226</v>
      </c>
      <c r="N1055" s="92" t="s">
        <v>226</v>
      </c>
      <c r="O1055" s="92" t="s">
        <v>231</v>
      </c>
      <c r="P1055" s="92" t="s">
        <v>2266</v>
      </c>
      <c r="Q1055" s="92" t="s">
        <v>2830</v>
      </c>
      <c r="R1055" s="92">
        <v>5</v>
      </c>
      <c r="S1055" s="92">
        <v>191</v>
      </c>
      <c r="T1055" s="9">
        <v>44161</v>
      </c>
      <c r="U1055" s="9">
        <v>44209</v>
      </c>
    </row>
    <row r="1056" spans="1:21" x14ac:dyDescent="0.2">
      <c r="A1056" s="10" t="str">
        <f>HYPERLINK("http://www.ofsted.gov.uk/inspection-reports/find-inspection-report/provider/ELS/138696 ","Ofsted School Webpage")</f>
        <v>Ofsted School Webpage</v>
      </c>
      <c r="B1056" s="92">
        <v>138696</v>
      </c>
      <c r="C1056" s="92">
        <v>3414306</v>
      </c>
      <c r="D1056" s="92" t="s">
        <v>2831</v>
      </c>
      <c r="E1056" s="92" t="s">
        <v>95</v>
      </c>
      <c r="F1056" s="92" t="s">
        <v>429</v>
      </c>
      <c r="G1056" s="9">
        <v>41153</v>
      </c>
      <c r="H1056" s="92" t="s">
        <v>299</v>
      </c>
      <c r="I1056" s="92" t="s">
        <v>300</v>
      </c>
      <c r="J1056" s="92" t="s">
        <v>273</v>
      </c>
      <c r="K1056" s="92" t="s">
        <v>273</v>
      </c>
      <c r="L1056" s="92" t="s">
        <v>274</v>
      </c>
      <c r="M1056" s="92" t="s">
        <v>168</v>
      </c>
      <c r="N1056" s="92" t="s">
        <v>168</v>
      </c>
      <c r="O1056" s="92" t="s">
        <v>170</v>
      </c>
      <c r="P1056" s="92" t="s">
        <v>1067</v>
      </c>
      <c r="Q1056" s="92" t="s">
        <v>2832</v>
      </c>
      <c r="R1056" s="92">
        <v>5</v>
      </c>
      <c r="S1056" s="92">
        <v>1009</v>
      </c>
      <c r="T1056" s="9">
        <v>44161</v>
      </c>
      <c r="U1056" s="9">
        <v>44215</v>
      </c>
    </row>
    <row r="1057" spans="1:21" x14ac:dyDescent="0.2">
      <c r="A1057" s="10" t="str">
        <f>HYPERLINK("http://www.ofsted.gov.uk/inspection-reports/find-inspection-report/provider/ELS/140720 ","Ofsted School Webpage")</f>
        <v>Ofsted School Webpage</v>
      </c>
      <c r="B1057" s="92">
        <v>140720</v>
      </c>
      <c r="C1057" s="92">
        <v>8832942</v>
      </c>
      <c r="D1057" s="92" t="s">
        <v>2833</v>
      </c>
      <c r="E1057" s="92" t="s">
        <v>94</v>
      </c>
      <c r="F1057" s="92" t="s">
        <v>429</v>
      </c>
      <c r="G1057" s="9">
        <v>41730</v>
      </c>
      <c r="H1057" s="92" t="s">
        <v>271</v>
      </c>
      <c r="I1057" s="92" t="s">
        <v>272</v>
      </c>
      <c r="J1057" s="92" t="s">
        <v>273</v>
      </c>
      <c r="K1057" s="92" t="s">
        <v>273</v>
      </c>
      <c r="L1057" s="92" t="s">
        <v>274</v>
      </c>
      <c r="M1057" s="92" t="s">
        <v>110</v>
      </c>
      <c r="N1057" s="92" t="s">
        <v>110</v>
      </c>
      <c r="O1057" s="92" t="s">
        <v>113</v>
      </c>
      <c r="P1057" s="92" t="s">
        <v>2242</v>
      </c>
      <c r="Q1057" s="92" t="s">
        <v>2834</v>
      </c>
      <c r="R1057" s="92">
        <v>3</v>
      </c>
      <c r="S1057" s="92">
        <v>440</v>
      </c>
      <c r="T1057" s="9">
        <v>44161</v>
      </c>
      <c r="U1057" s="9">
        <v>44213</v>
      </c>
    </row>
    <row r="1058" spans="1:21" x14ac:dyDescent="0.2">
      <c r="A1058" s="10" t="str">
        <f>HYPERLINK("http://www.ofsted.gov.uk/inspection-reports/find-inspection-report/provider/ELS/137390 ","Ofsted School Webpage")</f>
        <v>Ofsted School Webpage</v>
      </c>
      <c r="B1058" s="92">
        <v>137390</v>
      </c>
      <c r="C1058" s="92">
        <v>3325405</v>
      </c>
      <c r="D1058" s="92" t="s">
        <v>2835</v>
      </c>
      <c r="E1058" s="92" t="s">
        <v>95</v>
      </c>
      <c r="F1058" s="92" t="s">
        <v>429</v>
      </c>
      <c r="G1058" s="9">
        <v>40787</v>
      </c>
      <c r="H1058" s="92" t="s">
        <v>299</v>
      </c>
      <c r="I1058" s="92" t="s">
        <v>272</v>
      </c>
      <c r="J1058" s="92" t="s">
        <v>410</v>
      </c>
      <c r="K1058" s="92" t="s">
        <v>273</v>
      </c>
      <c r="L1058" s="92" t="s">
        <v>274</v>
      </c>
      <c r="M1058" s="92" t="s">
        <v>226</v>
      </c>
      <c r="N1058" s="92" t="s">
        <v>226</v>
      </c>
      <c r="O1058" s="92" t="s">
        <v>240</v>
      </c>
      <c r="P1058" s="92" t="s">
        <v>977</v>
      </c>
      <c r="Q1058" s="92" t="s">
        <v>2836</v>
      </c>
      <c r="R1058" s="92">
        <v>5</v>
      </c>
      <c r="S1058" s="92">
        <v>587</v>
      </c>
      <c r="T1058" s="9">
        <v>44161</v>
      </c>
      <c r="U1058" s="9">
        <v>44181</v>
      </c>
    </row>
    <row r="1059" spans="1:21" x14ac:dyDescent="0.2">
      <c r="A1059" s="10" t="str">
        <f>HYPERLINK("http://www.ofsted.gov.uk/inspection-reports/find-inspection-report/provider/ELS/136850 ","Ofsted School Webpage")</f>
        <v>Ofsted School Webpage</v>
      </c>
      <c r="B1059" s="92">
        <v>136850</v>
      </c>
      <c r="C1059" s="92">
        <v>8395409</v>
      </c>
      <c r="D1059" s="92" t="s">
        <v>2837</v>
      </c>
      <c r="E1059" s="92" t="s">
        <v>95</v>
      </c>
      <c r="F1059" s="92" t="s">
        <v>429</v>
      </c>
      <c r="G1059" s="9">
        <v>40725</v>
      </c>
      <c r="H1059" s="92" t="s">
        <v>1676</v>
      </c>
      <c r="I1059" s="92" t="s">
        <v>300</v>
      </c>
      <c r="J1059" s="92" t="s">
        <v>410</v>
      </c>
      <c r="K1059" s="92" t="s">
        <v>273</v>
      </c>
      <c r="L1059" s="92" t="s">
        <v>274</v>
      </c>
      <c r="M1059" s="92" t="s">
        <v>211</v>
      </c>
      <c r="N1059" s="92" t="s">
        <v>211</v>
      </c>
      <c r="O1059" s="92" t="s">
        <v>223</v>
      </c>
      <c r="P1059" s="92" t="s">
        <v>905</v>
      </c>
      <c r="Q1059" s="92" t="s">
        <v>2838</v>
      </c>
      <c r="R1059" s="92">
        <v>1</v>
      </c>
      <c r="S1059" s="92">
        <v>1201</v>
      </c>
      <c r="T1059" s="9">
        <v>44161</v>
      </c>
      <c r="U1059" s="9">
        <v>44200</v>
      </c>
    </row>
    <row r="1060" spans="1:21" x14ac:dyDescent="0.2">
      <c r="A1060" s="10" t="str">
        <f>HYPERLINK("http://www.ofsted.gov.uk/inspection-reports/find-inspection-report/provider/ELS/141915 ","Ofsted School Webpage")</f>
        <v>Ofsted School Webpage</v>
      </c>
      <c r="B1060" s="92">
        <v>141915</v>
      </c>
      <c r="C1060" s="92">
        <v>3502060</v>
      </c>
      <c r="D1060" s="92" t="s">
        <v>2839</v>
      </c>
      <c r="E1060" s="92" t="s">
        <v>94</v>
      </c>
      <c r="F1060" s="92" t="s">
        <v>429</v>
      </c>
      <c r="G1060" s="9">
        <v>42095</v>
      </c>
      <c r="H1060" s="92" t="s">
        <v>271</v>
      </c>
      <c r="I1060" s="92" t="s">
        <v>272</v>
      </c>
      <c r="J1060" s="92" t="s">
        <v>273</v>
      </c>
      <c r="K1060" s="92" t="s">
        <v>273</v>
      </c>
      <c r="L1060" s="92" t="s">
        <v>274</v>
      </c>
      <c r="M1060" s="92" t="s">
        <v>168</v>
      </c>
      <c r="N1060" s="92" t="s">
        <v>168</v>
      </c>
      <c r="O1060" s="92" t="s">
        <v>187</v>
      </c>
      <c r="P1060" s="92" t="s">
        <v>1111</v>
      </c>
      <c r="Q1060" s="92" t="s">
        <v>2840</v>
      </c>
      <c r="R1060" s="92">
        <v>2</v>
      </c>
      <c r="S1060" s="92">
        <v>277</v>
      </c>
      <c r="T1060" s="9">
        <v>44161</v>
      </c>
      <c r="U1060" s="9">
        <v>44200</v>
      </c>
    </row>
    <row r="1061" spans="1:21" x14ac:dyDescent="0.2">
      <c r="A1061" s="10" t="str">
        <f>HYPERLINK("http://www.ofsted.gov.uk/inspection-reports/find-inspection-report/provider/ELS/134674 ","Ofsted School Webpage")</f>
        <v>Ofsted School Webpage</v>
      </c>
      <c r="B1061" s="92">
        <v>134674</v>
      </c>
      <c r="C1061" s="92">
        <v>8781008</v>
      </c>
      <c r="D1061" s="92" t="s">
        <v>2841</v>
      </c>
      <c r="E1061" s="92" t="s">
        <v>93</v>
      </c>
      <c r="F1061" s="92" t="s">
        <v>592</v>
      </c>
      <c r="G1061" s="9">
        <v>38596</v>
      </c>
      <c r="H1061" s="92" t="s">
        <v>271</v>
      </c>
      <c r="I1061" s="92" t="s">
        <v>271</v>
      </c>
      <c r="J1061" s="92" t="s">
        <v>273</v>
      </c>
      <c r="K1061" s="92" t="s">
        <v>273</v>
      </c>
      <c r="L1061" s="92" t="s">
        <v>274</v>
      </c>
      <c r="M1061" s="92" t="s">
        <v>211</v>
      </c>
      <c r="N1061" s="92" t="s">
        <v>211</v>
      </c>
      <c r="O1061" s="92" t="s">
        <v>220</v>
      </c>
      <c r="P1061" s="92" t="s">
        <v>513</v>
      </c>
      <c r="Q1061" s="92" t="s">
        <v>2842</v>
      </c>
      <c r="R1061" s="92">
        <v>1</v>
      </c>
      <c r="S1061" s="92">
        <v>153</v>
      </c>
      <c r="T1061" s="9">
        <v>44161</v>
      </c>
      <c r="U1061" s="9">
        <v>44213</v>
      </c>
    </row>
    <row r="1062" spans="1:21" x14ac:dyDescent="0.2">
      <c r="A1062" s="10" t="str">
        <f>HYPERLINK("http://www.ofsted.gov.uk/inspection-reports/find-inspection-report/provider/ELS/137467 ","Ofsted School Webpage")</f>
        <v>Ofsted School Webpage</v>
      </c>
      <c r="B1062" s="92">
        <v>137467</v>
      </c>
      <c r="C1062" s="92">
        <v>8862233</v>
      </c>
      <c r="D1062" s="92" t="s">
        <v>2843</v>
      </c>
      <c r="E1062" s="92" t="s">
        <v>94</v>
      </c>
      <c r="F1062" s="92" t="s">
        <v>429</v>
      </c>
      <c r="G1062" s="9">
        <v>40787</v>
      </c>
      <c r="H1062" s="92" t="s">
        <v>271</v>
      </c>
      <c r="I1062" s="92" t="s">
        <v>271</v>
      </c>
      <c r="J1062" s="92" t="s">
        <v>273</v>
      </c>
      <c r="K1062" s="92" t="s">
        <v>273</v>
      </c>
      <c r="L1062" s="92" t="s">
        <v>274</v>
      </c>
      <c r="M1062" s="92" t="s">
        <v>192</v>
      </c>
      <c r="N1062" s="92" t="s">
        <v>192</v>
      </c>
      <c r="O1062" s="92" t="s">
        <v>194</v>
      </c>
      <c r="P1062" s="92" t="s">
        <v>1218</v>
      </c>
      <c r="Q1062" s="92" t="s">
        <v>2844</v>
      </c>
      <c r="R1062" s="92">
        <v>3</v>
      </c>
      <c r="S1062" s="92">
        <v>41</v>
      </c>
      <c r="T1062" s="9">
        <v>44161</v>
      </c>
      <c r="U1062" s="9">
        <v>44209</v>
      </c>
    </row>
    <row r="1063" spans="1:21" x14ac:dyDescent="0.2">
      <c r="A1063" s="10" t="str">
        <f>HYPERLINK("http://www.ofsted.gov.uk/inspection-reports/find-inspection-report/provider/ELS/134193 ","Ofsted School Webpage")</f>
        <v>Ofsted School Webpage</v>
      </c>
      <c r="B1063" s="92">
        <v>134193</v>
      </c>
      <c r="C1063" s="92">
        <v>8737001</v>
      </c>
      <c r="D1063" s="92" t="s">
        <v>2845</v>
      </c>
      <c r="E1063" s="92" t="s">
        <v>96</v>
      </c>
      <c r="F1063" s="92" t="s">
        <v>401</v>
      </c>
      <c r="G1063" s="9">
        <v>37865</v>
      </c>
      <c r="H1063" s="92" t="s">
        <v>271</v>
      </c>
      <c r="I1063" s="92" t="s">
        <v>271</v>
      </c>
      <c r="J1063" s="92" t="s">
        <v>273</v>
      </c>
      <c r="K1063" s="92" t="s">
        <v>273</v>
      </c>
      <c r="L1063" s="92" t="s">
        <v>274</v>
      </c>
      <c r="M1063" s="92" t="s">
        <v>110</v>
      </c>
      <c r="N1063" s="92" t="s">
        <v>110</v>
      </c>
      <c r="O1063" s="92" t="s">
        <v>112</v>
      </c>
      <c r="P1063" s="92" t="s">
        <v>810</v>
      </c>
      <c r="Q1063" s="92" t="s">
        <v>2846</v>
      </c>
      <c r="R1063" s="92">
        <v>3</v>
      </c>
      <c r="S1063" s="92">
        <v>75</v>
      </c>
      <c r="T1063" s="9">
        <v>44161</v>
      </c>
      <c r="U1063" s="9">
        <v>44213</v>
      </c>
    </row>
    <row r="1064" spans="1:21" x14ac:dyDescent="0.2">
      <c r="A1064" s="10" t="str">
        <f>HYPERLINK("http://www.ofsted.gov.uk/inspection-reports/find-inspection-report/provider/ELS/103766 ","Ofsted School Webpage")</f>
        <v>Ofsted School Webpage</v>
      </c>
      <c r="B1064" s="92">
        <v>103766</v>
      </c>
      <c r="C1064" s="92">
        <v>3321000</v>
      </c>
      <c r="D1064" s="92" t="s">
        <v>2847</v>
      </c>
      <c r="E1064" s="92" t="s">
        <v>93</v>
      </c>
      <c r="F1064" s="92" t="s">
        <v>592</v>
      </c>
      <c r="G1064" s="92" t="s">
        <v>270</v>
      </c>
      <c r="H1064" s="92" t="s">
        <v>271</v>
      </c>
      <c r="I1064" s="92" t="s">
        <v>271</v>
      </c>
      <c r="J1064" s="92" t="s">
        <v>273</v>
      </c>
      <c r="K1064" s="92" t="s">
        <v>273</v>
      </c>
      <c r="L1064" s="92" t="s">
        <v>274</v>
      </c>
      <c r="M1064" s="92" t="s">
        <v>226</v>
      </c>
      <c r="N1064" s="92" t="s">
        <v>226</v>
      </c>
      <c r="O1064" s="92" t="s">
        <v>240</v>
      </c>
      <c r="P1064" s="92" t="s">
        <v>2848</v>
      </c>
      <c r="Q1064" s="92" t="s">
        <v>2849</v>
      </c>
      <c r="R1064" s="92">
        <v>4</v>
      </c>
      <c r="S1064" s="92">
        <v>113</v>
      </c>
      <c r="T1064" s="9">
        <v>44161</v>
      </c>
      <c r="U1064" s="9">
        <v>44209</v>
      </c>
    </row>
    <row r="1065" spans="1:21" x14ac:dyDescent="0.2">
      <c r="A1065" s="10" t="str">
        <f>HYPERLINK("http://www.ofsted.gov.uk/inspection-reports/find-inspection-report/provider/ELS/122947 ","Ofsted School Webpage")</f>
        <v>Ofsted School Webpage</v>
      </c>
      <c r="B1065" s="92">
        <v>122947</v>
      </c>
      <c r="C1065" s="92">
        <v>8917009</v>
      </c>
      <c r="D1065" s="92" t="s">
        <v>2850</v>
      </c>
      <c r="E1065" s="92" t="s">
        <v>96</v>
      </c>
      <c r="F1065" s="92" t="s">
        <v>401</v>
      </c>
      <c r="G1065" s="92" t="s">
        <v>270</v>
      </c>
      <c r="H1065" s="92" t="s">
        <v>271</v>
      </c>
      <c r="I1065" s="92" t="s">
        <v>300</v>
      </c>
      <c r="J1065" s="92" t="s">
        <v>273</v>
      </c>
      <c r="K1065" s="92" t="s">
        <v>273</v>
      </c>
      <c r="L1065" s="92" t="s">
        <v>274</v>
      </c>
      <c r="M1065" s="92" t="s">
        <v>100</v>
      </c>
      <c r="N1065" s="92" t="s">
        <v>100</v>
      </c>
      <c r="O1065" s="92" t="s">
        <v>105</v>
      </c>
      <c r="P1065" s="92" t="s">
        <v>470</v>
      </c>
      <c r="Q1065" s="92" t="s">
        <v>2851</v>
      </c>
      <c r="R1065" s="92">
        <v>4</v>
      </c>
      <c r="S1065" s="92">
        <v>78</v>
      </c>
      <c r="T1065" s="9">
        <v>44161</v>
      </c>
      <c r="U1065" s="9">
        <v>44209</v>
      </c>
    </row>
    <row r="1066" spans="1:21" x14ac:dyDescent="0.2">
      <c r="A1066" s="10" t="str">
        <f>HYPERLINK("http://www.ofsted.gov.uk/inspection-reports/find-inspection-report/provider/ELS/126480 ","Ofsted School Webpage")</f>
        <v>Ofsted School Webpage</v>
      </c>
      <c r="B1066" s="92">
        <v>126480</v>
      </c>
      <c r="C1066" s="92">
        <v>8655206</v>
      </c>
      <c r="D1066" s="92" t="s">
        <v>2852</v>
      </c>
      <c r="E1066" s="92" t="s">
        <v>94</v>
      </c>
      <c r="F1066" s="92" t="s">
        <v>397</v>
      </c>
      <c r="G1066" s="92" t="s">
        <v>270</v>
      </c>
      <c r="H1066" s="92" t="s">
        <v>271</v>
      </c>
      <c r="I1066" s="92" t="s">
        <v>272</v>
      </c>
      <c r="J1066" s="92" t="s">
        <v>410</v>
      </c>
      <c r="K1066" s="92" t="s">
        <v>273</v>
      </c>
      <c r="L1066" s="92" t="s">
        <v>274</v>
      </c>
      <c r="M1066" s="92" t="s">
        <v>211</v>
      </c>
      <c r="N1066" s="92" t="s">
        <v>211</v>
      </c>
      <c r="O1066" s="92" t="s">
        <v>225</v>
      </c>
      <c r="P1066" s="92" t="s">
        <v>2009</v>
      </c>
      <c r="Q1066" s="92" t="s">
        <v>2853</v>
      </c>
      <c r="R1066" s="92">
        <v>5</v>
      </c>
      <c r="S1066" s="92">
        <v>209</v>
      </c>
      <c r="T1066" s="9">
        <v>44161</v>
      </c>
      <c r="U1066" s="9">
        <v>44200</v>
      </c>
    </row>
    <row r="1067" spans="1:21" x14ac:dyDescent="0.2">
      <c r="A1067" s="10" t="str">
        <f>HYPERLINK("http://www.ofsted.gov.uk/inspection-reports/find-inspection-report/provider/ELS/119774 ","Ofsted School Webpage")</f>
        <v>Ofsted School Webpage</v>
      </c>
      <c r="B1067" s="92">
        <v>119774</v>
      </c>
      <c r="C1067" s="92">
        <v>8884411</v>
      </c>
      <c r="D1067" s="92" t="s">
        <v>2854</v>
      </c>
      <c r="E1067" s="92" t="s">
        <v>95</v>
      </c>
      <c r="F1067" s="92" t="s">
        <v>397</v>
      </c>
      <c r="G1067" s="92" t="s">
        <v>270</v>
      </c>
      <c r="H1067" s="92" t="s">
        <v>299</v>
      </c>
      <c r="I1067" s="92" t="s">
        <v>272</v>
      </c>
      <c r="J1067" s="92" t="s">
        <v>273</v>
      </c>
      <c r="K1067" s="92" t="s">
        <v>273</v>
      </c>
      <c r="L1067" s="92" t="s">
        <v>274</v>
      </c>
      <c r="M1067" s="92" t="s">
        <v>168</v>
      </c>
      <c r="N1067" s="92" t="s">
        <v>168</v>
      </c>
      <c r="O1067" s="92" t="s">
        <v>169</v>
      </c>
      <c r="P1067" s="92" t="s">
        <v>2855</v>
      </c>
      <c r="Q1067" s="92" t="s">
        <v>2856</v>
      </c>
      <c r="R1067" s="92">
        <v>5</v>
      </c>
      <c r="S1067" s="92">
        <v>537</v>
      </c>
      <c r="T1067" s="9">
        <v>44161</v>
      </c>
      <c r="U1067" s="9">
        <v>44209</v>
      </c>
    </row>
    <row r="1068" spans="1:21" x14ac:dyDescent="0.2">
      <c r="A1068" s="10" t="str">
        <f>HYPERLINK("http://www.ofsted.gov.uk/inspection-reports/find-inspection-report/provider/ELS/119386 ","Ofsted School Webpage")</f>
        <v>Ofsted School Webpage</v>
      </c>
      <c r="B1068" s="92">
        <v>119386</v>
      </c>
      <c r="C1068" s="92">
        <v>8883105</v>
      </c>
      <c r="D1068" s="92" t="s">
        <v>2857</v>
      </c>
      <c r="E1068" s="92" t="s">
        <v>94</v>
      </c>
      <c r="F1068" s="92" t="s">
        <v>345</v>
      </c>
      <c r="G1068" s="92" t="s">
        <v>270</v>
      </c>
      <c r="H1068" s="92" t="s">
        <v>271</v>
      </c>
      <c r="I1068" s="92" t="s">
        <v>272</v>
      </c>
      <c r="J1068" s="92" t="s">
        <v>346</v>
      </c>
      <c r="K1068" s="92" t="s">
        <v>273</v>
      </c>
      <c r="L1068" s="92" t="s">
        <v>347</v>
      </c>
      <c r="M1068" s="92" t="s">
        <v>168</v>
      </c>
      <c r="N1068" s="92" t="s">
        <v>168</v>
      </c>
      <c r="O1068" s="92" t="s">
        <v>169</v>
      </c>
      <c r="P1068" s="92" t="s">
        <v>377</v>
      </c>
      <c r="Q1068" s="92" t="s">
        <v>2858</v>
      </c>
      <c r="R1068" s="92">
        <v>5</v>
      </c>
      <c r="S1068" s="92">
        <v>163</v>
      </c>
      <c r="T1068" s="9">
        <v>44161</v>
      </c>
      <c r="U1068" s="9">
        <v>44213</v>
      </c>
    </row>
    <row r="1069" spans="1:21" x14ac:dyDescent="0.2">
      <c r="A1069" s="10" t="str">
        <f>HYPERLINK("http://www.ofsted.gov.uk/inspection-reports/find-inspection-report/provider/ELS/120629 ","Ofsted School Webpage")</f>
        <v>Ofsted School Webpage</v>
      </c>
      <c r="B1069" s="92">
        <v>120629</v>
      </c>
      <c r="C1069" s="92">
        <v>9253171</v>
      </c>
      <c r="D1069" s="92" t="s">
        <v>2859</v>
      </c>
      <c r="E1069" s="92" t="s">
        <v>94</v>
      </c>
      <c r="F1069" s="92" t="s">
        <v>345</v>
      </c>
      <c r="G1069" s="92" t="s">
        <v>270</v>
      </c>
      <c r="H1069" s="92" t="s">
        <v>271</v>
      </c>
      <c r="I1069" s="92" t="s">
        <v>272</v>
      </c>
      <c r="J1069" s="92" t="s">
        <v>346</v>
      </c>
      <c r="K1069" s="92" t="s">
        <v>273</v>
      </c>
      <c r="L1069" s="92" t="s">
        <v>347</v>
      </c>
      <c r="M1069" s="92" t="s">
        <v>100</v>
      </c>
      <c r="N1069" s="92" t="s">
        <v>100</v>
      </c>
      <c r="O1069" s="92" t="s">
        <v>104</v>
      </c>
      <c r="P1069" s="92" t="s">
        <v>1197</v>
      </c>
      <c r="Q1069" s="92" t="s">
        <v>2860</v>
      </c>
      <c r="R1069" s="92">
        <v>3</v>
      </c>
      <c r="S1069" s="92">
        <v>144</v>
      </c>
      <c r="T1069" s="9">
        <v>44161</v>
      </c>
      <c r="U1069" s="9">
        <v>44209</v>
      </c>
    </row>
    <row r="1070" spans="1:21" x14ac:dyDescent="0.2">
      <c r="A1070" s="10" t="str">
        <f>HYPERLINK("http://www.ofsted.gov.uk/inspection-reports/find-inspection-report/provider/ELS/114347 ","Ofsted School Webpage")</f>
        <v>Ofsted School Webpage</v>
      </c>
      <c r="B1070" s="92">
        <v>114347</v>
      </c>
      <c r="C1070" s="92">
        <v>8407030</v>
      </c>
      <c r="D1070" s="92" t="s">
        <v>2861</v>
      </c>
      <c r="E1070" s="92" t="s">
        <v>96</v>
      </c>
      <c r="F1070" s="92" t="s">
        <v>401</v>
      </c>
      <c r="G1070" s="92" t="s">
        <v>270</v>
      </c>
      <c r="H1070" s="92" t="s">
        <v>271</v>
      </c>
      <c r="I1070" s="92" t="s">
        <v>271</v>
      </c>
      <c r="J1070" s="92" t="s">
        <v>273</v>
      </c>
      <c r="K1070" s="92" t="s">
        <v>273</v>
      </c>
      <c r="L1070" s="92" t="s">
        <v>274</v>
      </c>
      <c r="M1070" s="92" t="s">
        <v>261</v>
      </c>
      <c r="N1070" s="92" t="s">
        <v>155</v>
      </c>
      <c r="O1070" s="92" t="s">
        <v>163</v>
      </c>
      <c r="P1070" s="92" t="s">
        <v>1601</v>
      </c>
      <c r="Q1070" s="92" t="s">
        <v>2862</v>
      </c>
      <c r="R1070" s="92">
        <v>5</v>
      </c>
      <c r="S1070" s="92">
        <v>79</v>
      </c>
      <c r="T1070" s="9">
        <v>44161</v>
      </c>
      <c r="U1070" s="9">
        <v>44209</v>
      </c>
    </row>
    <row r="1071" spans="1:21" x14ac:dyDescent="0.2">
      <c r="A1071" s="10" t="str">
        <f>HYPERLINK("http://www.ofsted.gov.uk/inspection-reports/find-inspection-report/provider/ELS/135177 ","Ofsted School Webpage")</f>
        <v>Ofsted School Webpage</v>
      </c>
      <c r="B1071" s="92">
        <v>135177</v>
      </c>
      <c r="C1071" s="92">
        <v>8653471</v>
      </c>
      <c r="D1071" s="92" t="s">
        <v>2863</v>
      </c>
      <c r="E1071" s="92" t="s">
        <v>94</v>
      </c>
      <c r="F1071" s="92" t="s">
        <v>397</v>
      </c>
      <c r="G1071" s="9">
        <v>39326</v>
      </c>
      <c r="H1071" s="92" t="s">
        <v>271</v>
      </c>
      <c r="I1071" s="92" t="s">
        <v>272</v>
      </c>
      <c r="J1071" s="92" t="s">
        <v>273</v>
      </c>
      <c r="K1071" s="92" t="s">
        <v>273</v>
      </c>
      <c r="L1071" s="92" t="s">
        <v>274</v>
      </c>
      <c r="M1071" s="92" t="s">
        <v>211</v>
      </c>
      <c r="N1071" s="92" t="s">
        <v>211</v>
      </c>
      <c r="O1071" s="92" t="s">
        <v>225</v>
      </c>
      <c r="P1071" s="92" t="s">
        <v>1337</v>
      </c>
      <c r="Q1071" s="92" t="s">
        <v>2864</v>
      </c>
      <c r="R1071" s="92">
        <v>1</v>
      </c>
      <c r="S1071" s="92">
        <v>357</v>
      </c>
      <c r="T1071" s="9">
        <v>44161</v>
      </c>
      <c r="U1071" s="9">
        <v>44213</v>
      </c>
    </row>
    <row r="1072" spans="1:21" x14ac:dyDescent="0.2">
      <c r="A1072" s="10" t="str">
        <f>HYPERLINK("http://www.ofsted.gov.uk/inspection-reports/find-inspection-report/provider/ELS/125985 ","Ofsted School Webpage")</f>
        <v>Ofsted School Webpage</v>
      </c>
      <c r="B1072" s="92">
        <v>125985</v>
      </c>
      <c r="C1072" s="92">
        <v>9383020</v>
      </c>
      <c r="D1072" s="92" t="s">
        <v>2865</v>
      </c>
      <c r="E1072" s="92" t="s">
        <v>94</v>
      </c>
      <c r="F1072" s="92" t="s">
        <v>345</v>
      </c>
      <c r="G1072" s="92" t="s">
        <v>270</v>
      </c>
      <c r="H1072" s="92" t="s">
        <v>271</v>
      </c>
      <c r="I1072" s="92" t="s">
        <v>272</v>
      </c>
      <c r="J1072" s="92" t="s">
        <v>346</v>
      </c>
      <c r="K1072" s="92" t="s">
        <v>273</v>
      </c>
      <c r="L1072" s="92" t="s">
        <v>347</v>
      </c>
      <c r="M1072" s="92" t="s">
        <v>192</v>
      </c>
      <c r="N1072" s="92" t="s">
        <v>192</v>
      </c>
      <c r="O1072" s="92" t="s">
        <v>200</v>
      </c>
      <c r="P1072" s="92" t="s">
        <v>2866</v>
      </c>
      <c r="Q1072" s="92" t="s">
        <v>2867</v>
      </c>
      <c r="R1072" s="92">
        <v>1</v>
      </c>
      <c r="S1072" s="92">
        <v>149</v>
      </c>
      <c r="T1072" s="9">
        <v>44161</v>
      </c>
      <c r="U1072" s="9">
        <v>44200</v>
      </c>
    </row>
    <row r="1073" spans="1:21" x14ac:dyDescent="0.2">
      <c r="A1073" s="10" t="str">
        <f>HYPERLINK("http://www.ofsted.gov.uk/inspection-reports/find-inspection-report/provider/ELS/107440 ","Ofsted School Webpage")</f>
        <v>Ofsted School Webpage</v>
      </c>
      <c r="B1073" s="92">
        <v>107440</v>
      </c>
      <c r="C1073" s="92">
        <v>3805401</v>
      </c>
      <c r="D1073" s="92" t="s">
        <v>2868</v>
      </c>
      <c r="E1073" s="92" t="s">
        <v>95</v>
      </c>
      <c r="F1073" s="92" t="s">
        <v>397</v>
      </c>
      <c r="G1073" s="9">
        <v>1</v>
      </c>
      <c r="H1073" s="92" t="s">
        <v>299</v>
      </c>
      <c r="I1073" s="92" t="s">
        <v>300</v>
      </c>
      <c r="J1073" s="92" t="s">
        <v>410</v>
      </c>
      <c r="K1073" s="92" t="s">
        <v>273</v>
      </c>
      <c r="L1073" s="92" t="s">
        <v>274</v>
      </c>
      <c r="M1073" s="92" t="s">
        <v>261</v>
      </c>
      <c r="N1073" s="92" t="s">
        <v>241</v>
      </c>
      <c r="O1073" s="92" t="s">
        <v>250</v>
      </c>
      <c r="P1073" s="92" t="s">
        <v>967</v>
      </c>
      <c r="Q1073" s="92" t="s">
        <v>2869</v>
      </c>
      <c r="R1073" s="92">
        <v>4</v>
      </c>
      <c r="S1073" s="92">
        <v>1635</v>
      </c>
      <c r="T1073" s="9">
        <v>44161</v>
      </c>
      <c r="U1073" s="9">
        <v>44209</v>
      </c>
    </row>
    <row r="1074" spans="1:21" x14ac:dyDescent="0.2">
      <c r="A1074" s="10" t="str">
        <f>HYPERLINK("http://www.ofsted.gov.uk/inspection-reports/find-inspection-report/provider/ELS/109703 ","Ofsted School Webpage")</f>
        <v>Ofsted School Webpage</v>
      </c>
      <c r="B1074" s="92">
        <v>109703</v>
      </c>
      <c r="C1074" s="92">
        <v>8235202</v>
      </c>
      <c r="D1074" s="92" t="s">
        <v>2870</v>
      </c>
      <c r="E1074" s="92" t="s">
        <v>94</v>
      </c>
      <c r="F1074" s="92" t="s">
        <v>351</v>
      </c>
      <c r="G1074" s="92" t="s">
        <v>270</v>
      </c>
      <c r="H1074" s="92" t="s">
        <v>271</v>
      </c>
      <c r="I1074" s="92" t="s">
        <v>272</v>
      </c>
      <c r="J1074" s="92" t="s">
        <v>346</v>
      </c>
      <c r="K1074" s="92" t="s">
        <v>273</v>
      </c>
      <c r="L1074" s="92" t="s">
        <v>347</v>
      </c>
      <c r="M1074" s="92" t="s">
        <v>110</v>
      </c>
      <c r="N1074" s="92" t="s">
        <v>110</v>
      </c>
      <c r="O1074" s="92" t="s">
        <v>120</v>
      </c>
      <c r="P1074" s="92" t="s">
        <v>1099</v>
      </c>
      <c r="Q1074" s="92" t="s">
        <v>2871</v>
      </c>
      <c r="R1074" s="92">
        <v>3</v>
      </c>
      <c r="S1074" s="92">
        <v>199</v>
      </c>
      <c r="T1074" s="9">
        <v>44161</v>
      </c>
      <c r="U1074" s="9">
        <v>44201</v>
      </c>
    </row>
    <row r="1075" spans="1:21" x14ac:dyDescent="0.2">
      <c r="A1075" s="10" t="str">
        <f>HYPERLINK("http://www.ofsted.gov.uk/inspection-reports/find-inspection-report/provider/ELS/104454 ","Ofsted School Webpage")</f>
        <v>Ofsted School Webpage</v>
      </c>
      <c r="B1075" s="92">
        <v>104454</v>
      </c>
      <c r="C1075" s="92">
        <v>3403307</v>
      </c>
      <c r="D1075" s="92" t="s">
        <v>2778</v>
      </c>
      <c r="E1075" s="92" t="s">
        <v>94</v>
      </c>
      <c r="F1075" s="92" t="s">
        <v>351</v>
      </c>
      <c r="G1075" s="92" t="s">
        <v>270</v>
      </c>
      <c r="H1075" s="92" t="s">
        <v>271</v>
      </c>
      <c r="I1075" s="92" t="s">
        <v>272</v>
      </c>
      <c r="J1075" s="92" t="s">
        <v>352</v>
      </c>
      <c r="K1075" s="92" t="s">
        <v>273</v>
      </c>
      <c r="L1075" s="92" t="s">
        <v>347</v>
      </c>
      <c r="M1075" s="92" t="s">
        <v>168</v>
      </c>
      <c r="N1075" s="92" t="s">
        <v>168</v>
      </c>
      <c r="O1075" s="92" t="s">
        <v>178</v>
      </c>
      <c r="P1075" s="92" t="s">
        <v>2185</v>
      </c>
      <c r="Q1075" s="92" t="s">
        <v>2872</v>
      </c>
      <c r="R1075" s="92">
        <v>1</v>
      </c>
      <c r="S1075" s="92">
        <v>211</v>
      </c>
      <c r="T1075" s="9">
        <v>44161</v>
      </c>
      <c r="U1075" s="9">
        <v>44209</v>
      </c>
    </row>
    <row r="1076" spans="1:21" x14ac:dyDescent="0.2">
      <c r="A1076" s="10" t="str">
        <f>HYPERLINK("http://www.ofsted.gov.uk/inspection-reports/find-inspection-report/provider/ELS/105989 ","Ofsted School Webpage")</f>
        <v>Ofsted School Webpage</v>
      </c>
      <c r="B1076" s="92">
        <v>105989</v>
      </c>
      <c r="C1076" s="92">
        <v>3555400</v>
      </c>
      <c r="D1076" s="92" t="s">
        <v>2873</v>
      </c>
      <c r="E1076" s="92" t="s">
        <v>95</v>
      </c>
      <c r="F1076" s="92" t="s">
        <v>351</v>
      </c>
      <c r="G1076" s="92" t="s">
        <v>270</v>
      </c>
      <c r="H1076" s="92" t="s">
        <v>299</v>
      </c>
      <c r="I1076" s="92" t="s">
        <v>272</v>
      </c>
      <c r="J1076" s="92" t="s">
        <v>352</v>
      </c>
      <c r="K1076" s="92" t="s">
        <v>273</v>
      </c>
      <c r="L1076" s="92" t="s">
        <v>347</v>
      </c>
      <c r="M1076" s="92" t="s">
        <v>168</v>
      </c>
      <c r="N1076" s="92" t="s">
        <v>168</v>
      </c>
      <c r="O1076" s="92" t="s">
        <v>191</v>
      </c>
      <c r="P1076" s="92" t="s">
        <v>2222</v>
      </c>
      <c r="Q1076" s="92" t="s">
        <v>2874</v>
      </c>
      <c r="R1076" s="92">
        <v>4</v>
      </c>
      <c r="S1076" s="92">
        <v>1041</v>
      </c>
      <c r="T1076" s="9">
        <v>44161</v>
      </c>
      <c r="U1076" s="9">
        <v>44217</v>
      </c>
    </row>
    <row r="1077" spans="1:21" x14ac:dyDescent="0.2">
      <c r="A1077" s="10" t="str">
        <f>HYPERLINK("http://www.ofsted.gov.uk/inspection-reports/find-inspection-report/provider/ELS/110472 ","Ofsted School Webpage")</f>
        <v>Ofsted School Webpage</v>
      </c>
      <c r="B1077" s="92">
        <v>110472</v>
      </c>
      <c r="C1077" s="92">
        <v>8263348</v>
      </c>
      <c r="D1077" s="92" t="s">
        <v>2875</v>
      </c>
      <c r="E1077" s="92" t="s">
        <v>94</v>
      </c>
      <c r="F1077" s="92" t="s">
        <v>351</v>
      </c>
      <c r="G1077" s="9">
        <v>1</v>
      </c>
      <c r="H1077" s="92" t="s">
        <v>271</v>
      </c>
      <c r="I1077" s="92" t="s">
        <v>271</v>
      </c>
      <c r="J1077" s="92" t="s">
        <v>346</v>
      </c>
      <c r="K1077" s="92" t="s">
        <v>273</v>
      </c>
      <c r="L1077" s="92" t="s">
        <v>347</v>
      </c>
      <c r="M1077" s="92" t="s">
        <v>192</v>
      </c>
      <c r="N1077" s="92" t="s">
        <v>192</v>
      </c>
      <c r="O1077" s="92" t="s">
        <v>209</v>
      </c>
      <c r="P1077" s="92" t="s">
        <v>1955</v>
      </c>
      <c r="Q1077" s="92" t="s">
        <v>2876</v>
      </c>
      <c r="R1077" s="92">
        <v>4</v>
      </c>
      <c r="S1077" s="92">
        <v>401</v>
      </c>
      <c r="T1077" s="9">
        <v>44161</v>
      </c>
      <c r="U1077" s="9">
        <v>44180</v>
      </c>
    </row>
    <row r="1078" spans="1:21" x14ac:dyDescent="0.2">
      <c r="A1078" s="10" t="str">
        <f>HYPERLINK("http://www.ofsted.gov.uk/inspection-reports/find-inspection-report/provider/ELS/112337 ","Ofsted School Webpage")</f>
        <v>Ofsted School Webpage</v>
      </c>
      <c r="B1078" s="92">
        <v>112337</v>
      </c>
      <c r="C1078" s="92">
        <v>9093410</v>
      </c>
      <c r="D1078" s="92" t="s">
        <v>2877</v>
      </c>
      <c r="E1078" s="92" t="s">
        <v>94</v>
      </c>
      <c r="F1078" s="92" t="s">
        <v>351</v>
      </c>
      <c r="G1078" s="92" t="s">
        <v>270</v>
      </c>
      <c r="H1078" s="92" t="s">
        <v>271</v>
      </c>
      <c r="I1078" s="92" t="s">
        <v>272</v>
      </c>
      <c r="J1078" s="92" t="s">
        <v>352</v>
      </c>
      <c r="K1078" s="92" t="s">
        <v>273</v>
      </c>
      <c r="L1078" s="92" t="s">
        <v>347</v>
      </c>
      <c r="M1078" s="92" t="s">
        <v>168</v>
      </c>
      <c r="N1078" s="92" t="s">
        <v>168</v>
      </c>
      <c r="O1078" s="92" t="s">
        <v>176</v>
      </c>
      <c r="P1078" s="92" t="s">
        <v>874</v>
      </c>
      <c r="Q1078" s="92" t="s">
        <v>2878</v>
      </c>
      <c r="R1078" s="92">
        <v>5</v>
      </c>
      <c r="S1078" s="92">
        <v>214</v>
      </c>
      <c r="T1078" s="9">
        <v>44161</v>
      </c>
      <c r="U1078" s="9">
        <v>44216</v>
      </c>
    </row>
    <row r="1079" spans="1:21" x14ac:dyDescent="0.2">
      <c r="A1079" s="10" t="str">
        <f>HYPERLINK("http://www.ofsted.gov.uk/inspection-reports/find-inspection-report/provider/ELS/114283 ","Ofsted School Webpage")</f>
        <v>Ofsted School Webpage</v>
      </c>
      <c r="B1079" s="92">
        <v>114283</v>
      </c>
      <c r="C1079" s="92">
        <v>8403511</v>
      </c>
      <c r="D1079" s="92" t="s">
        <v>2879</v>
      </c>
      <c r="E1079" s="92" t="s">
        <v>94</v>
      </c>
      <c r="F1079" s="92" t="s">
        <v>351</v>
      </c>
      <c r="G1079" s="92" t="s">
        <v>270</v>
      </c>
      <c r="H1079" s="92" t="s">
        <v>271</v>
      </c>
      <c r="I1079" s="92" t="s">
        <v>272</v>
      </c>
      <c r="J1079" s="92" t="s">
        <v>352</v>
      </c>
      <c r="K1079" s="92" t="s">
        <v>273</v>
      </c>
      <c r="L1079" s="92" t="s">
        <v>347</v>
      </c>
      <c r="M1079" s="92" t="s">
        <v>261</v>
      </c>
      <c r="N1079" s="92" t="s">
        <v>155</v>
      </c>
      <c r="O1079" s="92" t="s">
        <v>163</v>
      </c>
      <c r="P1079" s="92" t="s">
        <v>1466</v>
      </c>
      <c r="Q1079" s="92" t="s">
        <v>2880</v>
      </c>
      <c r="R1079" s="92">
        <v>5</v>
      </c>
      <c r="S1079" s="92">
        <v>67</v>
      </c>
      <c r="T1079" s="9">
        <v>44161</v>
      </c>
      <c r="U1079" s="9">
        <v>44213</v>
      </c>
    </row>
    <row r="1080" spans="1:21" x14ac:dyDescent="0.2">
      <c r="A1080" s="10" t="str">
        <f>HYPERLINK("http://www.ofsted.gov.uk/inspection-reports/find-inspection-report/provider/ELS/110839 ","Ofsted School Webpage")</f>
        <v>Ofsted School Webpage</v>
      </c>
      <c r="B1080" s="92">
        <v>110839</v>
      </c>
      <c r="C1080" s="92">
        <v>8733356</v>
      </c>
      <c r="D1080" s="92" t="s">
        <v>2881</v>
      </c>
      <c r="E1080" s="92" t="s">
        <v>94</v>
      </c>
      <c r="F1080" s="92" t="s">
        <v>351</v>
      </c>
      <c r="G1080" s="92" t="s">
        <v>270</v>
      </c>
      <c r="H1080" s="92" t="s">
        <v>271</v>
      </c>
      <c r="I1080" s="92" t="s">
        <v>272</v>
      </c>
      <c r="J1080" s="92" t="s">
        <v>346</v>
      </c>
      <c r="K1080" s="92" t="s">
        <v>273</v>
      </c>
      <c r="L1080" s="92" t="s">
        <v>347</v>
      </c>
      <c r="M1080" s="92" t="s">
        <v>110</v>
      </c>
      <c r="N1080" s="92" t="s">
        <v>110</v>
      </c>
      <c r="O1080" s="92" t="s">
        <v>112</v>
      </c>
      <c r="P1080" s="92" t="s">
        <v>891</v>
      </c>
      <c r="Q1080" s="92" t="s">
        <v>2882</v>
      </c>
      <c r="R1080" s="92">
        <v>2</v>
      </c>
      <c r="S1080" s="92">
        <v>185</v>
      </c>
      <c r="T1080" s="9">
        <v>44161</v>
      </c>
      <c r="U1080" s="9">
        <v>44200</v>
      </c>
    </row>
    <row r="1081" spans="1:21" x14ac:dyDescent="0.2">
      <c r="A1081" s="10" t="str">
        <f>HYPERLINK("http://www.ofsted.gov.uk/inspection-reports/find-inspection-report/provider/ELS/116465 ","Ofsted School Webpage")</f>
        <v>Ofsted School Webpage</v>
      </c>
      <c r="B1081" s="92">
        <v>116465</v>
      </c>
      <c r="C1081" s="92">
        <v>8524306</v>
      </c>
      <c r="D1081" s="92" t="s">
        <v>2883</v>
      </c>
      <c r="E1081" s="92" t="s">
        <v>95</v>
      </c>
      <c r="F1081" s="92" t="s">
        <v>397</v>
      </c>
      <c r="G1081" s="9">
        <v>35447</v>
      </c>
      <c r="H1081" s="92" t="s">
        <v>299</v>
      </c>
      <c r="I1081" s="92" t="s">
        <v>272</v>
      </c>
      <c r="J1081" s="92" t="s">
        <v>273</v>
      </c>
      <c r="K1081" s="92" t="s">
        <v>273</v>
      </c>
      <c r="L1081" s="92" t="s">
        <v>274</v>
      </c>
      <c r="M1081" s="92" t="s">
        <v>192</v>
      </c>
      <c r="N1081" s="92" t="s">
        <v>192</v>
      </c>
      <c r="O1081" s="92" t="s">
        <v>202</v>
      </c>
      <c r="P1081" s="92" t="s">
        <v>1255</v>
      </c>
      <c r="Q1081" s="92" t="s">
        <v>2884</v>
      </c>
      <c r="R1081" s="92">
        <v>5</v>
      </c>
      <c r="S1081" s="92">
        <v>648</v>
      </c>
      <c r="T1081" s="9">
        <v>44161</v>
      </c>
      <c r="U1081" s="9">
        <v>44215</v>
      </c>
    </row>
    <row r="1082" spans="1:21" x14ac:dyDescent="0.2">
      <c r="A1082" s="10" t="str">
        <f>HYPERLINK("http://www.ofsted.gov.uk/inspection-reports/find-inspection-report/provider/ELS/104959 ","Ofsted School Webpage")</f>
        <v>Ofsted School Webpage</v>
      </c>
      <c r="B1082" s="92">
        <v>104959</v>
      </c>
      <c r="C1082" s="92">
        <v>3434611</v>
      </c>
      <c r="D1082" s="92" t="s">
        <v>2885</v>
      </c>
      <c r="E1082" s="92" t="s">
        <v>95</v>
      </c>
      <c r="F1082" s="92" t="s">
        <v>351</v>
      </c>
      <c r="G1082" s="9">
        <v>1</v>
      </c>
      <c r="H1082" s="92" t="s">
        <v>299</v>
      </c>
      <c r="I1082" s="92" t="s">
        <v>272</v>
      </c>
      <c r="J1082" s="92" t="s">
        <v>352</v>
      </c>
      <c r="K1082" s="92" t="s">
        <v>273</v>
      </c>
      <c r="L1082" s="92" t="s">
        <v>347</v>
      </c>
      <c r="M1082" s="92" t="s">
        <v>168</v>
      </c>
      <c r="N1082" s="92" t="s">
        <v>168</v>
      </c>
      <c r="O1082" s="92" t="s">
        <v>183</v>
      </c>
      <c r="P1082" s="92" t="s">
        <v>793</v>
      </c>
      <c r="Q1082" s="92" t="s">
        <v>2886</v>
      </c>
      <c r="R1082" s="92">
        <v>5</v>
      </c>
      <c r="S1082" s="92">
        <v>434</v>
      </c>
      <c r="T1082" s="9">
        <v>44161</v>
      </c>
      <c r="U1082" s="9">
        <v>44181</v>
      </c>
    </row>
    <row r="1083" spans="1:21" x14ac:dyDescent="0.2">
      <c r="A1083" s="10" t="str">
        <f>HYPERLINK("http://www.ofsted.gov.uk/inspection-reports/find-inspection-report/provider/ELS/118076 ","Ofsted School Webpage")</f>
        <v>Ofsted School Webpage</v>
      </c>
      <c r="B1083" s="92">
        <v>118076</v>
      </c>
      <c r="C1083" s="92">
        <v>8114055</v>
      </c>
      <c r="D1083" s="92" t="s">
        <v>2887</v>
      </c>
      <c r="E1083" s="92" t="s">
        <v>95</v>
      </c>
      <c r="F1083" s="92" t="s">
        <v>269</v>
      </c>
      <c r="G1083" s="92" t="s">
        <v>270</v>
      </c>
      <c r="H1083" s="92" t="s">
        <v>299</v>
      </c>
      <c r="I1083" s="92" t="s">
        <v>272</v>
      </c>
      <c r="J1083" s="92" t="s">
        <v>273</v>
      </c>
      <c r="K1083" s="92" t="s">
        <v>273</v>
      </c>
      <c r="L1083" s="92" t="s">
        <v>274</v>
      </c>
      <c r="M1083" s="92" t="s">
        <v>261</v>
      </c>
      <c r="N1083" s="92" t="s">
        <v>241</v>
      </c>
      <c r="O1083" s="92" t="s">
        <v>243</v>
      </c>
      <c r="P1083" s="92" t="s">
        <v>745</v>
      </c>
      <c r="Q1083" s="92" t="s">
        <v>2888</v>
      </c>
      <c r="R1083" s="92">
        <v>1</v>
      </c>
      <c r="S1083" s="92">
        <v>512</v>
      </c>
      <c r="T1083" s="9">
        <v>44161</v>
      </c>
      <c r="U1083" s="9">
        <v>44213</v>
      </c>
    </row>
    <row r="1084" spans="1:21" x14ac:dyDescent="0.2">
      <c r="A1084" s="10" t="str">
        <f>HYPERLINK("http://www.ofsted.gov.uk/inspection-reports/find-inspection-report/provider/ELS/108704 ","Ofsted School Webpage")</f>
        <v>Ofsted School Webpage</v>
      </c>
      <c r="B1084" s="92">
        <v>108704</v>
      </c>
      <c r="C1084" s="92">
        <v>3932083</v>
      </c>
      <c r="D1084" s="92" t="s">
        <v>2889</v>
      </c>
      <c r="E1084" s="92" t="s">
        <v>94</v>
      </c>
      <c r="F1084" s="92" t="s">
        <v>269</v>
      </c>
      <c r="G1084" s="92" t="s">
        <v>270</v>
      </c>
      <c r="H1084" s="92" t="s">
        <v>271</v>
      </c>
      <c r="I1084" s="92" t="s">
        <v>272</v>
      </c>
      <c r="J1084" s="92" t="s">
        <v>273</v>
      </c>
      <c r="K1084" s="92" t="s">
        <v>273</v>
      </c>
      <c r="L1084" s="92" t="s">
        <v>274</v>
      </c>
      <c r="M1084" s="92" t="s">
        <v>261</v>
      </c>
      <c r="N1084" s="92" t="s">
        <v>155</v>
      </c>
      <c r="O1084" s="92" t="s">
        <v>157</v>
      </c>
      <c r="P1084" s="92" t="s">
        <v>337</v>
      </c>
      <c r="Q1084" s="92" t="s">
        <v>2890</v>
      </c>
      <c r="R1084" s="92">
        <v>5</v>
      </c>
      <c r="S1084" s="92">
        <v>369</v>
      </c>
      <c r="T1084" s="9">
        <v>44161</v>
      </c>
      <c r="U1084" s="9">
        <v>44213</v>
      </c>
    </row>
    <row r="1085" spans="1:21" x14ac:dyDescent="0.2">
      <c r="A1085" s="10" t="str">
        <f>HYPERLINK("http://www.ofsted.gov.uk/inspection-reports/find-inspection-report/provider/ELS/107938 ","Ofsted School Webpage")</f>
        <v>Ofsted School Webpage</v>
      </c>
      <c r="B1085" s="92">
        <v>107938</v>
      </c>
      <c r="C1085" s="92">
        <v>3832462</v>
      </c>
      <c r="D1085" s="92" t="s">
        <v>1444</v>
      </c>
      <c r="E1085" s="92" t="s">
        <v>94</v>
      </c>
      <c r="F1085" s="92" t="s">
        <v>269</v>
      </c>
      <c r="G1085" s="92" t="s">
        <v>270</v>
      </c>
      <c r="H1085" s="92" t="s">
        <v>271</v>
      </c>
      <c r="I1085" s="92" t="s">
        <v>272</v>
      </c>
      <c r="J1085" s="92" t="s">
        <v>273</v>
      </c>
      <c r="K1085" s="92" t="s">
        <v>273</v>
      </c>
      <c r="L1085" s="92" t="s">
        <v>274</v>
      </c>
      <c r="M1085" s="92" t="s">
        <v>261</v>
      </c>
      <c r="N1085" s="92" t="s">
        <v>241</v>
      </c>
      <c r="O1085" s="92" t="s">
        <v>244</v>
      </c>
      <c r="P1085" s="92" t="s">
        <v>1070</v>
      </c>
      <c r="Q1085" s="92" t="s">
        <v>2891</v>
      </c>
      <c r="R1085" s="92">
        <v>5</v>
      </c>
      <c r="S1085" s="92">
        <v>715</v>
      </c>
      <c r="T1085" s="9">
        <v>44161</v>
      </c>
      <c r="U1085" s="9">
        <v>44215</v>
      </c>
    </row>
    <row r="1086" spans="1:21" x14ac:dyDescent="0.2">
      <c r="A1086" s="10" t="str">
        <f>HYPERLINK("http://www.ofsted.gov.uk/inspection-reports/find-inspection-report/provider/ELS/124536 ","Ofsted School Webpage")</f>
        <v>Ofsted School Webpage</v>
      </c>
      <c r="B1086" s="92">
        <v>124536</v>
      </c>
      <c r="C1086" s="92">
        <v>9352009</v>
      </c>
      <c r="D1086" s="92" t="s">
        <v>2892</v>
      </c>
      <c r="E1086" s="92" t="s">
        <v>94</v>
      </c>
      <c r="F1086" s="92" t="s">
        <v>269</v>
      </c>
      <c r="G1086" s="92" t="s">
        <v>270</v>
      </c>
      <c r="H1086" s="92" t="s">
        <v>271</v>
      </c>
      <c r="I1086" s="92" t="s">
        <v>272</v>
      </c>
      <c r="J1086" s="92" t="s">
        <v>273</v>
      </c>
      <c r="K1086" s="92" t="s">
        <v>273</v>
      </c>
      <c r="L1086" s="92" t="s">
        <v>274</v>
      </c>
      <c r="M1086" s="92" t="s">
        <v>110</v>
      </c>
      <c r="N1086" s="92" t="s">
        <v>110</v>
      </c>
      <c r="O1086" s="92" t="s">
        <v>114</v>
      </c>
      <c r="P1086" s="92" t="s">
        <v>2893</v>
      </c>
      <c r="Q1086" s="92" t="s">
        <v>2894</v>
      </c>
      <c r="R1086" s="92">
        <v>3</v>
      </c>
      <c r="S1086" s="92">
        <v>315</v>
      </c>
      <c r="T1086" s="9">
        <v>44161</v>
      </c>
      <c r="U1086" s="9">
        <v>44213</v>
      </c>
    </row>
    <row r="1087" spans="1:21" x14ac:dyDescent="0.2">
      <c r="A1087" s="10" t="str">
        <f>HYPERLINK("http://www.ofsted.gov.uk/inspection-reports/find-inspection-report/provider/ELS/109581 ","Ofsted School Webpage")</f>
        <v>Ofsted School Webpage</v>
      </c>
      <c r="B1087" s="92">
        <v>109581</v>
      </c>
      <c r="C1087" s="92">
        <v>8212274</v>
      </c>
      <c r="D1087" s="92" t="s">
        <v>2895</v>
      </c>
      <c r="E1087" s="92" t="s">
        <v>94</v>
      </c>
      <c r="F1087" s="92" t="s">
        <v>269</v>
      </c>
      <c r="G1087" s="92" t="s">
        <v>270</v>
      </c>
      <c r="H1087" s="92" t="s">
        <v>271</v>
      </c>
      <c r="I1087" s="92" t="s">
        <v>272</v>
      </c>
      <c r="J1087" s="92" t="s">
        <v>273</v>
      </c>
      <c r="K1087" s="92" t="s">
        <v>273</v>
      </c>
      <c r="L1087" s="92" t="s">
        <v>274</v>
      </c>
      <c r="M1087" s="92" t="s">
        <v>110</v>
      </c>
      <c r="N1087" s="92" t="s">
        <v>110</v>
      </c>
      <c r="O1087" s="92" t="s">
        <v>116</v>
      </c>
      <c r="P1087" s="92" t="s">
        <v>402</v>
      </c>
      <c r="Q1087" s="92" t="s">
        <v>2896</v>
      </c>
      <c r="R1087" s="92">
        <v>4</v>
      </c>
      <c r="S1087" s="92">
        <v>291</v>
      </c>
      <c r="T1087" s="9">
        <v>44161</v>
      </c>
      <c r="U1087" s="9">
        <v>44213</v>
      </c>
    </row>
    <row r="1088" spans="1:21" x14ac:dyDescent="0.2">
      <c r="A1088" s="10" t="str">
        <f>HYPERLINK("http://www.ofsted.gov.uk/inspection-reports/find-inspection-report/provider/ELS/122427 ","Ofsted School Webpage")</f>
        <v>Ofsted School Webpage</v>
      </c>
      <c r="B1088" s="92">
        <v>122427</v>
      </c>
      <c r="C1088" s="92">
        <v>8922080</v>
      </c>
      <c r="D1088" s="92" t="s">
        <v>2897</v>
      </c>
      <c r="E1088" s="92" t="s">
        <v>94</v>
      </c>
      <c r="F1088" s="92" t="s">
        <v>269</v>
      </c>
      <c r="G1088" s="92" t="s">
        <v>270</v>
      </c>
      <c r="H1088" s="92" t="s">
        <v>271</v>
      </c>
      <c r="I1088" s="92" t="s">
        <v>272</v>
      </c>
      <c r="J1088" s="92" t="s">
        <v>273</v>
      </c>
      <c r="K1088" s="92" t="s">
        <v>273</v>
      </c>
      <c r="L1088" s="92" t="s">
        <v>274</v>
      </c>
      <c r="M1088" s="92" t="s">
        <v>100</v>
      </c>
      <c r="N1088" s="92" t="s">
        <v>100</v>
      </c>
      <c r="O1088" s="92" t="s">
        <v>109</v>
      </c>
      <c r="P1088" s="92" t="s">
        <v>2898</v>
      </c>
      <c r="Q1088" s="92" t="s">
        <v>2899</v>
      </c>
      <c r="R1088" s="92">
        <v>2</v>
      </c>
      <c r="S1088" s="92">
        <v>533</v>
      </c>
      <c r="T1088" s="9">
        <v>44161</v>
      </c>
      <c r="U1088" s="9">
        <v>44209</v>
      </c>
    </row>
    <row r="1089" spans="1:21" x14ac:dyDescent="0.2">
      <c r="A1089" s="10" t="str">
        <f>HYPERLINK("http://www.ofsted.gov.uk/inspection-reports/find-inspection-report/provider/ELS/123653 ","Ofsted School Webpage")</f>
        <v>Ofsted School Webpage</v>
      </c>
      <c r="B1089" s="92">
        <v>123653</v>
      </c>
      <c r="C1089" s="92">
        <v>9332045</v>
      </c>
      <c r="D1089" s="92" t="s">
        <v>2900</v>
      </c>
      <c r="E1089" s="92" t="s">
        <v>94</v>
      </c>
      <c r="F1089" s="92" t="s">
        <v>269</v>
      </c>
      <c r="G1089" s="92" t="s">
        <v>270</v>
      </c>
      <c r="H1089" s="92" t="s">
        <v>271</v>
      </c>
      <c r="I1089" s="92" t="s">
        <v>272</v>
      </c>
      <c r="J1089" s="92" t="s">
        <v>273</v>
      </c>
      <c r="K1089" s="92" t="s">
        <v>273</v>
      </c>
      <c r="L1089" s="92" t="s">
        <v>274</v>
      </c>
      <c r="M1089" s="92" t="s">
        <v>211</v>
      </c>
      <c r="N1089" s="92" t="s">
        <v>211</v>
      </c>
      <c r="O1089" s="92" t="s">
        <v>218</v>
      </c>
      <c r="P1089" s="92" t="s">
        <v>527</v>
      </c>
      <c r="Q1089" s="92" t="s">
        <v>2901</v>
      </c>
      <c r="R1089" s="92">
        <v>2</v>
      </c>
      <c r="S1089" s="92">
        <v>110</v>
      </c>
      <c r="T1089" s="9">
        <v>44161</v>
      </c>
      <c r="U1089" s="9">
        <v>44200</v>
      </c>
    </row>
    <row r="1090" spans="1:21" x14ac:dyDescent="0.2">
      <c r="A1090" s="10" t="str">
        <f>HYPERLINK("http://www.ofsted.gov.uk/inspection-reports/find-inspection-report/provider/ELS/135568 ","Ofsted School Webpage")</f>
        <v>Ofsted School Webpage</v>
      </c>
      <c r="B1090" s="92">
        <v>135568</v>
      </c>
      <c r="C1090" s="92">
        <v>8733945</v>
      </c>
      <c r="D1090" s="92" t="s">
        <v>2902</v>
      </c>
      <c r="E1090" s="92" t="s">
        <v>94</v>
      </c>
      <c r="F1090" s="92" t="s">
        <v>269</v>
      </c>
      <c r="G1090" s="9">
        <v>39814</v>
      </c>
      <c r="H1090" s="92" t="s">
        <v>271</v>
      </c>
      <c r="I1090" s="92" t="s">
        <v>272</v>
      </c>
      <c r="J1090" s="92" t="s">
        <v>273</v>
      </c>
      <c r="K1090" s="92" t="s">
        <v>273</v>
      </c>
      <c r="L1090" s="92" t="s">
        <v>274</v>
      </c>
      <c r="M1090" s="92" t="s">
        <v>110</v>
      </c>
      <c r="N1090" s="92" t="s">
        <v>110</v>
      </c>
      <c r="O1090" s="92" t="s">
        <v>112</v>
      </c>
      <c r="P1090" s="92" t="s">
        <v>2030</v>
      </c>
      <c r="Q1090" s="92" t="s">
        <v>2903</v>
      </c>
      <c r="R1090" s="92">
        <v>4</v>
      </c>
      <c r="S1090" s="92">
        <v>457</v>
      </c>
      <c r="T1090" s="9">
        <v>44161</v>
      </c>
      <c r="U1090" s="9">
        <v>44213</v>
      </c>
    </row>
    <row r="1091" spans="1:21" x14ac:dyDescent="0.2">
      <c r="A1091" s="10" t="str">
        <f>HYPERLINK("http://www.ofsted.gov.uk/inspection-reports/find-inspection-report/provider/ELS/110683 ","Ofsted School Webpage")</f>
        <v>Ofsted School Webpage</v>
      </c>
      <c r="B1091" s="92">
        <v>110683</v>
      </c>
      <c r="C1091" s="92">
        <v>8742215</v>
      </c>
      <c r="D1091" s="92" t="s">
        <v>2904</v>
      </c>
      <c r="E1091" s="92" t="s">
        <v>94</v>
      </c>
      <c r="F1091" s="92" t="s">
        <v>269</v>
      </c>
      <c r="G1091" s="92" t="s">
        <v>270</v>
      </c>
      <c r="H1091" s="92" t="s">
        <v>271</v>
      </c>
      <c r="I1091" s="92" t="s">
        <v>272</v>
      </c>
      <c r="J1091" s="92" t="s">
        <v>273</v>
      </c>
      <c r="K1091" s="92" t="s">
        <v>273</v>
      </c>
      <c r="L1091" s="92" t="s">
        <v>274</v>
      </c>
      <c r="M1091" s="92" t="s">
        <v>110</v>
      </c>
      <c r="N1091" s="92" t="s">
        <v>110</v>
      </c>
      <c r="O1091" s="92" t="s">
        <v>115</v>
      </c>
      <c r="P1091" s="92" t="s">
        <v>544</v>
      </c>
      <c r="Q1091" s="92" t="s">
        <v>2905</v>
      </c>
      <c r="R1091" s="92">
        <v>4</v>
      </c>
      <c r="S1091" s="92">
        <v>435</v>
      </c>
      <c r="T1091" s="9">
        <v>44161</v>
      </c>
      <c r="U1091" s="9">
        <v>44209</v>
      </c>
    </row>
    <row r="1092" spans="1:21" x14ac:dyDescent="0.2">
      <c r="A1092" s="10" t="str">
        <f>HYPERLINK("http://www.ofsted.gov.uk/inspection-reports/find-inspection-report/provider/ELS/113674 ","Ofsted School Webpage")</f>
        <v>Ofsted School Webpage</v>
      </c>
      <c r="B1092" s="92">
        <v>113674</v>
      </c>
      <c r="C1092" s="92">
        <v>8382030</v>
      </c>
      <c r="D1092" s="92" t="s">
        <v>2906</v>
      </c>
      <c r="E1092" s="92" t="s">
        <v>94</v>
      </c>
      <c r="F1092" s="92" t="s">
        <v>269</v>
      </c>
      <c r="G1092" s="92" t="s">
        <v>270</v>
      </c>
      <c r="H1092" s="92" t="s">
        <v>271</v>
      </c>
      <c r="I1092" s="92" t="s">
        <v>272</v>
      </c>
      <c r="J1092" s="92" t="s">
        <v>273</v>
      </c>
      <c r="K1092" s="92" t="s">
        <v>273</v>
      </c>
      <c r="L1092" s="92" t="s">
        <v>274</v>
      </c>
      <c r="M1092" s="92" t="s">
        <v>211</v>
      </c>
      <c r="N1092" s="92" t="s">
        <v>211</v>
      </c>
      <c r="O1092" s="92" t="s">
        <v>213</v>
      </c>
      <c r="P1092" s="92" t="s">
        <v>720</v>
      </c>
      <c r="Q1092" s="92" t="s">
        <v>2907</v>
      </c>
      <c r="R1092" s="92">
        <v>2</v>
      </c>
      <c r="S1092" s="92">
        <v>59</v>
      </c>
      <c r="T1092" s="9">
        <v>44161</v>
      </c>
      <c r="U1092" s="9">
        <v>44209</v>
      </c>
    </row>
    <row r="1093" spans="1:21" x14ac:dyDescent="0.2">
      <c r="A1093" s="10" t="str">
        <f>HYPERLINK("http://www.ofsted.gov.uk/inspection-reports/find-inspection-report/provider/ELS/120506 ","Ofsted School Webpage")</f>
        <v>Ofsted School Webpage</v>
      </c>
      <c r="B1093" s="92">
        <v>120506</v>
      </c>
      <c r="C1093" s="92">
        <v>9252243</v>
      </c>
      <c r="D1093" s="92" t="s">
        <v>2908</v>
      </c>
      <c r="E1093" s="92" t="s">
        <v>94</v>
      </c>
      <c r="F1093" s="92" t="s">
        <v>269</v>
      </c>
      <c r="G1093" s="92" t="s">
        <v>270</v>
      </c>
      <c r="H1093" s="92" t="s">
        <v>271</v>
      </c>
      <c r="I1093" s="92" t="s">
        <v>271</v>
      </c>
      <c r="J1093" s="92" t="s">
        <v>273</v>
      </c>
      <c r="K1093" s="92" t="s">
        <v>273</v>
      </c>
      <c r="L1093" s="92" t="s">
        <v>274</v>
      </c>
      <c r="M1093" s="92" t="s">
        <v>100</v>
      </c>
      <c r="N1093" s="92" t="s">
        <v>100</v>
      </c>
      <c r="O1093" s="92" t="s">
        <v>104</v>
      </c>
      <c r="P1093" s="92" t="s">
        <v>1290</v>
      </c>
      <c r="Q1093" s="92" t="s">
        <v>2909</v>
      </c>
      <c r="R1093" s="92">
        <v>1</v>
      </c>
      <c r="S1093" s="92">
        <v>90</v>
      </c>
      <c r="T1093" s="9">
        <v>44161</v>
      </c>
      <c r="U1093" s="9">
        <v>44209</v>
      </c>
    </row>
    <row r="1094" spans="1:21" x14ac:dyDescent="0.2">
      <c r="A1094" s="10" t="str">
        <f>HYPERLINK("http://www.ofsted.gov.uk/inspection-reports/find-inspection-report/provider/ELS/114473 ","Ofsted School Webpage")</f>
        <v>Ofsted School Webpage</v>
      </c>
      <c r="B1094" s="92">
        <v>114473</v>
      </c>
      <c r="C1094" s="92">
        <v>8452151</v>
      </c>
      <c r="D1094" s="92" t="s">
        <v>2910</v>
      </c>
      <c r="E1094" s="92" t="s">
        <v>94</v>
      </c>
      <c r="F1094" s="92" t="s">
        <v>269</v>
      </c>
      <c r="G1094" s="92" t="s">
        <v>270</v>
      </c>
      <c r="H1094" s="92" t="s">
        <v>271</v>
      </c>
      <c r="I1094" s="92" t="s">
        <v>272</v>
      </c>
      <c r="J1094" s="92" t="s">
        <v>273</v>
      </c>
      <c r="K1094" s="92" t="s">
        <v>273</v>
      </c>
      <c r="L1094" s="92" t="s">
        <v>274</v>
      </c>
      <c r="M1094" s="92" t="s">
        <v>192</v>
      </c>
      <c r="N1094" s="92" t="s">
        <v>192</v>
      </c>
      <c r="O1094" s="92" t="s">
        <v>203</v>
      </c>
      <c r="P1094" s="92" t="s">
        <v>804</v>
      </c>
      <c r="Q1094" s="92" t="s">
        <v>2911</v>
      </c>
      <c r="R1094" s="92">
        <v>4</v>
      </c>
      <c r="S1094" s="92">
        <v>452</v>
      </c>
      <c r="T1094" s="9">
        <v>44161</v>
      </c>
      <c r="U1094" s="9">
        <v>44209</v>
      </c>
    </row>
    <row r="1095" spans="1:21" x14ac:dyDescent="0.2">
      <c r="A1095" s="10" t="str">
        <f>HYPERLINK("http://www.ofsted.gov.uk/inspection-reports/find-inspection-report/provider/ELS/103638 ","Ofsted School Webpage")</f>
        <v>Ofsted School Webpage</v>
      </c>
      <c r="B1095" s="92">
        <v>103638</v>
      </c>
      <c r="C1095" s="92">
        <v>3312000</v>
      </c>
      <c r="D1095" s="92" t="s">
        <v>2912</v>
      </c>
      <c r="E1095" s="92" t="s">
        <v>94</v>
      </c>
      <c r="F1095" s="92" t="s">
        <v>269</v>
      </c>
      <c r="G1095" s="92" t="s">
        <v>270</v>
      </c>
      <c r="H1095" s="92" t="s">
        <v>271</v>
      </c>
      <c r="I1095" s="92" t="s">
        <v>272</v>
      </c>
      <c r="J1095" s="92" t="s">
        <v>273</v>
      </c>
      <c r="K1095" s="92" t="s">
        <v>273</v>
      </c>
      <c r="L1095" s="92" t="s">
        <v>274</v>
      </c>
      <c r="M1095" s="92" t="s">
        <v>226</v>
      </c>
      <c r="N1095" s="92" t="s">
        <v>226</v>
      </c>
      <c r="O1095" s="92" t="s">
        <v>233</v>
      </c>
      <c r="P1095" s="92" t="s">
        <v>331</v>
      </c>
      <c r="Q1095" s="92" t="s">
        <v>2913</v>
      </c>
      <c r="R1095" s="92">
        <v>5</v>
      </c>
      <c r="S1095" s="92">
        <v>587</v>
      </c>
      <c r="T1095" s="9">
        <v>44161</v>
      </c>
      <c r="U1095" s="9">
        <v>44209</v>
      </c>
    </row>
    <row r="1096" spans="1:21" x14ac:dyDescent="0.2">
      <c r="A1096" s="10" t="str">
        <f>HYPERLINK("http://www.ofsted.gov.uk/inspection-reports/find-inspection-report/provider/ELS/124205 ","Ofsted School Webpage")</f>
        <v>Ofsted School Webpage</v>
      </c>
      <c r="B1096" s="92">
        <v>124205</v>
      </c>
      <c r="C1096" s="92">
        <v>8602409</v>
      </c>
      <c r="D1096" s="92" t="s">
        <v>2914</v>
      </c>
      <c r="E1096" s="92" t="s">
        <v>94</v>
      </c>
      <c r="F1096" s="92" t="s">
        <v>269</v>
      </c>
      <c r="G1096" s="92" t="s">
        <v>270</v>
      </c>
      <c r="H1096" s="92" t="s">
        <v>271</v>
      </c>
      <c r="I1096" s="92" t="s">
        <v>272</v>
      </c>
      <c r="J1096" s="92" t="s">
        <v>273</v>
      </c>
      <c r="K1096" s="92" t="s">
        <v>273</v>
      </c>
      <c r="L1096" s="92" t="s">
        <v>274</v>
      </c>
      <c r="M1096" s="92" t="s">
        <v>226</v>
      </c>
      <c r="N1096" s="92" t="s">
        <v>226</v>
      </c>
      <c r="O1096" s="92" t="s">
        <v>229</v>
      </c>
      <c r="P1096" s="92" t="s">
        <v>2915</v>
      </c>
      <c r="Q1096" s="92" t="s">
        <v>2916</v>
      </c>
      <c r="R1096" s="92">
        <v>4</v>
      </c>
      <c r="S1096" s="92">
        <v>222</v>
      </c>
      <c r="T1096" s="9">
        <v>44161</v>
      </c>
      <c r="U1096" s="9">
        <v>44209</v>
      </c>
    </row>
    <row r="1097" spans="1:21" x14ac:dyDescent="0.2">
      <c r="A1097" s="10" t="str">
        <f>HYPERLINK("http://www.ofsted.gov.uk/inspection-reports/find-inspection-report/provider/ELS/132183 ","Ofsted School Webpage")</f>
        <v>Ofsted School Webpage</v>
      </c>
      <c r="B1097" s="92">
        <v>132183</v>
      </c>
      <c r="C1097" s="92">
        <v>3802198</v>
      </c>
      <c r="D1097" s="92" t="s">
        <v>2917</v>
      </c>
      <c r="E1097" s="92" t="s">
        <v>94</v>
      </c>
      <c r="F1097" s="92" t="s">
        <v>269</v>
      </c>
      <c r="G1097" s="9">
        <v>36770</v>
      </c>
      <c r="H1097" s="92" t="s">
        <v>271</v>
      </c>
      <c r="I1097" s="92" t="s">
        <v>272</v>
      </c>
      <c r="J1097" s="92" t="s">
        <v>273</v>
      </c>
      <c r="K1097" s="92" t="s">
        <v>273</v>
      </c>
      <c r="L1097" s="92" t="s">
        <v>274</v>
      </c>
      <c r="M1097" s="92" t="s">
        <v>261</v>
      </c>
      <c r="N1097" s="92" t="s">
        <v>241</v>
      </c>
      <c r="O1097" s="92" t="s">
        <v>250</v>
      </c>
      <c r="P1097" s="92" t="s">
        <v>1108</v>
      </c>
      <c r="Q1097" s="92" t="s">
        <v>2918</v>
      </c>
      <c r="R1097" s="92">
        <v>5</v>
      </c>
      <c r="S1097" s="92">
        <v>430</v>
      </c>
      <c r="T1097" s="9">
        <v>44161</v>
      </c>
      <c r="U1097" s="9">
        <v>44202</v>
      </c>
    </row>
    <row r="1098" spans="1:21" x14ac:dyDescent="0.2">
      <c r="A1098" s="10" t="str">
        <f>HYPERLINK("http://www.ofsted.gov.uk/inspection-reports/find-inspection-report/provider/ELS/124577 ","Ofsted School Webpage")</f>
        <v>Ofsted School Webpage</v>
      </c>
      <c r="B1098" s="92">
        <v>124577</v>
      </c>
      <c r="C1098" s="92">
        <v>9352071</v>
      </c>
      <c r="D1098" s="92" t="s">
        <v>2919</v>
      </c>
      <c r="E1098" s="92" t="s">
        <v>94</v>
      </c>
      <c r="F1098" s="92" t="s">
        <v>269</v>
      </c>
      <c r="G1098" s="92" t="s">
        <v>270</v>
      </c>
      <c r="H1098" s="92" t="s">
        <v>271</v>
      </c>
      <c r="I1098" s="92" t="s">
        <v>272</v>
      </c>
      <c r="J1098" s="92" t="s">
        <v>273</v>
      </c>
      <c r="K1098" s="92" t="s">
        <v>273</v>
      </c>
      <c r="L1098" s="92" t="s">
        <v>274</v>
      </c>
      <c r="M1098" s="92" t="s">
        <v>110</v>
      </c>
      <c r="N1098" s="92" t="s">
        <v>110</v>
      </c>
      <c r="O1098" s="92" t="s">
        <v>114</v>
      </c>
      <c r="P1098" s="92" t="s">
        <v>2893</v>
      </c>
      <c r="Q1098" s="92" t="s">
        <v>2920</v>
      </c>
      <c r="R1098" s="92">
        <v>2</v>
      </c>
      <c r="S1098" s="92">
        <v>81</v>
      </c>
      <c r="T1098" s="9">
        <v>44161</v>
      </c>
      <c r="U1098" s="9">
        <v>44209</v>
      </c>
    </row>
    <row r="1099" spans="1:21" x14ac:dyDescent="0.2">
      <c r="A1099" s="10" t="str">
        <f>HYPERLINK("http://www.ofsted.gov.uk/inspection-reports/find-inspection-report/provider/ELS/119206 ","Ofsted School Webpage")</f>
        <v>Ofsted School Webpage</v>
      </c>
      <c r="B1099" s="92">
        <v>119206</v>
      </c>
      <c r="C1099" s="92">
        <v>8882147</v>
      </c>
      <c r="D1099" s="92" t="s">
        <v>2921</v>
      </c>
      <c r="E1099" s="92" t="s">
        <v>94</v>
      </c>
      <c r="F1099" s="92" t="s">
        <v>269</v>
      </c>
      <c r="G1099" s="92" t="s">
        <v>270</v>
      </c>
      <c r="H1099" s="92" t="s">
        <v>271</v>
      </c>
      <c r="I1099" s="92" t="s">
        <v>272</v>
      </c>
      <c r="J1099" s="92" t="s">
        <v>273</v>
      </c>
      <c r="K1099" s="92" t="s">
        <v>273</v>
      </c>
      <c r="L1099" s="92" t="s">
        <v>274</v>
      </c>
      <c r="M1099" s="92" t="s">
        <v>168</v>
      </c>
      <c r="N1099" s="92" t="s">
        <v>168</v>
      </c>
      <c r="O1099" s="92" t="s">
        <v>169</v>
      </c>
      <c r="P1099" s="92" t="s">
        <v>589</v>
      </c>
      <c r="Q1099" s="92" t="s">
        <v>2922</v>
      </c>
      <c r="R1099" s="92">
        <v>3</v>
      </c>
      <c r="S1099" s="92">
        <v>339</v>
      </c>
      <c r="T1099" s="9">
        <v>44161</v>
      </c>
      <c r="U1099" s="9">
        <v>44209</v>
      </c>
    </row>
    <row r="1100" spans="1:21" x14ac:dyDescent="0.2">
      <c r="A1100" s="10" t="str">
        <f>HYPERLINK("http://www.ofsted.gov.uk/inspection-reports/find-inspection-report/provider/ELS/104682 ","Ofsted School Webpage")</f>
        <v>Ofsted School Webpage</v>
      </c>
      <c r="B1100" s="92">
        <v>104682</v>
      </c>
      <c r="C1100" s="92">
        <v>3415200</v>
      </c>
      <c r="D1100" s="92" t="s">
        <v>2923</v>
      </c>
      <c r="E1100" s="92" t="s">
        <v>94</v>
      </c>
      <c r="F1100" s="92" t="s">
        <v>351</v>
      </c>
      <c r="G1100" s="92" t="s">
        <v>270</v>
      </c>
      <c r="H1100" s="92" t="s">
        <v>271</v>
      </c>
      <c r="I1100" s="92" t="s">
        <v>272</v>
      </c>
      <c r="J1100" s="92" t="s">
        <v>2819</v>
      </c>
      <c r="K1100" s="92" t="s">
        <v>273</v>
      </c>
      <c r="L1100" s="92" t="s">
        <v>2819</v>
      </c>
      <c r="M1100" s="92" t="s">
        <v>168</v>
      </c>
      <c r="N1100" s="92" t="s">
        <v>168</v>
      </c>
      <c r="O1100" s="92" t="s">
        <v>170</v>
      </c>
      <c r="P1100" s="92" t="s">
        <v>1878</v>
      </c>
      <c r="Q1100" s="92" t="s">
        <v>2924</v>
      </c>
      <c r="R1100" s="92">
        <v>2</v>
      </c>
      <c r="S1100" s="92">
        <v>428</v>
      </c>
      <c r="T1100" s="9">
        <v>44162</v>
      </c>
      <c r="U1100" s="9">
        <v>44215</v>
      </c>
    </row>
    <row r="1101" spans="1:21" x14ac:dyDescent="0.2">
      <c r="A1101" s="10" t="str">
        <f>HYPERLINK("http://www.ofsted.gov.uk/inspection-reports/find-inspection-report/provider/ELS/104679 ","Ofsted School Webpage")</f>
        <v>Ofsted School Webpage</v>
      </c>
      <c r="B1101" s="92">
        <v>104679</v>
      </c>
      <c r="C1101" s="92">
        <v>3413635</v>
      </c>
      <c r="D1101" s="92" t="s">
        <v>2925</v>
      </c>
      <c r="E1101" s="92" t="s">
        <v>94</v>
      </c>
      <c r="F1101" s="92" t="s">
        <v>351</v>
      </c>
      <c r="G1101" s="92" t="s">
        <v>270</v>
      </c>
      <c r="H1101" s="92" t="s">
        <v>271</v>
      </c>
      <c r="I1101" s="92" t="s">
        <v>272</v>
      </c>
      <c r="J1101" s="92" t="s">
        <v>352</v>
      </c>
      <c r="K1101" s="92" t="s">
        <v>273</v>
      </c>
      <c r="L1101" s="92" t="s">
        <v>347</v>
      </c>
      <c r="M1101" s="92" t="s">
        <v>168</v>
      </c>
      <c r="N1101" s="92" t="s">
        <v>168</v>
      </c>
      <c r="O1101" s="92" t="s">
        <v>170</v>
      </c>
      <c r="P1101" s="92" t="s">
        <v>1132</v>
      </c>
      <c r="Q1101" s="92" t="s">
        <v>2926</v>
      </c>
      <c r="R1101" s="92">
        <v>4</v>
      </c>
      <c r="S1101" s="92">
        <v>394</v>
      </c>
      <c r="T1101" s="9">
        <v>44162</v>
      </c>
      <c r="U1101" s="9">
        <v>44215</v>
      </c>
    </row>
    <row r="1102" spans="1:21" x14ac:dyDescent="0.2">
      <c r="A1102" s="10" t="str">
        <f>HYPERLINK("http://www.ofsted.gov.uk/inspection-reports/find-inspection-report/provider/ELS/101139 ","Ofsted School Webpage")</f>
        <v>Ofsted School Webpage</v>
      </c>
      <c r="B1102" s="92">
        <v>101139</v>
      </c>
      <c r="C1102" s="92">
        <v>2133580</v>
      </c>
      <c r="D1102" s="92" t="s">
        <v>2927</v>
      </c>
      <c r="E1102" s="92" t="s">
        <v>94</v>
      </c>
      <c r="F1102" s="92" t="s">
        <v>351</v>
      </c>
      <c r="G1102" s="92" t="s">
        <v>270</v>
      </c>
      <c r="H1102" s="92" t="s">
        <v>271</v>
      </c>
      <c r="I1102" s="92" t="s">
        <v>272</v>
      </c>
      <c r="J1102" s="92" t="s">
        <v>346</v>
      </c>
      <c r="K1102" s="92" t="s">
        <v>273</v>
      </c>
      <c r="L1102" s="92" t="s">
        <v>347</v>
      </c>
      <c r="M1102" s="92" t="s">
        <v>122</v>
      </c>
      <c r="N1102" s="92" t="s">
        <v>122</v>
      </c>
      <c r="O1102" s="92" t="s">
        <v>153</v>
      </c>
      <c r="P1102" s="92" t="s">
        <v>2928</v>
      </c>
      <c r="Q1102" s="92" t="s">
        <v>2929</v>
      </c>
      <c r="R1102" s="92">
        <v>5</v>
      </c>
      <c r="S1102" s="92">
        <v>194</v>
      </c>
      <c r="T1102" s="9">
        <v>44166</v>
      </c>
      <c r="U1102" s="9">
        <v>44215</v>
      </c>
    </row>
    <row r="1103" spans="1:21" x14ac:dyDescent="0.2">
      <c r="A1103" s="10" t="str">
        <f>HYPERLINK("http://www.ofsted.gov.uk/inspection-reports/find-inspection-report/provider/ELS/141999 ","Ofsted School Webpage")</f>
        <v>Ofsted School Webpage</v>
      </c>
      <c r="B1103" s="92">
        <v>141999</v>
      </c>
      <c r="C1103" s="92">
        <v>8402019</v>
      </c>
      <c r="D1103" s="92" t="s">
        <v>2930</v>
      </c>
      <c r="E1103" s="92" t="s">
        <v>94</v>
      </c>
      <c r="F1103" s="92" t="s">
        <v>409</v>
      </c>
      <c r="G1103" s="9">
        <v>42248</v>
      </c>
      <c r="H1103" s="92" t="s">
        <v>271</v>
      </c>
      <c r="I1103" s="92" t="s">
        <v>272</v>
      </c>
      <c r="J1103" s="92" t="s">
        <v>273</v>
      </c>
      <c r="K1103" s="92" t="s">
        <v>410</v>
      </c>
      <c r="L1103" s="92" t="s">
        <v>274</v>
      </c>
      <c r="M1103" s="92" t="s">
        <v>261</v>
      </c>
      <c r="N1103" s="92" t="s">
        <v>155</v>
      </c>
      <c r="O1103" s="92" t="s">
        <v>163</v>
      </c>
      <c r="P1103" s="92" t="s">
        <v>2530</v>
      </c>
      <c r="Q1103" s="92" t="s">
        <v>2931</v>
      </c>
      <c r="R1103" s="92">
        <v>4</v>
      </c>
      <c r="S1103" s="92">
        <v>240</v>
      </c>
      <c r="T1103" s="9">
        <v>44166</v>
      </c>
      <c r="U1103" s="9">
        <v>44213</v>
      </c>
    </row>
    <row r="1104" spans="1:21" x14ac:dyDescent="0.2">
      <c r="A1104" s="10" t="str">
        <f>HYPERLINK("http://www.ofsted.gov.uk/inspection-reports/find-inspection-report/provider/ELS/135857 ","Ofsted School Webpage")</f>
        <v>Ofsted School Webpage</v>
      </c>
      <c r="B1104" s="92">
        <v>135857</v>
      </c>
      <c r="C1104" s="92">
        <v>9165221</v>
      </c>
      <c r="D1104" s="92" t="s">
        <v>2932</v>
      </c>
      <c r="E1104" s="92" t="s">
        <v>94</v>
      </c>
      <c r="F1104" s="92" t="s">
        <v>397</v>
      </c>
      <c r="G1104" s="9">
        <v>40057</v>
      </c>
      <c r="H1104" s="92" t="s">
        <v>271</v>
      </c>
      <c r="I1104" s="92" t="s">
        <v>272</v>
      </c>
      <c r="J1104" s="92" t="s">
        <v>410</v>
      </c>
      <c r="K1104" s="92" t="s">
        <v>273</v>
      </c>
      <c r="L1104" s="92" t="s">
        <v>274</v>
      </c>
      <c r="M1104" s="92" t="s">
        <v>211</v>
      </c>
      <c r="N1104" s="92" t="s">
        <v>211</v>
      </c>
      <c r="O1104" s="92" t="s">
        <v>217</v>
      </c>
      <c r="P1104" s="92" t="s">
        <v>2933</v>
      </c>
      <c r="Q1104" s="92" t="s">
        <v>2934</v>
      </c>
      <c r="R1104" s="92">
        <v>4</v>
      </c>
      <c r="S1104" s="92">
        <v>334</v>
      </c>
      <c r="T1104" s="9">
        <v>44166</v>
      </c>
      <c r="U1104" s="9">
        <v>44180</v>
      </c>
    </row>
    <row r="1105" spans="1:21" x14ac:dyDescent="0.2">
      <c r="A1105" s="10" t="str">
        <f>HYPERLINK("http://www.ofsted.gov.uk/inspection-reports/find-inspection-report/provider/ELS/109410 ","Ofsted School Webpage")</f>
        <v>Ofsted School Webpage</v>
      </c>
      <c r="B1105" s="92">
        <v>109410</v>
      </c>
      <c r="C1105" s="92">
        <v>8017042</v>
      </c>
      <c r="D1105" s="92" t="s">
        <v>2935</v>
      </c>
      <c r="E1105" s="92" t="s">
        <v>96</v>
      </c>
      <c r="F1105" s="92" t="s">
        <v>401</v>
      </c>
      <c r="G1105" s="92" t="s">
        <v>270</v>
      </c>
      <c r="H1105" s="92" t="s">
        <v>271</v>
      </c>
      <c r="I1105" s="92" t="s">
        <v>300</v>
      </c>
      <c r="J1105" s="92" t="s">
        <v>273</v>
      </c>
      <c r="K1105" s="92" t="s">
        <v>273</v>
      </c>
      <c r="L1105" s="92" t="s">
        <v>274</v>
      </c>
      <c r="M1105" s="92" t="s">
        <v>211</v>
      </c>
      <c r="N1105" s="92" t="s">
        <v>211</v>
      </c>
      <c r="O1105" s="92" t="s">
        <v>212</v>
      </c>
      <c r="P1105" s="92" t="s">
        <v>2936</v>
      </c>
      <c r="Q1105" s="92" t="s">
        <v>2937</v>
      </c>
      <c r="R1105" s="92">
        <v>5</v>
      </c>
      <c r="S1105" s="92">
        <v>154</v>
      </c>
      <c r="T1105" s="9">
        <v>44166</v>
      </c>
      <c r="U1105" s="9">
        <v>44209</v>
      </c>
    </row>
    <row r="1106" spans="1:21" x14ac:dyDescent="0.2">
      <c r="A1106" s="10" t="str">
        <f>HYPERLINK("http://www.ofsted.gov.uk/inspection-reports/find-inspection-report/provider/ELS/108892 ","Ofsted School Webpage")</f>
        <v>Ofsted School Webpage</v>
      </c>
      <c r="B1106" s="92">
        <v>108892</v>
      </c>
      <c r="C1106" s="92">
        <v>2121103</v>
      </c>
      <c r="D1106" s="92" t="s">
        <v>2938</v>
      </c>
      <c r="E1106" s="92" t="s">
        <v>98</v>
      </c>
      <c r="F1106" s="92" t="s">
        <v>405</v>
      </c>
      <c r="G1106" s="9">
        <v>38596</v>
      </c>
      <c r="H1106" s="92" t="s">
        <v>271</v>
      </c>
      <c r="I1106" s="92" t="s">
        <v>271</v>
      </c>
      <c r="J1106" s="92" t="s">
        <v>273</v>
      </c>
      <c r="K1106" s="92" t="s">
        <v>273</v>
      </c>
      <c r="L1106" s="92" t="s">
        <v>274</v>
      </c>
      <c r="M1106" s="92" t="s">
        <v>122</v>
      </c>
      <c r="N1106" s="92" t="s">
        <v>122</v>
      </c>
      <c r="O1106" s="92" t="s">
        <v>151</v>
      </c>
      <c r="P1106" s="92" t="s">
        <v>2440</v>
      </c>
      <c r="Q1106" s="92" t="s">
        <v>2939</v>
      </c>
      <c r="R1106" s="92" t="s">
        <v>270</v>
      </c>
      <c r="S1106" s="92">
        <v>0</v>
      </c>
      <c r="T1106" s="9">
        <v>44166</v>
      </c>
      <c r="U1106" s="9">
        <v>44213</v>
      </c>
    </row>
    <row r="1107" spans="1:21" x14ac:dyDescent="0.2">
      <c r="A1107" s="10" t="str">
        <f>HYPERLINK("http://www.ofsted.gov.uk/inspection-reports/find-inspection-report/provider/ELS/139271 ","Ofsted School Webpage")</f>
        <v>Ofsted School Webpage</v>
      </c>
      <c r="B1107" s="92">
        <v>139271</v>
      </c>
      <c r="C1107" s="92">
        <v>8814009</v>
      </c>
      <c r="D1107" s="92" t="s">
        <v>2940</v>
      </c>
      <c r="E1107" s="92" t="s">
        <v>95</v>
      </c>
      <c r="F1107" s="92" t="s">
        <v>409</v>
      </c>
      <c r="G1107" s="9">
        <v>41518</v>
      </c>
      <c r="H1107" s="92" t="s">
        <v>299</v>
      </c>
      <c r="I1107" s="92" t="s">
        <v>272</v>
      </c>
      <c r="J1107" s="92" t="s">
        <v>410</v>
      </c>
      <c r="K1107" s="92" t="s">
        <v>410</v>
      </c>
      <c r="L1107" s="92" t="s">
        <v>274</v>
      </c>
      <c r="M1107" s="92" t="s">
        <v>110</v>
      </c>
      <c r="N1107" s="92" t="s">
        <v>110</v>
      </c>
      <c r="O1107" s="92" t="s">
        <v>119</v>
      </c>
      <c r="P1107" s="92" t="s">
        <v>851</v>
      </c>
      <c r="Q1107" s="92" t="s">
        <v>2941</v>
      </c>
      <c r="R1107" s="92">
        <v>3</v>
      </c>
      <c r="S1107" s="92">
        <v>773</v>
      </c>
      <c r="T1107" s="9">
        <v>44166</v>
      </c>
      <c r="U1107" s="9">
        <v>44209</v>
      </c>
    </row>
    <row r="1108" spans="1:21" x14ac:dyDescent="0.2">
      <c r="A1108" s="10" t="str">
        <f>HYPERLINK("http://www.ofsted.gov.uk/inspection-reports/find-inspection-report/provider/ELS/104735 ","Ofsted School Webpage")</f>
        <v>Ofsted School Webpage</v>
      </c>
      <c r="B1108" s="92">
        <v>104735</v>
      </c>
      <c r="C1108" s="92">
        <v>3417023</v>
      </c>
      <c r="D1108" s="92" t="s">
        <v>2942</v>
      </c>
      <c r="E1108" s="92" t="s">
        <v>96</v>
      </c>
      <c r="F1108" s="92" t="s">
        <v>1844</v>
      </c>
      <c r="G1108" s="92" t="s">
        <v>270</v>
      </c>
      <c r="H1108" s="92" t="s">
        <v>271</v>
      </c>
      <c r="I1108" s="92" t="s">
        <v>300</v>
      </c>
      <c r="J1108" s="92" t="s">
        <v>273</v>
      </c>
      <c r="K1108" s="92" t="s">
        <v>273</v>
      </c>
      <c r="L1108" s="92" t="s">
        <v>274</v>
      </c>
      <c r="M1108" s="92" t="s">
        <v>168</v>
      </c>
      <c r="N1108" s="92" t="s">
        <v>168</v>
      </c>
      <c r="O1108" s="92" t="s">
        <v>170</v>
      </c>
      <c r="P1108" s="92" t="s">
        <v>1878</v>
      </c>
      <c r="Q1108" s="92" t="s">
        <v>2943</v>
      </c>
      <c r="R1108" s="92">
        <v>5</v>
      </c>
      <c r="S1108" s="92">
        <v>88</v>
      </c>
      <c r="T1108" s="9">
        <v>44166</v>
      </c>
      <c r="U1108" s="9">
        <v>44209</v>
      </c>
    </row>
    <row r="1109" spans="1:21" x14ac:dyDescent="0.2">
      <c r="A1109" s="10" t="str">
        <f>HYPERLINK("http://www.ofsted.gov.uk/inspection-reports/find-inspection-report/provider/ELS/100992 ","Ofsted School Webpage")</f>
        <v>Ofsted School Webpage</v>
      </c>
      <c r="B1109" s="92">
        <v>100992</v>
      </c>
      <c r="C1109" s="92">
        <v>2121057</v>
      </c>
      <c r="D1109" s="92" t="s">
        <v>2944</v>
      </c>
      <c r="E1109" s="92" t="s">
        <v>93</v>
      </c>
      <c r="F1109" s="92" t="s">
        <v>592</v>
      </c>
      <c r="G1109" s="92" t="s">
        <v>270</v>
      </c>
      <c r="H1109" s="92" t="s">
        <v>271</v>
      </c>
      <c r="I1109" s="92" t="s">
        <v>271</v>
      </c>
      <c r="J1109" s="92" t="s">
        <v>273</v>
      </c>
      <c r="K1109" s="92" t="s">
        <v>273</v>
      </c>
      <c r="L1109" s="92" t="s">
        <v>274</v>
      </c>
      <c r="M1109" s="92" t="s">
        <v>122</v>
      </c>
      <c r="N1109" s="92" t="s">
        <v>122</v>
      </c>
      <c r="O1109" s="92" t="s">
        <v>151</v>
      </c>
      <c r="P1109" s="92" t="s">
        <v>2574</v>
      </c>
      <c r="Q1109" s="92" t="s">
        <v>2945</v>
      </c>
      <c r="R1109" s="92">
        <v>3</v>
      </c>
      <c r="S1109" s="92">
        <v>57</v>
      </c>
      <c r="T1109" s="9">
        <v>44166</v>
      </c>
      <c r="U1109" s="9">
        <v>44221</v>
      </c>
    </row>
    <row r="1110" spans="1:21" x14ac:dyDescent="0.2">
      <c r="A1110" s="10" t="str">
        <f>HYPERLINK("http://www.ofsted.gov.uk/inspection-reports/find-inspection-report/provider/ELS/121780 ","Ofsted School Webpage")</f>
        <v>Ofsted School Webpage</v>
      </c>
      <c r="B1110" s="92">
        <v>121780</v>
      </c>
      <c r="C1110" s="92">
        <v>8157030</v>
      </c>
      <c r="D1110" s="92" t="s">
        <v>2946</v>
      </c>
      <c r="E1110" s="92" t="s">
        <v>96</v>
      </c>
      <c r="F1110" s="92" t="s">
        <v>401</v>
      </c>
      <c r="G1110" s="92" t="s">
        <v>270</v>
      </c>
      <c r="H1110" s="92" t="s">
        <v>271</v>
      </c>
      <c r="I1110" s="92" t="s">
        <v>271</v>
      </c>
      <c r="J1110" s="92" t="s">
        <v>273</v>
      </c>
      <c r="K1110" s="92" t="s">
        <v>273</v>
      </c>
      <c r="L1110" s="92" t="s">
        <v>274</v>
      </c>
      <c r="M1110" s="92" t="s">
        <v>261</v>
      </c>
      <c r="N1110" s="92" t="s">
        <v>241</v>
      </c>
      <c r="O1110" s="92" t="s">
        <v>247</v>
      </c>
      <c r="P1110" s="92" t="s">
        <v>1886</v>
      </c>
      <c r="Q1110" s="92" t="s">
        <v>2947</v>
      </c>
      <c r="R1110" s="92">
        <v>2</v>
      </c>
      <c r="S1110" s="92">
        <v>53</v>
      </c>
      <c r="T1110" s="9">
        <v>44166</v>
      </c>
      <c r="U1110" s="9">
        <v>44215</v>
      </c>
    </row>
    <row r="1111" spans="1:21" x14ac:dyDescent="0.2">
      <c r="A1111" s="10" t="str">
        <f>HYPERLINK("http://www.ofsted.gov.uk/inspection-reports/find-inspection-report/provider/ELS/111503 ","Ofsted School Webpage")</f>
        <v>Ofsted School Webpage</v>
      </c>
      <c r="B1111" s="92">
        <v>111503</v>
      </c>
      <c r="C1111" s="92">
        <v>8967106</v>
      </c>
      <c r="D1111" s="92" t="s">
        <v>2948</v>
      </c>
      <c r="E1111" s="92" t="s">
        <v>96</v>
      </c>
      <c r="F1111" s="92" t="s">
        <v>401</v>
      </c>
      <c r="G1111" s="92" t="s">
        <v>270</v>
      </c>
      <c r="H1111" s="92" t="s">
        <v>271</v>
      </c>
      <c r="I1111" s="92" t="s">
        <v>300</v>
      </c>
      <c r="J1111" s="92" t="s">
        <v>273</v>
      </c>
      <c r="K1111" s="92" t="s">
        <v>273</v>
      </c>
      <c r="L1111" s="92" t="s">
        <v>274</v>
      </c>
      <c r="M1111" s="92" t="s">
        <v>168</v>
      </c>
      <c r="N1111" s="92" t="s">
        <v>168</v>
      </c>
      <c r="O1111" s="92" t="s">
        <v>175</v>
      </c>
      <c r="P1111" s="92" t="s">
        <v>2200</v>
      </c>
      <c r="Q1111" s="92" t="s">
        <v>2949</v>
      </c>
      <c r="R1111" s="92">
        <v>3</v>
      </c>
      <c r="S1111" s="92">
        <v>105</v>
      </c>
      <c r="T1111" s="9">
        <v>44166</v>
      </c>
      <c r="U1111" s="9">
        <v>44215</v>
      </c>
    </row>
    <row r="1112" spans="1:21" x14ac:dyDescent="0.2">
      <c r="A1112" s="10" t="str">
        <f>HYPERLINK("http://www.ofsted.gov.uk/inspection-reports/find-inspection-report/provider/ELS/114688 ","Ofsted School Webpage")</f>
        <v>Ofsted School Webpage</v>
      </c>
      <c r="B1112" s="92">
        <v>114688</v>
      </c>
      <c r="C1112" s="92">
        <v>8457021</v>
      </c>
      <c r="D1112" s="92" t="s">
        <v>2950</v>
      </c>
      <c r="E1112" s="92" t="s">
        <v>96</v>
      </c>
      <c r="F1112" s="92" t="s">
        <v>401</v>
      </c>
      <c r="G1112" s="92" t="s">
        <v>270</v>
      </c>
      <c r="H1112" s="92" t="s">
        <v>271</v>
      </c>
      <c r="I1112" s="92" t="s">
        <v>300</v>
      </c>
      <c r="J1112" s="92" t="s">
        <v>273</v>
      </c>
      <c r="K1112" s="92" t="s">
        <v>273</v>
      </c>
      <c r="L1112" s="92" t="s">
        <v>274</v>
      </c>
      <c r="M1112" s="92" t="s">
        <v>192</v>
      </c>
      <c r="N1112" s="92" t="s">
        <v>192</v>
      </c>
      <c r="O1112" s="92" t="s">
        <v>203</v>
      </c>
      <c r="P1112" s="92" t="s">
        <v>614</v>
      </c>
      <c r="Q1112" s="92" t="s">
        <v>2951</v>
      </c>
      <c r="R1112" s="92">
        <v>1</v>
      </c>
      <c r="S1112" s="92">
        <v>118</v>
      </c>
      <c r="T1112" s="9">
        <v>44166</v>
      </c>
      <c r="U1112" s="9">
        <v>44213</v>
      </c>
    </row>
    <row r="1113" spans="1:21" x14ac:dyDescent="0.2">
      <c r="A1113" s="10" t="str">
        <f>HYPERLINK("http://www.ofsted.gov.uk/inspection-reports/find-inspection-report/provider/ELS/139957 ","Ofsted School Webpage")</f>
        <v>Ofsted School Webpage</v>
      </c>
      <c r="B1113" s="92">
        <v>139957</v>
      </c>
      <c r="C1113" s="92">
        <v>9284013</v>
      </c>
      <c r="D1113" s="92" t="s">
        <v>2952</v>
      </c>
      <c r="E1113" s="92" t="s">
        <v>95</v>
      </c>
      <c r="F1113" s="92" t="s">
        <v>409</v>
      </c>
      <c r="G1113" s="9">
        <v>41518</v>
      </c>
      <c r="H1113" s="92" t="s">
        <v>299</v>
      </c>
      <c r="I1113" s="92" t="s">
        <v>300</v>
      </c>
      <c r="J1113" s="92" t="s">
        <v>410</v>
      </c>
      <c r="K1113" s="92" t="s">
        <v>410</v>
      </c>
      <c r="L1113" s="92" t="s">
        <v>274</v>
      </c>
      <c r="M1113" s="92" t="s">
        <v>100</v>
      </c>
      <c r="N1113" s="92" t="s">
        <v>100</v>
      </c>
      <c r="O1113" s="92" t="s">
        <v>107</v>
      </c>
      <c r="P1113" s="92" t="s">
        <v>518</v>
      </c>
      <c r="Q1113" s="92" t="s">
        <v>2953</v>
      </c>
      <c r="R1113" s="92">
        <v>4</v>
      </c>
      <c r="S1113" s="92">
        <v>1190</v>
      </c>
      <c r="T1113" s="9">
        <v>44166</v>
      </c>
      <c r="U1113" s="9">
        <v>44213</v>
      </c>
    </row>
    <row r="1114" spans="1:21" x14ac:dyDescent="0.2">
      <c r="A1114" s="10" t="str">
        <f>HYPERLINK("http://www.ofsted.gov.uk/inspection-reports/find-inspection-report/provider/ELS/138117 ","Ofsted School Webpage")</f>
        <v>Ofsted School Webpage</v>
      </c>
      <c r="B1114" s="92">
        <v>138117</v>
      </c>
      <c r="C1114" s="92">
        <v>9352000</v>
      </c>
      <c r="D1114" s="92" t="s">
        <v>2954</v>
      </c>
      <c r="E1114" s="92" t="s">
        <v>94</v>
      </c>
      <c r="F1114" s="92" t="s">
        <v>409</v>
      </c>
      <c r="G1114" s="9">
        <v>41030</v>
      </c>
      <c r="H1114" s="92" t="s">
        <v>271</v>
      </c>
      <c r="I1114" s="92" t="s">
        <v>272</v>
      </c>
      <c r="J1114" s="92" t="s">
        <v>410</v>
      </c>
      <c r="K1114" s="92" t="s">
        <v>410</v>
      </c>
      <c r="L1114" s="92" t="s">
        <v>274</v>
      </c>
      <c r="M1114" s="92" t="s">
        <v>110</v>
      </c>
      <c r="N1114" s="92" t="s">
        <v>110</v>
      </c>
      <c r="O1114" s="92" t="s">
        <v>114</v>
      </c>
      <c r="P1114" s="92" t="s">
        <v>656</v>
      </c>
      <c r="Q1114" s="92" t="s">
        <v>2955</v>
      </c>
      <c r="R1114" s="92">
        <v>4</v>
      </c>
      <c r="S1114" s="92">
        <v>142</v>
      </c>
      <c r="T1114" s="9">
        <v>44166</v>
      </c>
      <c r="U1114" s="9">
        <v>44213</v>
      </c>
    </row>
    <row r="1115" spans="1:21" x14ac:dyDescent="0.2">
      <c r="A1115" s="10" t="str">
        <f>HYPERLINK("http://www.ofsted.gov.uk/inspection-reports/find-inspection-report/provider/ELS/140853 ","Ofsted School Webpage")</f>
        <v>Ofsted School Webpage</v>
      </c>
      <c r="B1115" s="92">
        <v>140853</v>
      </c>
      <c r="C1115" s="92">
        <v>9282163</v>
      </c>
      <c r="D1115" s="92" t="s">
        <v>2956</v>
      </c>
      <c r="E1115" s="92" t="s">
        <v>94</v>
      </c>
      <c r="F1115" s="92" t="s">
        <v>409</v>
      </c>
      <c r="G1115" s="9">
        <v>41883</v>
      </c>
      <c r="H1115" s="92" t="s">
        <v>271</v>
      </c>
      <c r="I1115" s="92" t="s">
        <v>272</v>
      </c>
      <c r="J1115" s="92" t="s">
        <v>273</v>
      </c>
      <c r="K1115" s="92" t="s">
        <v>410</v>
      </c>
      <c r="L1115" s="92" t="s">
        <v>274</v>
      </c>
      <c r="M1115" s="92" t="s">
        <v>100</v>
      </c>
      <c r="N1115" s="92" t="s">
        <v>100</v>
      </c>
      <c r="O1115" s="92" t="s">
        <v>107</v>
      </c>
      <c r="P1115" s="92" t="s">
        <v>1419</v>
      </c>
      <c r="Q1115" s="92" t="s">
        <v>2957</v>
      </c>
      <c r="R1115" s="92">
        <v>4</v>
      </c>
      <c r="S1115" s="92">
        <v>587</v>
      </c>
      <c r="T1115" s="9">
        <v>44166</v>
      </c>
      <c r="U1115" s="9">
        <v>44209</v>
      </c>
    </row>
    <row r="1116" spans="1:21" x14ac:dyDescent="0.2">
      <c r="A1116" s="10" t="str">
        <f>HYPERLINK("http://www.ofsted.gov.uk/inspection-reports/find-inspection-report/provider/ELS/143132 ","Ofsted School Webpage")</f>
        <v>Ofsted School Webpage</v>
      </c>
      <c r="B1116" s="92">
        <v>143132</v>
      </c>
      <c r="C1116" s="92">
        <v>9252040</v>
      </c>
      <c r="D1116" s="92" t="s">
        <v>2958</v>
      </c>
      <c r="E1116" s="92" t="s">
        <v>94</v>
      </c>
      <c r="F1116" s="92" t="s">
        <v>409</v>
      </c>
      <c r="G1116" s="9">
        <v>42614</v>
      </c>
      <c r="H1116" s="92" t="s">
        <v>271</v>
      </c>
      <c r="I1116" s="92" t="s">
        <v>272</v>
      </c>
      <c r="J1116" s="92" t="s">
        <v>273</v>
      </c>
      <c r="K1116" s="92" t="s">
        <v>484</v>
      </c>
      <c r="L1116" s="92" t="s">
        <v>274</v>
      </c>
      <c r="M1116" s="92" t="s">
        <v>100</v>
      </c>
      <c r="N1116" s="92" t="s">
        <v>100</v>
      </c>
      <c r="O1116" s="92" t="s">
        <v>104</v>
      </c>
      <c r="P1116" s="92" t="s">
        <v>2959</v>
      </c>
      <c r="Q1116" s="92" t="s">
        <v>2960</v>
      </c>
      <c r="R1116" s="92">
        <v>5</v>
      </c>
      <c r="S1116" s="92">
        <v>98</v>
      </c>
      <c r="T1116" s="9">
        <v>44166</v>
      </c>
      <c r="U1116" s="9">
        <v>44209</v>
      </c>
    </row>
    <row r="1117" spans="1:21" x14ac:dyDescent="0.2">
      <c r="A1117" s="10" t="str">
        <f>HYPERLINK("http://www.ofsted.gov.uk/inspection-reports/find-inspection-report/provider/ELS/143271 ","Ofsted School Webpage")</f>
        <v>Ofsted School Webpage</v>
      </c>
      <c r="B1117" s="92">
        <v>143271</v>
      </c>
      <c r="C1117" s="92">
        <v>3912018</v>
      </c>
      <c r="D1117" s="92" t="s">
        <v>2961</v>
      </c>
      <c r="E1117" s="92" t="s">
        <v>94</v>
      </c>
      <c r="F1117" s="92" t="s">
        <v>429</v>
      </c>
      <c r="G1117" s="9">
        <v>42675</v>
      </c>
      <c r="H1117" s="92" t="s">
        <v>271</v>
      </c>
      <c r="I1117" s="92" t="s">
        <v>272</v>
      </c>
      <c r="J1117" s="92" t="s">
        <v>273</v>
      </c>
      <c r="K1117" s="92" t="s">
        <v>273</v>
      </c>
      <c r="L1117" s="92" t="s">
        <v>274</v>
      </c>
      <c r="M1117" s="92" t="s">
        <v>261</v>
      </c>
      <c r="N1117" s="92" t="s">
        <v>155</v>
      </c>
      <c r="O1117" s="92" t="s">
        <v>156</v>
      </c>
      <c r="P1117" s="92" t="s">
        <v>1981</v>
      </c>
      <c r="Q1117" s="92" t="s">
        <v>2962</v>
      </c>
      <c r="R1117" s="92">
        <v>5</v>
      </c>
      <c r="S1117" s="92">
        <v>255</v>
      </c>
      <c r="T1117" s="9">
        <v>44166</v>
      </c>
      <c r="U1117" s="9">
        <v>44209</v>
      </c>
    </row>
    <row r="1118" spans="1:21" x14ac:dyDescent="0.2">
      <c r="A1118" s="10" t="str">
        <f>HYPERLINK("http://www.ofsted.gov.uk/inspection-reports/find-inspection-report/provider/ELS/139629 ","Ofsted School Webpage")</f>
        <v>Ofsted School Webpage</v>
      </c>
      <c r="B1118" s="92">
        <v>139629</v>
      </c>
      <c r="C1118" s="92">
        <v>8104001</v>
      </c>
      <c r="D1118" s="92" t="s">
        <v>2963</v>
      </c>
      <c r="E1118" s="92" t="s">
        <v>95</v>
      </c>
      <c r="F1118" s="92" t="s">
        <v>429</v>
      </c>
      <c r="G1118" s="9">
        <v>41395</v>
      </c>
      <c r="H1118" s="92" t="s">
        <v>299</v>
      </c>
      <c r="I1118" s="92" t="s">
        <v>272</v>
      </c>
      <c r="J1118" s="92" t="s">
        <v>273</v>
      </c>
      <c r="K1118" s="92" t="s">
        <v>273</v>
      </c>
      <c r="L1118" s="92" t="s">
        <v>274</v>
      </c>
      <c r="M1118" s="92" t="s">
        <v>261</v>
      </c>
      <c r="N1118" s="92" t="s">
        <v>241</v>
      </c>
      <c r="O1118" s="92" t="s">
        <v>253</v>
      </c>
      <c r="P1118" s="92" t="s">
        <v>1252</v>
      </c>
      <c r="Q1118" s="92" t="s">
        <v>2964</v>
      </c>
      <c r="R1118" s="92">
        <v>5</v>
      </c>
      <c r="S1118" s="92">
        <v>1282</v>
      </c>
      <c r="T1118" s="9">
        <v>44166</v>
      </c>
      <c r="U1118" s="9">
        <v>44213</v>
      </c>
    </row>
    <row r="1119" spans="1:21" x14ac:dyDescent="0.2">
      <c r="A1119" s="10" t="str">
        <f>HYPERLINK("http://www.ofsted.gov.uk/inspection-reports/find-inspection-report/provider/ELS/138540 ","Ofsted School Webpage")</f>
        <v>Ofsted School Webpage</v>
      </c>
      <c r="B1119" s="92">
        <v>138540</v>
      </c>
      <c r="C1119" s="92">
        <v>3352243</v>
      </c>
      <c r="D1119" s="92" t="s">
        <v>2965</v>
      </c>
      <c r="E1119" s="92" t="s">
        <v>94</v>
      </c>
      <c r="F1119" s="92" t="s">
        <v>429</v>
      </c>
      <c r="G1119" s="9">
        <v>41122</v>
      </c>
      <c r="H1119" s="92" t="s">
        <v>271</v>
      </c>
      <c r="I1119" s="92" t="s">
        <v>272</v>
      </c>
      <c r="J1119" s="92" t="s">
        <v>273</v>
      </c>
      <c r="K1119" s="92" t="s">
        <v>273</v>
      </c>
      <c r="L1119" s="92" t="s">
        <v>274</v>
      </c>
      <c r="M1119" s="92" t="s">
        <v>226</v>
      </c>
      <c r="N1119" s="92" t="s">
        <v>226</v>
      </c>
      <c r="O1119" s="92" t="s">
        <v>230</v>
      </c>
      <c r="P1119" s="92" t="s">
        <v>1992</v>
      </c>
      <c r="Q1119" s="92" t="s">
        <v>2966</v>
      </c>
      <c r="R1119" s="92">
        <v>5</v>
      </c>
      <c r="S1119" s="92">
        <v>232</v>
      </c>
      <c r="T1119" s="9">
        <v>44166</v>
      </c>
      <c r="U1119" s="9">
        <v>44209</v>
      </c>
    </row>
    <row r="1120" spans="1:21" x14ac:dyDescent="0.2">
      <c r="A1120" s="10" t="str">
        <f>HYPERLINK("http://www.ofsted.gov.uk/inspection-reports/find-inspection-report/provider/ELS/142247 ","Ofsted School Webpage")</f>
        <v>Ofsted School Webpage</v>
      </c>
      <c r="B1120" s="92">
        <v>142247</v>
      </c>
      <c r="C1120" s="92">
        <v>9092507</v>
      </c>
      <c r="D1120" s="92" t="s">
        <v>2967</v>
      </c>
      <c r="E1120" s="92" t="s">
        <v>94</v>
      </c>
      <c r="F1120" s="92" t="s">
        <v>429</v>
      </c>
      <c r="G1120" s="9">
        <v>42248</v>
      </c>
      <c r="H1120" s="92" t="s">
        <v>271</v>
      </c>
      <c r="I1120" s="92" t="s">
        <v>272</v>
      </c>
      <c r="J1120" s="92" t="s">
        <v>273</v>
      </c>
      <c r="K1120" s="92" t="s">
        <v>273</v>
      </c>
      <c r="L1120" s="92" t="s">
        <v>274</v>
      </c>
      <c r="M1120" s="92" t="s">
        <v>168</v>
      </c>
      <c r="N1120" s="92" t="s">
        <v>168</v>
      </c>
      <c r="O1120" s="92" t="s">
        <v>176</v>
      </c>
      <c r="P1120" s="92" t="s">
        <v>368</v>
      </c>
      <c r="Q1120" s="92" t="s">
        <v>2968</v>
      </c>
      <c r="R1120" s="92">
        <v>3</v>
      </c>
      <c r="S1120" s="92">
        <v>208</v>
      </c>
      <c r="T1120" s="9">
        <v>44166</v>
      </c>
      <c r="U1120" s="9">
        <v>44216</v>
      </c>
    </row>
    <row r="1121" spans="1:21" x14ac:dyDescent="0.2">
      <c r="A1121" s="10" t="str">
        <f>HYPERLINK("http://www.ofsted.gov.uk/inspection-reports/find-inspection-report/provider/ELS/144765 ","Ofsted School Webpage")</f>
        <v>Ofsted School Webpage</v>
      </c>
      <c r="B1121" s="92">
        <v>144765</v>
      </c>
      <c r="C1121" s="92">
        <v>9357013</v>
      </c>
      <c r="D1121" s="92" t="s">
        <v>2969</v>
      </c>
      <c r="E1121" s="92" t="s">
        <v>96</v>
      </c>
      <c r="F1121" s="92" t="s">
        <v>488</v>
      </c>
      <c r="G1121" s="9">
        <v>42982</v>
      </c>
      <c r="H1121" s="92" t="s">
        <v>484</v>
      </c>
      <c r="I1121" s="92" t="s">
        <v>272</v>
      </c>
      <c r="J1121" s="92" t="s">
        <v>410</v>
      </c>
      <c r="K1121" s="92" t="s">
        <v>410</v>
      </c>
      <c r="L1121" s="92" t="s">
        <v>274</v>
      </c>
      <c r="M1121" s="92" t="s">
        <v>110</v>
      </c>
      <c r="N1121" s="92" t="s">
        <v>110</v>
      </c>
      <c r="O1121" s="92" t="s">
        <v>114</v>
      </c>
      <c r="P1121" s="92" t="s">
        <v>1258</v>
      </c>
      <c r="Q1121" s="92" t="s">
        <v>2970</v>
      </c>
      <c r="R1121" s="92">
        <v>4</v>
      </c>
      <c r="S1121" s="92">
        <v>51</v>
      </c>
      <c r="T1121" s="9">
        <v>44166</v>
      </c>
      <c r="U1121" s="9">
        <v>44209</v>
      </c>
    </row>
    <row r="1122" spans="1:21" x14ac:dyDescent="0.2">
      <c r="A1122" s="10" t="str">
        <f>HYPERLINK("http://www.ofsted.gov.uk/inspection-reports/find-inspection-report/provider/ELS/142492 ","Ofsted School Webpage")</f>
        <v>Ofsted School Webpage</v>
      </c>
      <c r="B1122" s="92">
        <v>142492</v>
      </c>
      <c r="C1122" s="92">
        <v>8023121</v>
      </c>
      <c r="D1122" s="92" t="s">
        <v>2971</v>
      </c>
      <c r="E1122" s="92" t="s">
        <v>94</v>
      </c>
      <c r="F1122" s="92" t="s">
        <v>429</v>
      </c>
      <c r="G1122" s="9">
        <v>42339</v>
      </c>
      <c r="H1122" s="92" t="s">
        <v>271</v>
      </c>
      <c r="I1122" s="92" t="s">
        <v>272</v>
      </c>
      <c r="J1122" s="92" t="s">
        <v>346</v>
      </c>
      <c r="K1122" s="92" t="s">
        <v>273</v>
      </c>
      <c r="L1122" s="92" t="s">
        <v>347</v>
      </c>
      <c r="M1122" s="92" t="s">
        <v>211</v>
      </c>
      <c r="N1122" s="92" t="s">
        <v>211</v>
      </c>
      <c r="O1122" s="92" t="s">
        <v>222</v>
      </c>
      <c r="P1122" s="92" t="s">
        <v>222</v>
      </c>
      <c r="Q1122" s="92" t="s">
        <v>2972</v>
      </c>
      <c r="R1122" s="92">
        <v>1</v>
      </c>
      <c r="S1122" s="92">
        <v>132</v>
      </c>
      <c r="T1122" s="9">
        <v>44166</v>
      </c>
      <c r="U1122" s="9">
        <v>44180</v>
      </c>
    </row>
    <row r="1123" spans="1:21" x14ac:dyDescent="0.2">
      <c r="A1123" s="10" t="str">
        <f>HYPERLINK("http://www.ofsted.gov.uk/inspection-reports/find-inspection-report/provider/ELS/143791 ","Ofsted School Webpage")</f>
        <v>Ofsted School Webpage</v>
      </c>
      <c r="B1123" s="92">
        <v>143791</v>
      </c>
      <c r="C1123" s="92">
        <v>3824054</v>
      </c>
      <c r="D1123" s="92" t="s">
        <v>2973</v>
      </c>
      <c r="E1123" s="92" t="s">
        <v>95</v>
      </c>
      <c r="F1123" s="92" t="s">
        <v>429</v>
      </c>
      <c r="G1123" s="9">
        <v>42705</v>
      </c>
      <c r="H1123" s="92" t="s">
        <v>271</v>
      </c>
      <c r="I1123" s="92" t="s">
        <v>272</v>
      </c>
      <c r="J1123" s="92" t="s">
        <v>273</v>
      </c>
      <c r="K1123" s="92" t="s">
        <v>273</v>
      </c>
      <c r="L1123" s="92" t="s">
        <v>274</v>
      </c>
      <c r="M1123" s="92" t="s">
        <v>261</v>
      </c>
      <c r="N1123" s="92" t="s">
        <v>241</v>
      </c>
      <c r="O1123" s="92" t="s">
        <v>251</v>
      </c>
      <c r="P1123" s="92" t="s">
        <v>880</v>
      </c>
      <c r="Q1123" s="92" t="s">
        <v>2974</v>
      </c>
      <c r="R1123" s="92">
        <v>1</v>
      </c>
      <c r="S1123" s="92">
        <v>516</v>
      </c>
      <c r="T1123" s="9">
        <v>44166</v>
      </c>
      <c r="U1123" s="9">
        <v>44213</v>
      </c>
    </row>
    <row r="1124" spans="1:21" x14ac:dyDescent="0.2">
      <c r="A1124" s="10" t="str">
        <f>HYPERLINK("http://www.ofsted.gov.uk/inspection-reports/find-inspection-report/provider/ELS/140832 ","Ofsted School Webpage")</f>
        <v>Ofsted School Webpage</v>
      </c>
      <c r="B1124" s="92">
        <v>140832</v>
      </c>
      <c r="C1124" s="92">
        <v>8832007</v>
      </c>
      <c r="D1124" s="92" t="s">
        <v>2975</v>
      </c>
      <c r="E1124" s="92" t="s">
        <v>94</v>
      </c>
      <c r="F1124" s="92" t="s">
        <v>409</v>
      </c>
      <c r="G1124" s="9">
        <v>41760</v>
      </c>
      <c r="H1124" s="92" t="s">
        <v>484</v>
      </c>
      <c r="I1124" s="92" t="s">
        <v>272</v>
      </c>
      <c r="J1124" s="92" t="s">
        <v>273</v>
      </c>
      <c r="K1124" s="92" t="s">
        <v>410</v>
      </c>
      <c r="L1124" s="92" t="s">
        <v>274</v>
      </c>
      <c r="M1124" s="92" t="s">
        <v>110</v>
      </c>
      <c r="N1124" s="92" t="s">
        <v>110</v>
      </c>
      <c r="O1124" s="92" t="s">
        <v>113</v>
      </c>
      <c r="P1124" s="92" t="s">
        <v>113</v>
      </c>
      <c r="Q1124" s="92" t="s">
        <v>2976</v>
      </c>
      <c r="R1124" s="92">
        <v>5</v>
      </c>
      <c r="S1124" s="92">
        <v>484</v>
      </c>
      <c r="T1124" s="9">
        <v>44166</v>
      </c>
      <c r="U1124" s="9">
        <v>44209</v>
      </c>
    </row>
    <row r="1125" spans="1:21" x14ac:dyDescent="0.2">
      <c r="A1125" s="10" t="str">
        <f>HYPERLINK("http://www.ofsted.gov.uk/inspection-reports/find-inspection-report/provider/ELS/140992 ","Ofsted School Webpage")</f>
        <v>Ofsted School Webpage</v>
      </c>
      <c r="B1125" s="92">
        <v>140992</v>
      </c>
      <c r="C1125" s="92">
        <v>8914019</v>
      </c>
      <c r="D1125" s="92" t="s">
        <v>2977</v>
      </c>
      <c r="E1125" s="92" t="s">
        <v>95</v>
      </c>
      <c r="F1125" s="92" t="s">
        <v>409</v>
      </c>
      <c r="G1125" s="9">
        <v>41821</v>
      </c>
      <c r="H1125" s="92" t="s">
        <v>299</v>
      </c>
      <c r="I1125" s="92" t="s">
        <v>300</v>
      </c>
      <c r="J1125" s="92" t="s">
        <v>273</v>
      </c>
      <c r="K1125" s="92" t="s">
        <v>410</v>
      </c>
      <c r="L1125" s="92" t="s">
        <v>274</v>
      </c>
      <c r="M1125" s="92" t="s">
        <v>100</v>
      </c>
      <c r="N1125" s="92" t="s">
        <v>100</v>
      </c>
      <c r="O1125" s="92" t="s">
        <v>105</v>
      </c>
      <c r="P1125" s="92" t="s">
        <v>470</v>
      </c>
      <c r="Q1125" s="92" t="s">
        <v>2978</v>
      </c>
      <c r="R1125" s="92">
        <v>4</v>
      </c>
      <c r="S1125" s="92">
        <v>824</v>
      </c>
      <c r="T1125" s="9">
        <v>44166</v>
      </c>
      <c r="U1125" s="9">
        <v>44209</v>
      </c>
    </row>
    <row r="1126" spans="1:21" x14ac:dyDescent="0.2">
      <c r="A1126" s="10" t="str">
        <f>HYPERLINK("http://www.ofsted.gov.uk/inspection-reports/find-inspection-report/provider/ELS/139641 ","Ofsted School Webpage")</f>
        <v>Ofsted School Webpage</v>
      </c>
      <c r="B1126" s="92">
        <v>139641</v>
      </c>
      <c r="C1126" s="92">
        <v>8812067</v>
      </c>
      <c r="D1126" s="92" t="s">
        <v>2979</v>
      </c>
      <c r="E1126" s="92" t="s">
        <v>94</v>
      </c>
      <c r="F1126" s="92" t="s">
        <v>409</v>
      </c>
      <c r="G1126" s="9">
        <v>41518</v>
      </c>
      <c r="H1126" s="92" t="s">
        <v>271</v>
      </c>
      <c r="I1126" s="92" t="s">
        <v>272</v>
      </c>
      <c r="J1126" s="92" t="s">
        <v>273</v>
      </c>
      <c r="K1126" s="92" t="s">
        <v>410</v>
      </c>
      <c r="L1126" s="92" t="s">
        <v>274</v>
      </c>
      <c r="M1126" s="92" t="s">
        <v>110</v>
      </c>
      <c r="N1126" s="92" t="s">
        <v>110</v>
      </c>
      <c r="O1126" s="92" t="s">
        <v>119</v>
      </c>
      <c r="P1126" s="92" t="s">
        <v>586</v>
      </c>
      <c r="Q1126" s="92" t="s">
        <v>2980</v>
      </c>
      <c r="R1126" s="92">
        <v>5</v>
      </c>
      <c r="S1126" s="92">
        <v>428</v>
      </c>
      <c r="T1126" s="9">
        <v>44166</v>
      </c>
      <c r="U1126" s="9">
        <v>44209</v>
      </c>
    </row>
    <row r="1127" spans="1:21" x14ac:dyDescent="0.2">
      <c r="A1127" s="10" t="str">
        <f>HYPERLINK("http://www.ofsted.gov.uk/inspection-reports/find-inspection-report/provider/ELS/137312 ","Ofsted School Webpage")</f>
        <v>Ofsted School Webpage</v>
      </c>
      <c r="B1127" s="92">
        <v>137312</v>
      </c>
      <c r="C1127" s="92">
        <v>8825465</v>
      </c>
      <c r="D1127" s="92" t="s">
        <v>2981</v>
      </c>
      <c r="E1127" s="92" t="s">
        <v>95</v>
      </c>
      <c r="F1127" s="92" t="s">
        <v>429</v>
      </c>
      <c r="G1127" s="9">
        <v>40772</v>
      </c>
      <c r="H1127" s="92" t="s">
        <v>299</v>
      </c>
      <c r="I1127" s="92" t="s">
        <v>300</v>
      </c>
      <c r="J1127" s="92" t="s">
        <v>352</v>
      </c>
      <c r="K1127" s="92" t="s">
        <v>273</v>
      </c>
      <c r="L1127" s="92" t="s">
        <v>347</v>
      </c>
      <c r="M1127" s="92" t="s">
        <v>110</v>
      </c>
      <c r="N1127" s="92" t="s">
        <v>110</v>
      </c>
      <c r="O1127" s="92" t="s">
        <v>121</v>
      </c>
      <c r="P1127" s="92" t="s">
        <v>2982</v>
      </c>
      <c r="Q1127" s="92" t="s">
        <v>2983</v>
      </c>
      <c r="R1127" s="92">
        <v>4</v>
      </c>
      <c r="S1127" s="92">
        <v>883</v>
      </c>
      <c r="T1127" s="9">
        <v>44166</v>
      </c>
      <c r="U1127" s="9">
        <v>44209</v>
      </c>
    </row>
    <row r="1128" spans="1:21" x14ac:dyDescent="0.2">
      <c r="A1128" s="10" t="str">
        <f>HYPERLINK("http://www.ofsted.gov.uk/inspection-reports/find-inspection-report/provider/ELS/139747 ","Ofsted School Webpage")</f>
        <v>Ofsted School Webpage</v>
      </c>
      <c r="B1128" s="92">
        <v>139747</v>
      </c>
      <c r="C1128" s="92">
        <v>8523659</v>
      </c>
      <c r="D1128" s="92" t="s">
        <v>2984</v>
      </c>
      <c r="E1128" s="92" t="s">
        <v>94</v>
      </c>
      <c r="F1128" s="92" t="s">
        <v>429</v>
      </c>
      <c r="G1128" s="9">
        <v>41426</v>
      </c>
      <c r="H1128" s="92" t="s">
        <v>271</v>
      </c>
      <c r="I1128" s="92" t="s">
        <v>272</v>
      </c>
      <c r="J1128" s="92" t="s">
        <v>273</v>
      </c>
      <c r="K1128" s="92" t="s">
        <v>273</v>
      </c>
      <c r="L1128" s="92" t="s">
        <v>274</v>
      </c>
      <c r="M1128" s="92" t="s">
        <v>192</v>
      </c>
      <c r="N1128" s="92" t="s">
        <v>192</v>
      </c>
      <c r="O1128" s="92" t="s">
        <v>202</v>
      </c>
      <c r="P1128" s="92" t="s">
        <v>1255</v>
      </c>
      <c r="Q1128" s="92" t="s">
        <v>2985</v>
      </c>
      <c r="R1128" s="92">
        <v>5</v>
      </c>
      <c r="S1128" s="92">
        <v>417</v>
      </c>
      <c r="T1128" s="9">
        <v>44166</v>
      </c>
      <c r="U1128" s="9">
        <v>44213</v>
      </c>
    </row>
    <row r="1129" spans="1:21" x14ac:dyDescent="0.2">
      <c r="A1129" s="10" t="str">
        <f>HYPERLINK("http://www.ofsted.gov.uk/inspection-reports/find-inspection-report/provider/ELS/136459 ","Ofsted School Webpage")</f>
        <v>Ofsted School Webpage</v>
      </c>
      <c r="B1129" s="92">
        <v>136459</v>
      </c>
      <c r="C1129" s="92">
        <v>9374112</v>
      </c>
      <c r="D1129" s="92" t="s">
        <v>2986</v>
      </c>
      <c r="E1129" s="92" t="s">
        <v>95</v>
      </c>
      <c r="F1129" s="92" t="s">
        <v>429</v>
      </c>
      <c r="G1129" s="9">
        <v>40575</v>
      </c>
      <c r="H1129" s="92" t="s">
        <v>299</v>
      </c>
      <c r="I1129" s="92" t="s">
        <v>300</v>
      </c>
      <c r="J1129" s="92" t="s">
        <v>273</v>
      </c>
      <c r="K1129" s="92" t="s">
        <v>273</v>
      </c>
      <c r="L1129" s="92" t="s">
        <v>274</v>
      </c>
      <c r="M1129" s="92" t="s">
        <v>226</v>
      </c>
      <c r="N1129" s="92" t="s">
        <v>226</v>
      </c>
      <c r="O1129" s="92" t="s">
        <v>235</v>
      </c>
      <c r="P1129" s="92" t="s">
        <v>2987</v>
      </c>
      <c r="Q1129" s="92" t="s">
        <v>2988</v>
      </c>
      <c r="R1129" s="92">
        <v>2</v>
      </c>
      <c r="S1129" s="92">
        <v>1526</v>
      </c>
      <c r="T1129" s="9">
        <v>44166</v>
      </c>
      <c r="U1129" s="9">
        <v>44209</v>
      </c>
    </row>
    <row r="1130" spans="1:21" x14ac:dyDescent="0.2">
      <c r="A1130" s="10" t="str">
        <f>HYPERLINK("http://www.ofsted.gov.uk/inspection-reports/find-inspection-report/provider/ELS/140902 ","Ofsted School Webpage")</f>
        <v>Ofsted School Webpage</v>
      </c>
      <c r="B1130" s="92">
        <v>140902</v>
      </c>
      <c r="C1130" s="92">
        <v>8102891</v>
      </c>
      <c r="D1130" s="92" t="s">
        <v>2989</v>
      </c>
      <c r="E1130" s="92" t="s">
        <v>94</v>
      </c>
      <c r="F1130" s="92" t="s">
        <v>429</v>
      </c>
      <c r="G1130" s="9">
        <v>42036</v>
      </c>
      <c r="H1130" s="92" t="s">
        <v>271</v>
      </c>
      <c r="I1130" s="92" t="s">
        <v>272</v>
      </c>
      <c r="J1130" s="92" t="s">
        <v>273</v>
      </c>
      <c r="K1130" s="92" t="s">
        <v>273</v>
      </c>
      <c r="L1130" s="92" t="s">
        <v>274</v>
      </c>
      <c r="M1130" s="92" t="s">
        <v>261</v>
      </c>
      <c r="N1130" s="92" t="s">
        <v>241</v>
      </c>
      <c r="O1130" s="92" t="s">
        <v>253</v>
      </c>
      <c r="P1130" s="92" t="s">
        <v>1851</v>
      </c>
      <c r="Q1130" s="92" t="s">
        <v>2990</v>
      </c>
      <c r="R1130" s="92">
        <v>5</v>
      </c>
      <c r="S1130" s="92">
        <v>465</v>
      </c>
      <c r="T1130" s="9">
        <v>44166</v>
      </c>
      <c r="U1130" s="9">
        <v>44213</v>
      </c>
    </row>
    <row r="1131" spans="1:21" x14ac:dyDescent="0.2">
      <c r="A1131" s="10" t="str">
        <f>HYPERLINK("http://www.ofsted.gov.uk/inspection-reports/find-inspection-report/provider/ELS/141682 ","Ofsted School Webpage")</f>
        <v>Ofsted School Webpage</v>
      </c>
      <c r="B1131" s="92">
        <v>141682</v>
      </c>
      <c r="C1131" s="92">
        <v>8554013</v>
      </c>
      <c r="D1131" s="92" t="s">
        <v>2991</v>
      </c>
      <c r="E1131" s="92" t="s">
        <v>95</v>
      </c>
      <c r="F1131" s="92" t="s">
        <v>429</v>
      </c>
      <c r="G1131" s="9">
        <v>42248</v>
      </c>
      <c r="H1131" s="92" t="s">
        <v>484</v>
      </c>
      <c r="I1131" s="92" t="s">
        <v>300</v>
      </c>
      <c r="J1131" s="92" t="s">
        <v>410</v>
      </c>
      <c r="K1131" s="92" t="s">
        <v>273</v>
      </c>
      <c r="L1131" s="92" t="s">
        <v>274</v>
      </c>
      <c r="M1131" s="92" t="s">
        <v>100</v>
      </c>
      <c r="N1131" s="92" t="s">
        <v>100</v>
      </c>
      <c r="O1131" s="92" t="s">
        <v>108</v>
      </c>
      <c r="P1131" s="92" t="s">
        <v>1226</v>
      </c>
      <c r="Q1131" s="92" t="s">
        <v>2992</v>
      </c>
      <c r="R1131" s="92">
        <v>2</v>
      </c>
      <c r="S1131" s="92">
        <v>1121</v>
      </c>
      <c r="T1131" s="9">
        <v>44166</v>
      </c>
      <c r="U1131" s="9">
        <v>44209</v>
      </c>
    </row>
    <row r="1132" spans="1:21" x14ac:dyDescent="0.2">
      <c r="A1132" s="10" t="str">
        <f>HYPERLINK("http://www.ofsted.gov.uk/inspection-reports/find-inspection-report/provider/ELS/142073 ","Ofsted School Webpage")</f>
        <v>Ofsted School Webpage</v>
      </c>
      <c r="B1132" s="92">
        <v>142073</v>
      </c>
      <c r="C1132" s="92">
        <v>3554002</v>
      </c>
      <c r="D1132" s="92" t="s">
        <v>2993</v>
      </c>
      <c r="E1132" s="92" t="s">
        <v>95</v>
      </c>
      <c r="F1132" s="92" t="s">
        <v>409</v>
      </c>
      <c r="G1132" s="9">
        <v>42917</v>
      </c>
      <c r="H1132" s="92" t="s">
        <v>271</v>
      </c>
      <c r="I1132" s="92" t="s">
        <v>300</v>
      </c>
      <c r="J1132" s="92" t="s">
        <v>273</v>
      </c>
      <c r="K1132" s="92" t="s">
        <v>410</v>
      </c>
      <c r="L1132" s="92" t="s">
        <v>274</v>
      </c>
      <c r="M1132" s="92" t="s">
        <v>168</v>
      </c>
      <c r="N1132" s="92" t="s">
        <v>168</v>
      </c>
      <c r="O1132" s="92" t="s">
        <v>191</v>
      </c>
      <c r="P1132" s="92" t="s">
        <v>2994</v>
      </c>
      <c r="Q1132" s="92" t="s">
        <v>2995</v>
      </c>
      <c r="R1132" s="92">
        <v>4</v>
      </c>
      <c r="S1132" s="92">
        <v>597</v>
      </c>
      <c r="T1132" s="9">
        <v>44166</v>
      </c>
      <c r="U1132" s="9">
        <v>44213</v>
      </c>
    </row>
    <row r="1133" spans="1:21" x14ac:dyDescent="0.2">
      <c r="A1133" s="10" t="str">
        <f>HYPERLINK("http://www.ofsted.gov.uk/inspection-reports/find-inspection-report/provider/ELS/140128 ","Ofsted School Webpage")</f>
        <v>Ofsted School Webpage</v>
      </c>
      <c r="B1133" s="92">
        <v>140128</v>
      </c>
      <c r="C1133" s="92">
        <v>8903814</v>
      </c>
      <c r="D1133" s="92" t="s">
        <v>2996</v>
      </c>
      <c r="E1133" s="92" t="s">
        <v>94</v>
      </c>
      <c r="F1133" s="92" t="s">
        <v>429</v>
      </c>
      <c r="G1133" s="9">
        <v>41518</v>
      </c>
      <c r="H1133" s="92" t="s">
        <v>271</v>
      </c>
      <c r="I1133" s="92" t="s">
        <v>272</v>
      </c>
      <c r="J1133" s="92" t="s">
        <v>273</v>
      </c>
      <c r="K1133" s="92" t="s">
        <v>273</v>
      </c>
      <c r="L1133" s="92" t="s">
        <v>274</v>
      </c>
      <c r="M1133" s="92" t="s">
        <v>168</v>
      </c>
      <c r="N1133" s="92" t="s">
        <v>168</v>
      </c>
      <c r="O1133" s="92" t="s">
        <v>177</v>
      </c>
      <c r="P1133" s="92" t="s">
        <v>481</v>
      </c>
      <c r="Q1133" s="92" t="s">
        <v>2997</v>
      </c>
      <c r="R1133" s="92">
        <v>5</v>
      </c>
      <c r="S1133" s="92">
        <v>445</v>
      </c>
      <c r="T1133" s="9">
        <v>44166</v>
      </c>
      <c r="U1133" s="9">
        <v>44217</v>
      </c>
    </row>
    <row r="1134" spans="1:21" x14ac:dyDescent="0.2">
      <c r="A1134" s="10" t="str">
        <f>HYPERLINK("http://www.ofsted.gov.uk/inspection-reports/find-inspection-report/provider/ELS/101325 ","Ofsted School Webpage")</f>
        <v>Ofsted School Webpage</v>
      </c>
      <c r="B1134" s="92">
        <v>101325</v>
      </c>
      <c r="C1134" s="92">
        <v>3023313</v>
      </c>
      <c r="D1134" s="92" t="s">
        <v>2998</v>
      </c>
      <c r="E1134" s="92" t="s">
        <v>94</v>
      </c>
      <c r="F1134" s="92" t="s">
        <v>351</v>
      </c>
      <c r="G1134" s="92" t="s">
        <v>270</v>
      </c>
      <c r="H1134" s="92" t="s">
        <v>271</v>
      </c>
      <c r="I1134" s="92" t="s">
        <v>272</v>
      </c>
      <c r="J1134" s="92" t="s">
        <v>346</v>
      </c>
      <c r="K1134" s="92" t="s">
        <v>273</v>
      </c>
      <c r="L1134" s="92" t="s">
        <v>347</v>
      </c>
      <c r="M1134" s="92" t="s">
        <v>122</v>
      </c>
      <c r="N1134" s="92" t="s">
        <v>122</v>
      </c>
      <c r="O1134" s="92" t="s">
        <v>136</v>
      </c>
      <c r="P1134" s="92" t="s">
        <v>1022</v>
      </c>
      <c r="Q1134" s="92" t="s">
        <v>2999</v>
      </c>
      <c r="R1134" s="92">
        <v>4</v>
      </c>
      <c r="S1134" s="92">
        <v>214</v>
      </c>
      <c r="T1134" s="9">
        <v>44166</v>
      </c>
      <c r="U1134" s="9">
        <v>44213</v>
      </c>
    </row>
    <row r="1135" spans="1:21" x14ac:dyDescent="0.2">
      <c r="A1135" s="10" t="str">
        <f>HYPERLINK("http://www.ofsted.gov.uk/inspection-reports/find-inspection-report/provider/ELS/108723 ","Ofsted School Webpage")</f>
        <v>Ofsted School Webpage</v>
      </c>
      <c r="B1135" s="92">
        <v>108723</v>
      </c>
      <c r="C1135" s="92">
        <v>3933313</v>
      </c>
      <c r="D1135" s="92" t="s">
        <v>3000</v>
      </c>
      <c r="E1135" s="92" t="s">
        <v>94</v>
      </c>
      <c r="F1135" s="92" t="s">
        <v>351</v>
      </c>
      <c r="G1135" s="92" t="s">
        <v>270</v>
      </c>
      <c r="H1135" s="92" t="s">
        <v>271</v>
      </c>
      <c r="I1135" s="92" t="s">
        <v>272</v>
      </c>
      <c r="J1135" s="92" t="s">
        <v>352</v>
      </c>
      <c r="K1135" s="92" t="s">
        <v>273</v>
      </c>
      <c r="L1135" s="92" t="s">
        <v>347</v>
      </c>
      <c r="M1135" s="92" t="s">
        <v>261</v>
      </c>
      <c r="N1135" s="92" t="s">
        <v>155</v>
      </c>
      <c r="O1135" s="92" t="s">
        <v>157</v>
      </c>
      <c r="P1135" s="92" t="s">
        <v>337</v>
      </c>
      <c r="Q1135" s="92" t="s">
        <v>3001</v>
      </c>
      <c r="R1135" s="92">
        <v>5</v>
      </c>
      <c r="S1135" s="92">
        <v>209</v>
      </c>
      <c r="T1135" s="9">
        <v>44166</v>
      </c>
      <c r="U1135" s="9">
        <v>44209</v>
      </c>
    </row>
    <row r="1136" spans="1:21" x14ac:dyDescent="0.2">
      <c r="A1136" s="10" t="str">
        <f>HYPERLINK("http://www.ofsted.gov.uk/inspection-reports/find-inspection-report/provider/ELS/108097 ","Ofsted School Webpage")</f>
        <v>Ofsted School Webpage</v>
      </c>
      <c r="B1136" s="92">
        <v>108097</v>
      </c>
      <c r="C1136" s="92">
        <v>3834753</v>
      </c>
      <c r="D1136" s="92" t="s">
        <v>3002</v>
      </c>
      <c r="E1136" s="92" t="s">
        <v>95</v>
      </c>
      <c r="F1136" s="92" t="s">
        <v>351</v>
      </c>
      <c r="G1136" s="92" t="s">
        <v>270</v>
      </c>
      <c r="H1136" s="92" t="s">
        <v>299</v>
      </c>
      <c r="I1136" s="92" t="s">
        <v>272</v>
      </c>
      <c r="J1136" s="92" t="s">
        <v>352</v>
      </c>
      <c r="K1136" s="92" t="s">
        <v>273</v>
      </c>
      <c r="L1136" s="92" t="s">
        <v>347</v>
      </c>
      <c r="M1136" s="92" t="s">
        <v>261</v>
      </c>
      <c r="N1136" s="92" t="s">
        <v>241</v>
      </c>
      <c r="O1136" s="92" t="s">
        <v>244</v>
      </c>
      <c r="P1136" s="92" t="s">
        <v>2130</v>
      </c>
      <c r="Q1136" s="92" t="s">
        <v>3003</v>
      </c>
      <c r="R1136" s="92">
        <v>5</v>
      </c>
      <c r="S1136" s="92">
        <v>937</v>
      </c>
      <c r="T1136" s="9">
        <v>44166</v>
      </c>
      <c r="U1136" s="9">
        <v>44213</v>
      </c>
    </row>
    <row r="1137" spans="1:21" x14ac:dyDescent="0.2">
      <c r="A1137" s="10" t="str">
        <f>HYPERLINK("http://www.ofsted.gov.uk/inspection-reports/find-inspection-report/provider/ELS/109623 ","Ofsted School Webpage")</f>
        <v>Ofsted School Webpage</v>
      </c>
      <c r="B1137" s="92">
        <v>109623</v>
      </c>
      <c r="C1137" s="92">
        <v>8223327</v>
      </c>
      <c r="D1137" s="92" t="s">
        <v>3004</v>
      </c>
      <c r="E1137" s="92" t="s">
        <v>94</v>
      </c>
      <c r="F1137" s="92" t="s">
        <v>351</v>
      </c>
      <c r="G1137" s="9">
        <v>1</v>
      </c>
      <c r="H1137" s="92" t="s">
        <v>299</v>
      </c>
      <c r="I1137" s="92" t="s">
        <v>272</v>
      </c>
      <c r="J1137" s="92" t="s">
        <v>346</v>
      </c>
      <c r="K1137" s="92" t="s">
        <v>273</v>
      </c>
      <c r="L1137" s="92" t="s">
        <v>347</v>
      </c>
      <c r="M1137" s="92" t="s">
        <v>110</v>
      </c>
      <c r="N1137" s="92" t="s">
        <v>110</v>
      </c>
      <c r="O1137" s="92" t="s">
        <v>111</v>
      </c>
      <c r="P1137" s="92" t="s">
        <v>473</v>
      </c>
      <c r="Q1137" s="92" t="s">
        <v>3005</v>
      </c>
      <c r="R1137" s="92">
        <v>3</v>
      </c>
      <c r="S1137" s="92">
        <v>99</v>
      </c>
      <c r="T1137" s="9">
        <v>44166</v>
      </c>
      <c r="U1137" s="9">
        <v>44209</v>
      </c>
    </row>
    <row r="1138" spans="1:21" x14ac:dyDescent="0.2">
      <c r="A1138" s="10" t="str">
        <f>HYPERLINK("http://www.ofsted.gov.uk/inspection-reports/find-inspection-report/provider/ELS/105074 ","Ofsted School Webpage")</f>
        <v>Ofsted School Webpage</v>
      </c>
      <c r="B1138" s="92">
        <v>105074</v>
      </c>
      <c r="C1138" s="92">
        <v>3443335</v>
      </c>
      <c r="D1138" s="92" t="s">
        <v>1593</v>
      </c>
      <c r="E1138" s="92" t="s">
        <v>94</v>
      </c>
      <c r="F1138" s="92" t="s">
        <v>351</v>
      </c>
      <c r="G1138" s="92" t="s">
        <v>270</v>
      </c>
      <c r="H1138" s="92" t="s">
        <v>271</v>
      </c>
      <c r="I1138" s="92" t="s">
        <v>272</v>
      </c>
      <c r="J1138" s="92" t="s">
        <v>352</v>
      </c>
      <c r="K1138" s="92" t="s">
        <v>273</v>
      </c>
      <c r="L1138" s="92" t="s">
        <v>347</v>
      </c>
      <c r="M1138" s="92" t="s">
        <v>168</v>
      </c>
      <c r="N1138" s="92" t="s">
        <v>168</v>
      </c>
      <c r="O1138" s="92" t="s">
        <v>181</v>
      </c>
      <c r="P1138" s="92" t="s">
        <v>786</v>
      </c>
      <c r="Q1138" s="92" t="s">
        <v>3006</v>
      </c>
      <c r="R1138" s="92">
        <v>4</v>
      </c>
      <c r="S1138" s="92">
        <v>405</v>
      </c>
      <c r="T1138" s="9">
        <v>44166</v>
      </c>
      <c r="U1138" s="9">
        <v>44231</v>
      </c>
    </row>
    <row r="1139" spans="1:21" x14ac:dyDescent="0.2">
      <c r="A1139" s="10" t="str">
        <f>HYPERLINK("http://www.ofsted.gov.uk/inspection-reports/find-inspection-report/provider/ELS/113798 ","Ofsted School Webpage")</f>
        <v>Ofsted School Webpage</v>
      </c>
      <c r="B1139" s="92">
        <v>113798</v>
      </c>
      <c r="C1139" s="92">
        <v>8383319</v>
      </c>
      <c r="D1139" s="92" t="s">
        <v>3007</v>
      </c>
      <c r="E1139" s="92" t="s">
        <v>94</v>
      </c>
      <c r="F1139" s="92" t="s">
        <v>351</v>
      </c>
      <c r="G1139" s="92" t="s">
        <v>270</v>
      </c>
      <c r="H1139" s="92" t="s">
        <v>271</v>
      </c>
      <c r="I1139" s="92" t="s">
        <v>272</v>
      </c>
      <c r="J1139" s="92" t="s">
        <v>346</v>
      </c>
      <c r="K1139" s="92" t="s">
        <v>273</v>
      </c>
      <c r="L1139" s="92" t="s">
        <v>347</v>
      </c>
      <c r="M1139" s="92" t="s">
        <v>211</v>
      </c>
      <c r="N1139" s="92" t="s">
        <v>211</v>
      </c>
      <c r="O1139" s="92" t="s">
        <v>213</v>
      </c>
      <c r="P1139" s="92" t="s">
        <v>720</v>
      </c>
      <c r="Q1139" s="92" t="s">
        <v>3008</v>
      </c>
      <c r="R1139" s="92">
        <v>3</v>
      </c>
      <c r="S1139" s="92">
        <v>122</v>
      </c>
      <c r="T1139" s="9">
        <v>44166</v>
      </c>
      <c r="U1139" s="9">
        <v>44209</v>
      </c>
    </row>
    <row r="1140" spans="1:21" x14ac:dyDescent="0.2">
      <c r="A1140" s="10" t="str">
        <f>HYPERLINK("http://www.ofsted.gov.uk/inspection-reports/find-inspection-report/provider/ELS/130877 ","Ofsted School Webpage")</f>
        <v>Ofsted School Webpage</v>
      </c>
      <c r="B1140" s="92">
        <v>130877</v>
      </c>
      <c r="C1140" s="92">
        <v>9373591</v>
      </c>
      <c r="D1140" s="92" t="s">
        <v>3009</v>
      </c>
      <c r="E1140" s="92" t="s">
        <v>94</v>
      </c>
      <c r="F1140" s="92" t="s">
        <v>351</v>
      </c>
      <c r="G1140" s="9">
        <v>35309</v>
      </c>
      <c r="H1140" s="92" t="s">
        <v>271</v>
      </c>
      <c r="I1140" s="92" t="s">
        <v>272</v>
      </c>
      <c r="J1140" s="92" t="s">
        <v>346</v>
      </c>
      <c r="K1140" s="92" t="s">
        <v>273</v>
      </c>
      <c r="L1140" s="92" t="s">
        <v>347</v>
      </c>
      <c r="M1140" s="92" t="s">
        <v>226</v>
      </c>
      <c r="N1140" s="92" t="s">
        <v>226</v>
      </c>
      <c r="O1140" s="92" t="s">
        <v>235</v>
      </c>
      <c r="P1140" s="92" t="s">
        <v>1426</v>
      </c>
      <c r="Q1140" s="92" t="s">
        <v>3010</v>
      </c>
      <c r="R1140" s="92">
        <v>3</v>
      </c>
      <c r="S1140" s="92">
        <v>326</v>
      </c>
      <c r="T1140" s="9">
        <v>44166</v>
      </c>
      <c r="U1140" s="9">
        <v>44209</v>
      </c>
    </row>
    <row r="1141" spans="1:21" x14ac:dyDescent="0.2">
      <c r="A1141" s="10" t="str">
        <f>HYPERLINK("http://www.ofsted.gov.uk/inspection-reports/find-inspection-report/provider/ELS/105077 ","Ofsted School Webpage")</f>
        <v>Ofsted School Webpage</v>
      </c>
      <c r="B1141" s="92">
        <v>105077</v>
      </c>
      <c r="C1141" s="92">
        <v>3443350</v>
      </c>
      <c r="D1141" s="92" t="s">
        <v>3011</v>
      </c>
      <c r="E1141" s="92" t="s">
        <v>94</v>
      </c>
      <c r="F1141" s="92" t="s">
        <v>351</v>
      </c>
      <c r="G1141" s="92" t="s">
        <v>270</v>
      </c>
      <c r="H1141" s="92" t="s">
        <v>271</v>
      </c>
      <c r="I1141" s="92" t="s">
        <v>272</v>
      </c>
      <c r="J1141" s="92" t="s">
        <v>346</v>
      </c>
      <c r="K1141" s="92" t="s">
        <v>273</v>
      </c>
      <c r="L1141" s="92" t="s">
        <v>347</v>
      </c>
      <c r="M1141" s="92" t="s">
        <v>168</v>
      </c>
      <c r="N1141" s="92" t="s">
        <v>168</v>
      </c>
      <c r="O1141" s="92" t="s">
        <v>181</v>
      </c>
      <c r="P1141" s="92" t="s">
        <v>2568</v>
      </c>
      <c r="Q1141" s="92" t="s">
        <v>3012</v>
      </c>
      <c r="R1141" s="92">
        <v>3</v>
      </c>
      <c r="S1141" s="92">
        <v>212</v>
      </c>
      <c r="T1141" s="9">
        <v>44166</v>
      </c>
      <c r="U1141" s="9">
        <v>44220</v>
      </c>
    </row>
    <row r="1142" spans="1:21" x14ac:dyDescent="0.2">
      <c r="A1142" s="10" t="str">
        <f>HYPERLINK("http://www.ofsted.gov.uk/inspection-reports/find-inspection-report/provider/ELS/104049 ","Ofsted School Webpage")</f>
        <v>Ofsted School Webpage</v>
      </c>
      <c r="B1142" s="92">
        <v>104049</v>
      </c>
      <c r="C1142" s="92">
        <v>3342017</v>
      </c>
      <c r="D1142" s="92" t="s">
        <v>3013</v>
      </c>
      <c r="E1142" s="92" t="s">
        <v>94</v>
      </c>
      <c r="F1142" s="92" t="s">
        <v>269</v>
      </c>
      <c r="G1142" s="92" t="s">
        <v>270</v>
      </c>
      <c r="H1142" s="92" t="s">
        <v>271</v>
      </c>
      <c r="I1142" s="92" t="s">
        <v>272</v>
      </c>
      <c r="J1142" s="92" t="s">
        <v>273</v>
      </c>
      <c r="K1142" s="92" t="s">
        <v>273</v>
      </c>
      <c r="L1142" s="92" t="s">
        <v>274</v>
      </c>
      <c r="M1142" s="92" t="s">
        <v>226</v>
      </c>
      <c r="N1142" s="92" t="s">
        <v>226</v>
      </c>
      <c r="O1142" s="92" t="s">
        <v>236</v>
      </c>
      <c r="P1142" s="92" t="s">
        <v>236</v>
      </c>
      <c r="Q1142" s="92" t="s">
        <v>3014</v>
      </c>
      <c r="R1142" s="92">
        <v>1</v>
      </c>
      <c r="S1142" s="92">
        <v>385</v>
      </c>
      <c r="T1142" s="9">
        <v>44166</v>
      </c>
      <c r="U1142" s="9">
        <v>44213</v>
      </c>
    </row>
    <row r="1143" spans="1:21" x14ac:dyDescent="0.2">
      <c r="A1143" s="10" t="str">
        <f>HYPERLINK("http://www.ofsted.gov.uk/inspection-reports/find-inspection-report/provider/ELS/104191 ","Ofsted School Webpage")</f>
        <v>Ofsted School Webpage</v>
      </c>
      <c r="B1143" s="92">
        <v>104191</v>
      </c>
      <c r="C1143" s="92">
        <v>3352119</v>
      </c>
      <c r="D1143" s="92" t="s">
        <v>3015</v>
      </c>
      <c r="E1143" s="92" t="s">
        <v>94</v>
      </c>
      <c r="F1143" s="92" t="s">
        <v>269</v>
      </c>
      <c r="G1143" s="92" t="s">
        <v>270</v>
      </c>
      <c r="H1143" s="92" t="s">
        <v>271</v>
      </c>
      <c r="I1143" s="92" t="s">
        <v>272</v>
      </c>
      <c r="J1143" s="92" t="s">
        <v>273</v>
      </c>
      <c r="K1143" s="92" t="s">
        <v>273</v>
      </c>
      <c r="L1143" s="92" t="s">
        <v>274</v>
      </c>
      <c r="M1143" s="92" t="s">
        <v>226</v>
      </c>
      <c r="N1143" s="92" t="s">
        <v>226</v>
      </c>
      <c r="O1143" s="92" t="s">
        <v>230</v>
      </c>
      <c r="P1143" s="92" t="s">
        <v>1992</v>
      </c>
      <c r="Q1143" s="92" t="s">
        <v>3016</v>
      </c>
      <c r="R1143" s="92">
        <v>4</v>
      </c>
      <c r="S1143" s="92">
        <v>238</v>
      </c>
      <c r="T1143" s="9">
        <v>44166</v>
      </c>
      <c r="U1143" s="9">
        <v>44209</v>
      </c>
    </row>
    <row r="1144" spans="1:21" x14ac:dyDescent="0.2">
      <c r="A1144" s="10" t="str">
        <f>HYPERLINK("http://www.ofsted.gov.uk/inspection-reports/find-inspection-report/provider/ELS/102006 ","Ofsted School Webpage")</f>
        <v>Ofsted School Webpage</v>
      </c>
      <c r="B1144" s="92">
        <v>102006</v>
      </c>
      <c r="C1144" s="92">
        <v>3082062</v>
      </c>
      <c r="D1144" s="92" t="s">
        <v>3017</v>
      </c>
      <c r="E1144" s="92" t="s">
        <v>94</v>
      </c>
      <c r="F1144" s="92" t="s">
        <v>269</v>
      </c>
      <c r="G1144" s="92" t="s">
        <v>270</v>
      </c>
      <c r="H1144" s="92" t="s">
        <v>271</v>
      </c>
      <c r="I1144" s="92" t="s">
        <v>272</v>
      </c>
      <c r="J1144" s="92" t="s">
        <v>273</v>
      </c>
      <c r="K1144" s="92" t="s">
        <v>273</v>
      </c>
      <c r="L1144" s="92" t="s">
        <v>274</v>
      </c>
      <c r="M1144" s="92" t="s">
        <v>122</v>
      </c>
      <c r="N1144" s="92" t="s">
        <v>122</v>
      </c>
      <c r="O1144" s="92" t="s">
        <v>130</v>
      </c>
      <c r="P1144" s="92" t="s">
        <v>3018</v>
      </c>
      <c r="Q1144" s="92" t="s">
        <v>3019</v>
      </c>
      <c r="R1144" s="92">
        <v>4</v>
      </c>
      <c r="S1144" s="92">
        <v>303</v>
      </c>
      <c r="T1144" s="9">
        <v>44166</v>
      </c>
      <c r="U1144" s="9">
        <v>44213</v>
      </c>
    </row>
    <row r="1145" spans="1:21" x14ac:dyDescent="0.2">
      <c r="A1145" s="10" t="str">
        <f>HYPERLINK("http://www.ofsted.gov.uk/inspection-reports/find-inspection-report/provider/ELS/116142 ","Ofsted School Webpage")</f>
        <v>Ofsted School Webpage</v>
      </c>
      <c r="B1145" s="92">
        <v>116142</v>
      </c>
      <c r="C1145" s="92">
        <v>8502512</v>
      </c>
      <c r="D1145" s="92" t="s">
        <v>3020</v>
      </c>
      <c r="E1145" s="92" t="s">
        <v>94</v>
      </c>
      <c r="F1145" s="92" t="s">
        <v>269</v>
      </c>
      <c r="G1145" s="92" t="s">
        <v>270</v>
      </c>
      <c r="H1145" s="92" t="s">
        <v>271</v>
      </c>
      <c r="I1145" s="92" t="s">
        <v>272</v>
      </c>
      <c r="J1145" s="92" t="s">
        <v>273</v>
      </c>
      <c r="K1145" s="92" t="s">
        <v>273</v>
      </c>
      <c r="L1145" s="92" t="s">
        <v>274</v>
      </c>
      <c r="M1145" s="92" t="s">
        <v>192</v>
      </c>
      <c r="N1145" s="92" t="s">
        <v>192</v>
      </c>
      <c r="O1145" s="92" t="s">
        <v>193</v>
      </c>
      <c r="P1145" s="92" t="s">
        <v>1480</v>
      </c>
      <c r="Q1145" s="92" t="s">
        <v>3021</v>
      </c>
      <c r="R1145" s="92">
        <v>3</v>
      </c>
      <c r="S1145" s="92">
        <v>387</v>
      </c>
      <c r="T1145" s="9">
        <v>44166</v>
      </c>
      <c r="U1145" s="9">
        <v>44213</v>
      </c>
    </row>
    <row r="1146" spans="1:21" x14ac:dyDescent="0.2">
      <c r="A1146" s="10" t="str">
        <f>HYPERLINK("http://www.ofsted.gov.uk/inspection-reports/find-inspection-report/provider/ELS/108050 ","Ofsted School Webpage")</f>
        <v>Ofsted School Webpage</v>
      </c>
      <c r="B1146" s="92">
        <v>108050</v>
      </c>
      <c r="C1146" s="92">
        <v>3833911</v>
      </c>
      <c r="D1146" s="92" t="s">
        <v>3022</v>
      </c>
      <c r="E1146" s="92" t="s">
        <v>94</v>
      </c>
      <c r="F1146" s="92" t="s">
        <v>351</v>
      </c>
      <c r="G1146" s="92" t="s">
        <v>270</v>
      </c>
      <c r="H1146" s="92" t="s">
        <v>271</v>
      </c>
      <c r="I1146" s="92" t="s">
        <v>272</v>
      </c>
      <c r="J1146" s="92" t="s">
        <v>346</v>
      </c>
      <c r="K1146" s="92" t="s">
        <v>273</v>
      </c>
      <c r="L1146" s="92" t="s">
        <v>347</v>
      </c>
      <c r="M1146" s="92" t="s">
        <v>261</v>
      </c>
      <c r="N1146" s="92" t="s">
        <v>241</v>
      </c>
      <c r="O1146" s="92" t="s">
        <v>244</v>
      </c>
      <c r="P1146" s="92" t="s">
        <v>2130</v>
      </c>
      <c r="Q1146" s="92" t="s">
        <v>3023</v>
      </c>
      <c r="R1146" s="92">
        <v>5</v>
      </c>
      <c r="S1146" s="92">
        <v>253</v>
      </c>
      <c r="T1146" s="9">
        <v>44166</v>
      </c>
      <c r="U1146" s="9">
        <v>44209</v>
      </c>
    </row>
    <row r="1147" spans="1:21" x14ac:dyDescent="0.2">
      <c r="A1147" s="10" t="str">
        <f>HYPERLINK("http://www.ofsted.gov.uk/inspection-reports/find-inspection-report/provider/ELS/124331 ","Ofsted School Webpage")</f>
        <v>Ofsted School Webpage</v>
      </c>
      <c r="B1147" s="92">
        <v>124331</v>
      </c>
      <c r="C1147" s="92">
        <v>8603430</v>
      </c>
      <c r="D1147" s="92" t="s">
        <v>3024</v>
      </c>
      <c r="E1147" s="92" t="s">
        <v>94</v>
      </c>
      <c r="F1147" s="92" t="s">
        <v>351</v>
      </c>
      <c r="G1147" s="92" t="s">
        <v>270</v>
      </c>
      <c r="H1147" s="92" t="s">
        <v>271</v>
      </c>
      <c r="I1147" s="92" t="s">
        <v>272</v>
      </c>
      <c r="J1147" s="92" t="s">
        <v>346</v>
      </c>
      <c r="K1147" s="92" t="s">
        <v>273</v>
      </c>
      <c r="L1147" s="92" t="s">
        <v>347</v>
      </c>
      <c r="M1147" s="92" t="s">
        <v>226</v>
      </c>
      <c r="N1147" s="92" t="s">
        <v>226</v>
      </c>
      <c r="O1147" s="92" t="s">
        <v>229</v>
      </c>
      <c r="P1147" s="92" t="s">
        <v>3025</v>
      </c>
      <c r="Q1147" s="92" t="s">
        <v>3026</v>
      </c>
      <c r="R1147" s="92">
        <v>3</v>
      </c>
      <c r="S1147" s="92">
        <v>163</v>
      </c>
      <c r="T1147" s="9">
        <v>44166</v>
      </c>
      <c r="U1147" s="9">
        <v>44209</v>
      </c>
    </row>
    <row r="1148" spans="1:21" x14ac:dyDescent="0.2">
      <c r="A1148" s="10" t="str">
        <f>HYPERLINK("http://www.ofsted.gov.uk/inspection-reports/find-inspection-report/provider/ELS/120190 ","Ofsted School Webpage")</f>
        <v>Ofsted School Webpage</v>
      </c>
      <c r="B1148" s="92">
        <v>120190</v>
      </c>
      <c r="C1148" s="92">
        <v>8553212</v>
      </c>
      <c r="D1148" s="92" t="s">
        <v>3027</v>
      </c>
      <c r="E1148" s="92" t="s">
        <v>94</v>
      </c>
      <c r="F1148" s="92" t="s">
        <v>345</v>
      </c>
      <c r="G1148" s="92" t="s">
        <v>270</v>
      </c>
      <c r="H1148" s="92" t="s">
        <v>271</v>
      </c>
      <c r="I1148" s="92" t="s">
        <v>272</v>
      </c>
      <c r="J1148" s="92" t="s">
        <v>346</v>
      </c>
      <c r="K1148" s="92" t="s">
        <v>273</v>
      </c>
      <c r="L1148" s="92" t="s">
        <v>347</v>
      </c>
      <c r="M1148" s="92" t="s">
        <v>100</v>
      </c>
      <c r="N1148" s="92" t="s">
        <v>100</v>
      </c>
      <c r="O1148" s="92" t="s">
        <v>108</v>
      </c>
      <c r="P1148" s="92" t="s">
        <v>1712</v>
      </c>
      <c r="Q1148" s="92" t="s">
        <v>3028</v>
      </c>
      <c r="R1148" s="92">
        <v>2</v>
      </c>
      <c r="S1148" s="92">
        <v>310</v>
      </c>
      <c r="T1148" s="9">
        <v>44166</v>
      </c>
      <c r="U1148" s="9">
        <v>44209</v>
      </c>
    </row>
    <row r="1149" spans="1:21" x14ac:dyDescent="0.2">
      <c r="A1149" s="10" t="str">
        <f>HYPERLINK("http://www.ofsted.gov.uk/inspection-reports/find-inspection-report/provider/ELS/126297 ","Ofsted School Webpage")</f>
        <v>Ofsted School Webpage</v>
      </c>
      <c r="B1149" s="92">
        <v>126297</v>
      </c>
      <c r="C1149" s="92">
        <v>8653002</v>
      </c>
      <c r="D1149" s="92" t="s">
        <v>3029</v>
      </c>
      <c r="E1149" s="92" t="s">
        <v>94</v>
      </c>
      <c r="F1149" s="92" t="s">
        <v>345</v>
      </c>
      <c r="G1149" s="92" t="s">
        <v>270</v>
      </c>
      <c r="H1149" s="92" t="s">
        <v>271</v>
      </c>
      <c r="I1149" s="92" t="s">
        <v>272</v>
      </c>
      <c r="J1149" s="92" t="s">
        <v>346</v>
      </c>
      <c r="K1149" s="92" t="s">
        <v>273</v>
      </c>
      <c r="L1149" s="92" t="s">
        <v>347</v>
      </c>
      <c r="M1149" s="92" t="s">
        <v>211</v>
      </c>
      <c r="N1149" s="92" t="s">
        <v>211</v>
      </c>
      <c r="O1149" s="92" t="s">
        <v>225</v>
      </c>
      <c r="P1149" s="92" t="s">
        <v>1337</v>
      </c>
      <c r="Q1149" s="92" t="s">
        <v>3030</v>
      </c>
      <c r="R1149" s="92">
        <v>1</v>
      </c>
      <c r="S1149" s="92">
        <v>218</v>
      </c>
      <c r="T1149" s="9">
        <v>44166</v>
      </c>
      <c r="U1149" s="9">
        <v>44209</v>
      </c>
    </row>
    <row r="1150" spans="1:21" x14ac:dyDescent="0.2">
      <c r="A1150" s="10" t="str">
        <f>HYPERLINK("http://www.ofsted.gov.uk/inspection-reports/find-inspection-report/provider/ELS/141096 ","Ofsted School Webpage")</f>
        <v>Ofsted School Webpage</v>
      </c>
      <c r="B1150" s="92">
        <v>141096</v>
      </c>
      <c r="C1150" s="92">
        <v>8512008</v>
      </c>
      <c r="D1150" s="92" t="s">
        <v>3031</v>
      </c>
      <c r="E1150" s="92" t="s">
        <v>94</v>
      </c>
      <c r="F1150" s="92" t="s">
        <v>269</v>
      </c>
      <c r="G1150" s="9">
        <v>41884</v>
      </c>
      <c r="H1150" s="92" t="s">
        <v>271</v>
      </c>
      <c r="I1150" s="92" t="s">
        <v>272</v>
      </c>
      <c r="J1150" s="92" t="s">
        <v>273</v>
      </c>
      <c r="K1150" s="92" t="s">
        <v>273</v>
      </c>
      <c r="L1150" s="92" t="s">
        <v>274</v>
      </c>
      <c r="M1150" s="92" t="s">
        <v>192</v>
      </c>
      <c r="N1150" s="92" t="s">
        <v>192</v>
      </c>
      <c r="O1150" s="92" t="s">
        <v>196</v>
      </c>
      <c r="P1150" s="92" t="s">
        <v>1025</v>
      </c>
      <c r="Q1150" s="92" t="s">
        <v>3032</v>
      </c>
      <c r="R1150" s="92">
        <v>3</v>
      </c>
      <c r="S1150" s="92">
        <v>680</v>
      </c>
      <c r="T1150" s="9">
        <v>44166</v>
      </c>
      <c r="U1150" s="9">
        <v>44209</v>
      </c>
    </row>
    <row r="1151" spans="1:21" x14ac:dyDescent="0.2">
      <c r="A1151" s="10" t="str">
        <f>HYPERLINK("http://www.ofsted.gov.uk/inspection-reports/find-inspection-report/provider/ELS/135328 ","Ofsted School Webpage")</f>
        <v>Ofsted School Webpage</v>
      </c>
      <c r="B1151" s="92">
        <v>135328</v>
      </c>
      <c r="C1151" s="92">
        <v>8813837</v>
      </c>
      <c r="D1151" s="92" t="s">
        <v>3033</v>
      </c>
      <c r="E1151" s="92" t="s">
        <v>94</v>
      </c>
      <c r="F1151" s="92" t="s">
        <v>269</v>
      </c>
      <c r="G1151" s="9">
        <v>39692</v>
      </c>
      <c r="H1151" s="92" t="s">
        <v>271</v>
      </c>
      <c r="I1151" s="92" t="s">
        <v>272</v>
      </c>
      <c r="J1151" s="92" t="s">
        <v>273</v>
      </c>
      <c r="K1151" s="92" t="s">
        <v>273</v>
      </c>
      <c r="L1151" s="92" t="s">
        <v>274</v>
      </c>
      <c r="M1151" s="92" t="s">
        <v>110</v>
      </c>
      <c r="N1151" s="92" t="s">
        <v>110</v>
      </c>
      <c r="O1151" s="92" t="s">
        <v>119</v>
      </c>
      <c r="P1151" s="92" t="s">
        <v>3034</v>
      </c>
      <c r="Q1151" s="92" t="s">
        <v>3035</v>
      </c>
      <c r="R1151" s="92">
        <v>3</v>
      </c>
      <c r="S1151" s="92">
        <v>411</v>
      </c>
      <c r="T1151" s="9">
        <v>44166</v>
      </c>
      <c r="U1151" s="9">
        <v>44213</v>
      </c>
    </row>
    <row r="1152" spans="1:21" x14ac:dyDescent="0.2">
      <c r="A1152" s="10" t="str">
        <f>HYPERLINK("http://www.ofsted.gov.uk/inspection-reports/find-inspection-report/provider/ELS/117083 ","Ofsted School Webpage")</f>
        <v>Ofsted School Webpage</v>
      </c>
      <c r="B1152" s="92">
        <v>117083</v>
      </c>
      <c r="C1152" s="92">
        <v>9192000</v>
      </c>
      <c r="D1152" s="92" t="s">
        <v>3036</v>
      </c>
      <c r="E1152" s="92" t="s">
        <v>94</v>
      </c>
      <c r="F1152" s="92" t="s">
        <v>269</v>
      </c>
      <c r="G1152" s="92" t="s">
        <v>270</v>
      </c>
      <c r="H1152" s="92" t="s">
        <v>271</v>
      </c>
      <c r="I1152" s="92" t="s">
        <v>272</v>
      </c>
      <c r="J1152" s="92" t="s">
        <v>273</v>
      </c>
      <c r="K1152" s="92" t="s">
        <v>273</v>
      </c>
      <c r="L1152" s="92" t="s">
        <v>274</v>
      </c>
      <c r="M1152" s="92" t="s">
        <v>110</v>
      </c>
      <c r="N1152" s="92" t="s">
        <v>110</v>
      </c>
      <c r="O1152" s="92" t="s">
        <v>117</v>
      </c>
      <c r="P1152" s="92" t="s">
        <v>496</v>
      </c>
      <c r="Q1152" s="92" t="s">
        <v>3037</v>
      </c>
      <c r="R1152" s="92">
        <v>2</v>
      </c>
      <c r="S1152" s="92">
        <v>457</v>
      </c>
      <c r="T1152" s="9">
        <v>44166</v>
      </c>
      <c r="U1152" s="9">
        <v>44209</v>
      </c>
    </row>
    <row r="1153" spans="1:21" x14ac:dyDescent="0.2">
      <c r="A1153" s="10" t="str">
        <f>HYPERLINK("http://www.ofsted.gov.uk/inspection-reports/find-inspection-report/provider/ELS/108682 ","Ofsted School Webpage")</f>
        <v>Ofsted School Webpage</v>
      </c>
      <c r="B1153" s="92">
        <v>108682</v>
      </c>
      <c r="C1153" s="92">
        <v>3932033</v>
      </c>
      <c r="D1153" s="92" t="s">
        <v>3038</v>
      </c>
      <c r="E1153" s="92" t="s">
        <v>94</v>
      </c>
      <c r="F1153" s="92" t="s">
        <v>269</v>
      </c>
      <c r="G1153" s="92" t="s">
        <v>270</v>
      </c>
      <c r="H1153" s="92" t="s">
        <v>271</v>
      </c>
      <c r="I1153" s="92" t="s">
        <v>272</v>
      </c>
      <c r="J1153" s="92" t="s">
        <v>273</v>
      </c>
      <c r="K1153" s="92" t="s">
        <v>273</v>
      </c>
      <c r="L1153" s="92" t="s">
        <v>274</v>
      </c>
      <c r="M1153" s="92" t="s">
        <v>261</v>
      </c>
      <c r="N1153" s="92" t="s">
        <v>155</v>
      </c>
      <c r="O1153" s="92" t="s">
        <v>157</v>
      </c>
      <c r="P1153" s="92" t="s">
        <v>3039</v>
      </c>
      <c r="Q1153" s="92" t="s">
        <v>3040</v>
      </c>
      <c r="R1153" s="92">
        <v>5</v>
      </c>
      <c r="S1153" s="92">
        <v>235</v>
      </c>
      <c r="T1153" s="9">
        <v>44166</v>
      </c>
      <c r="U1153" s="9">
        <v>44220</v>
      </c>
    </row>
    <row r="1154" spans="1:21" x14ac:dyDescent="0.2">
      <c r="A1154" s="10" t="str">
        <f>HYPERLINK("http://www.ofsted.gov.uk/inspection-reports/find-inspection-report/provider/ELS/121800 ","Ofsted School Webpage")</f>
        <v>Ofsted School Webpage</v>
      </c>
      <c r="B1154" s="92">
        <v>121800</v>
      </c>
      <c r="C1154" s="92">
        <v>9282008</v>
      </c>
      <c r="D1154" s="92" t="s">
        <v>3041</v>
      </c>
      <c r="E1154" s="92" t="s">
        <v>94</v>
      </c>
      <c r="F1154" s="92" t="s">
        <v>269</v>
      </c>
      <c r="G1154" s="92" t="s">
        <v>270</v>
      </c>
      <c r="H1154" s="92" t="s">
        <v>271</v>
      </c>
      <c r="I1154" s="92" t="s">
        <v>272</v>
      </c>
      <c r="J1154" s="92" t="s">
        <v>273</v>
      </c>
      <c r="K1154" s="92" t="s">
        <v>273</v>
      </c>
      <c r="L1154" s="92" t="s">
        <v>274</v>
      </c>
      <c r="M1154" s="92" t="s">
        <v>100</v>
      </c>
      <c r="N1154" s="92" t="s">
        <v>100</v>
      </c>
      <c r="O1154" s="92" t="s">
        <v>107</v>
      </c>
      <c r="P1154" s="92" t="s">
        <v>2067</v>
      </c>
      <c r="Q1154" s="92" t="s">
        <v>3042</v>
      </c>
      <c r="R1154" s="92">
        <v>1</v>
      </c>
      <c r="S1154" s="92">
        <v>302</v>
      </c>
      <c r="T1154" s="9">
        <v>44166</v>
      </c>
      <c r="U1154" s="9">
        <v>44213</v>
      </c>
    </row>
    <row r="1155" spans="1:21" x14ac:dyDescent="0.2">
      <c r="A1155" s="10" t="str">
        <f>HYPERLINK("http://www.ofsted.gov.uk/inspection-reports/find-inspection-report/provider/ELS/123357 ","Ofsted School Webpage")</f>
        <v>Ofsted School Webpage</v>
      </c>
      <c r="B1155" s="92">
        <v>123357</v>
      </c>
      <c r="C1155" s="92">
        <v>8932032</v>
      </c>
      <c r="D1155" s="92" t="s">
        <v>3043</v>
      </c>
      <c r="E1155" s="92" t="s">
        <v>94</v>
      </c>
      <c r="F1155" s="92" t="s">
        <v>269</v>
      </c>
      <c r="G1155" s="92" t="s">
        <v>270</v>
      </c>
      <c r="H1155" s="92" t="s">
        <v>271</v>
      </c>
      <c r="I1155" s="92" t="s">
        <v>272</v>
      </c>
      <c r="J1155" s="92" t="s">
        <v>273</v>
      </c>
      <c r="K1155" s="92" t="s">
        <v>273</v>
      </c>
      <c r="L1155" s="92" t="s">
        <v>274</v>
      </c>
      <c r="M1155" s="92" t="s">
        <v>226</v>
      </c>
      <c r="N1155" s="92" t="s">
        <v>226</v>
      </c>
      <c r="O1155" s="92" t="s">
        <v>237</v>
      </c>
      <c r="P1155" s="92" t="s">
        <v>604</v>
      </c>
      <c r="Q1155" s="92" t="s">
        <v>3044</v>
      </c>
      <c r="R1155" s="92">
        <v>1</v>
      </c>
      <c r="S1155" s="92">
        <v>65</v>
      </c>
      <c r="T1155" s="9">
        <v>44166</v>
      </c>
      <c r="U1155" s="9">
        <v>44213</v>
      </c>
    </row>
    <row r="1156" spans="1:21" x14ac:dyDescent="0.2">
      <c r="A1156" s="10" t="str">
        <f>HYPERLINK("http://www.ofsted.gov.uk/inspection-reports/find-inspection-report/provider/ELS/121457 ","Ofsted School Webpage")</f>
        <v>Ofsted School Webpage</v>
      </c>
      <c r="B1156" s="92">
        <v>121457</v>
      </c>
      <c r="C1156" s="92">
        <v>8152410</v>
      </c>
      <c r="D1156" s="92" t="s">
        <v>3045</v>
      </c>
      <c r="E1156" s="92" t="s">
        <v>94</v>
      </c>
      <c r="F1156" s="92" t="s">
        <v>269</v>
      </c>
      <c r="G1156" s="92" t="s">
        <v>270</v>
      </c>
      <c r="H1156" s="92" t="s">
        <v>271</v>
      </c>
      <c r="I1156" s="92" t="s">
        <v>272</v>
      </c>
      <c r="J1156" s="92" t="s">
        <v>273</v>
      </c>
      <c r="K1156" s="92" t="s">
        <v>273</v>
      </c>
      <c r="L1156" s="92" t="s">
        <v>274</v>
      </c>
      <c r="M1156" s="92" t="s">
        <v>261</v>
      </c>
      <c r="N1156" s="92" t="s">
        <v>241</v>
      </c>
      <c r="O1156" s="92" t="s">
        <v>247</v>
      </c>
      <c r="P1156" s="92" t="s">
        <v>3046</v>
      </c>
      <c r="Q1156" s="92" t="s">
        <v>3047</v>
      </c>
      <c r="R1156" s="92">
        <v>1</v>
      </c>
      <c r="S1156" s="92">
        <v>189</v>
      </c>
      <c r="T1156" s="9">
        <v>44166</v>
      </c>
      <c r="U1156" s="9">
        <v>44217</v>
      </c>
    </row>
    <row r="1157" spans="1:21" x14ac:dyDescent="0.2">
      <c r="A1157" s="10" t="str">
        <f>HYPERLINK("http://www.ofsted.gov.uk/inspection-reports/find-inspection-report/provider/ELS/115496 ","Ofsted School Webpage")</f>
        <v>Ofsted School Webpage</v>
      </c>
      <c r="B1157" s="92">
        <v>115496</v>
      </c>
      <c r="C1157" s="92">
        <v>9162031</v>
      </c>
      <c r="D1157" s="92" t="s">
        <v>3048</v>
      </c>
      <c r="E1157" s="92" t="s">
        <v>94</v>
      </c>
      <c r="F1157" s="92" t="s">
        <v>269</v>
      </c>
      <c r="G1157" s="92" t="s">
        <v>270</v>
      </c>
      <c r="H1157" s="92" t="s">
        <v>271</v>
      </c>
      <c r="I1157" s="92" t="s">
        <v>272</v>
      </c>
      <c r="J1157" s="92" t="s">
        <v>273</v>
      </c>
      <c r="K1157" s="92" t="s">
        <v>273</v>
      </c>
      <c r="L1157" s="92" t="s">
        <v>274</v>
      </c>
      <c r="M1157" s="92" t="s">
        <v>211</v>
      </c>
      <c r="N1157" s="92" t="s">
        <v>211</v>
      </c>
      <c r="O1157" s="92" t="s">
        <v>217</v>
      </c>
      <c r="P1157" s="92" t="s">
        <v>3049</v>
      </c>
      <c r="Q1157" s="92" t="s">
        <v>3050</v>
      </c>
      <c r="R1157" s="92">
        <v>2</v>
      </c>
      <c r="S1157" s="92">
        <v>482</v>
      </c>
      <c r="T1157" s="9">
        <v>44166</v>
      </c>
      <c r="U1157" s="9">
        <v>44209</v>
      </c>
    </row>
    <row r="1158" spans="1:21" x14ac:dyDescent="0.2">
      <c r="A1158" s="10" t="str">
        <f>HYPERLINK("http://www.ofsted.gov.uk/inspection-reports/find-inspection-report/provider/ELS/124392 ","Ofsted School Webpage")</f>
        <v>Ofsted School Webpage</v>
      </c>
      <c r="B1158" s="92">
        <v>124392</v>
      </c>
      <c r="C1158" s="92">
        <v>8604055</v>
      </c>
      <c r="D1158" s="92" t="s">
        <v>3051</v>
      </c>
      <c r="E1158" s="92" t="s">
        <v>95</v>
      </c>
      <c r="F1158" s="92" t="s">
        <v>269</v>
      </c>
      <c r="G1158" s="92" t="s">
        <v>270</v>
      </c>
      <c r="H1158" s="92" t="s">
        <v>299</v>
      </c>
      <c r="I1158" s="92" t="s">
        <v>300</v>
      </c>
      <c r="J1158" s="92" t="s">
        <v>273</v>
      </c>
      <c r="K1158" s="92" t="s">
        <v>273</v>
      </c>
      <c r="L1158" s="92" t="s">
        <v>274</v>
      </c>
      <c r="M1158" s="92" t="s">
        <v>226</v>
      </c>
      <c r="N1158" s="92" t="s">
        <v>226</v>
      </c>
      <c r="O1158" s="92" t="s">
        <v>229</v>
      </c>
      <c r="P1158" s="92" t="s">
        <v>3052</v>
      </c>
      <c r="Q1158" s="92" t="s">
        <v>3053</v>
      </c>
      <c r="R1158" s="92">
        <v>3</v>
      </c>
      <c r="S1158" s="92">
        <v>840</v>
      </c>
      <c r="T1158" s="9">
        <v>44166</v>
      </c>
      <c r="U1158" s="9">
        <v>44213</v>
      </c>
    </row>
    <row r="1159" spans="1:21" x14ac:dyDescent="0.2">
      <c r="A1159" s="10" t="str">
        <f>HYPERLINK("http://www.ofsted.gov.uk/inspection-reports/find-inspection-report/provider/ELS/105424 ","Ofsted School Webpage")</f>
        <v>Ofsted School Webpage</v>
      </c>
      <c r="B1159" s="92">
        <v>105424</v>
      </c>
      <c r="C1159" s="92">
        <v>3522142</v>
      </c>
      <c r="D1159" s="92" t="s">
        <v>3054</v>
      </c>
      <c r="E1159" s="92" t="s">
        <v>94</v>
      </c>
      <c r="F1159" s="92" t="s">
        <v>269</v>
      </c>
      <c r="G1159" s="92" t="s">
        <v>270</v>
      </c>
      <c r="H1159" s="92" t="s">
        <v>271</v>
      </c>
      <c r="I1159" s="92" t="s">
        <v>272</v>
      </c>
      <c r="J1159" s="92" t="s">
        <v>273</v>
      </c>
      <c r="K1159" s="92" t="s">
        <v>273</v>
      </c>
      <c r="L1159" s="92" t="s">
        <v>274</v>
      </c>
      <c r="M1159" s="92" t="s">
        <v>168</v>
      </c>
      <c r="N1159" s="92" t="s">
        <v>168</v>
      </c>
      <c r="O1159" s="92" t="s">
        <v>171</v>
      </c>
      <c r="P1159" s="92" t="s">
        <v>287</v>
      </c>
      <c r="Q1159" s="92" t="s">
        <v>3055</v>
      </c>
      <c r="R1159" s="92">
        <v>5</v>
      </c>
      <c r="S1159" s="92">
        <v>650</v>
      </c>
      <c r="T1159" s="9">
        <v>44166</v>
      </c>
      <c r="U1159" s="9">
        <v>44216</v>
      </c>
    </row>
    <row r="1160" spans="1:21" x14ac:dyDescent="0.2">
      <c r="A1160" s="10" t="str">
        <f>HYPERLINK("http://www.ofsted.gov.uk/inspection-reports/find-inspection-report/provider/ELS/114368 ","Ofsted School Webpage")</f>
        <v>Ofsted School Webpage</v>
      </c>
      <c r="B1160" s="92">
        <v>114368</v>
      </c>
      <c r="C1160" s="92">
        <v>8462017</v>
      </c>
      <c r="D1160" s="92" t="s">
        <v>3056</v>
      </c>
      <c r="E1160" s="92" t="s">
        <v>94</v>
      </c>
      <c r="F1160" s="92" t="s">
        <v>269</v>
      </c>
      <c r="G1160" s="92" t="s">
        <v>270</v>
      </c>
      <c r="H1160" s="92" t="s">
        <v>271</v>
      </c>
      <c r="I1160" s="92" t="s">
        <v>272</v>
      </c>
      <c r="J1160" s="92" t="s">
        <v>273</v>
      </c>
      <c r="K1160" s="92" t="s">
        <v>273</v>
      </c>
      <c r="L1160" s="92" t="s">
        <v>274</v>
      </c>
      <c r="M1160" s="92" t="s">
        <v>192</v>
      </c>
      <c r="N1160" s="92" t="s">
        <v>192</v>
      </c>
      <c r="O1160" s="92" t="s">
        <v>204</v>
      </c>
      <c r="P1160" s="92" t="s">
        <v>635</v>
      </c>
      <c r="Q1160" s="92" t="s">
        <v>3057</v>
      </c>
      <c r="R1160" s="92">
        <v>4</v>
      </c>
      <c r="S1160" s="92">
        <v>142</v>
      </c>
      <c r="T1160" s="9">
        <v>44166</v>
      </c>
      <c r="U1160" s="9">
        <v>44209</v>
      </c>
    </row>
    <row r="1161" spans="1:21" x14ac:dyDescent="0.2">
      <c r="A1161" s="10" t="str">
        <f>HYPERLINK("http://www.ofsted.gov.uk/inspection-reports/find-inspection-report/provider/ELS/133351 ","Ofsted School Webpage")</f>
        <v>Ofsted School Webpage</v>
      </c>
      <c r="B1161" s="92">
        <v>133351</v>
      </c>
      <c r="C1161" s="92">
        <v>3554052</v>
      </c>
      <c r="D1161" s="92" t="s">
        <v>3058</v>
      </c>
      <c r="E1161" s="92" t="s">
        <v>95</v>
      </c>
      <c r="F1161" s="92" t="s">
        <v>269</v>
      </c>
      <c r="G1161" s="9">
        <v>37135</v>
      </c>
      <c r="H1161" s="92" t="s">
        <v>299</v>
      </c>
      <c r="I1161" s="92" t="s">
        <v>272</v>
      </c>
      <c r="J1161" s="92" t="s">
        <v>273</v>
      </c>
      <c r="K1161" s="92" t="s">
        <v>273</v>
      </c>
      <c r="L1161" s="92" t="s">
        <v>274</v>
      </c>
      <c r="M1161" s="92" t="s">
        <v>168</v>
      </c>
      <c r="N1161" s="92" t="s">
        <v>168</v>
      </c>
      <c r="O1161" s="92" t="s">
        <v>191</v>
      </c>
      <c r="P1161" s="92" t="s">
        <v>2994</v>
      </c>
      <c r="Q1161" s="92" t="s">
        <v>3059</v>
      </c>
      <c r="R1161" s="92">
        <v>5</v>
      </c>
      <c r="S1161" s="92">
        <v>939</v>
      </c>
      <c r="T1161" s="9">
        <v>44166</v>
      </c>
      <c r="U1161" s="9">
        <v>44213</v>
      </c>
    </row>
    <row r="1162" spans="1:21" x14ac:dyDescent="0.2">
      <c r="A1162" s="10" t="str">
        <f>HYPERLINK("http://www.ofsted.gov.uk/inspection-reports/find-inspection-report/provider/ELS/145212 ","Ofsted School Webpage")</f>
        <v>Ofsted School Webpage</v>
      </c>
      <c r="B1162" s="92">
        <v>145212</v>
      </c>
      <c r="C1162" s="92">
        <v>8392168</v>
      </c>
      <c r="D1162" s="92" t="s">
        <v>3060</v>
      </c>
      <c r="E1162" s="92" t="s">
        <v>94</v>
      </c>
      <c r="F1162" s="92" t="s">
        <v>429</v>
      </c>
      <c r="G1162" s="9">
        <v>43040</v>
      </c>
      <c r="H1162" s="92" t="s">
        <v>271</v>
      </c>
      <c r="I1162" s="92" t="s">
        <v>272</v>
      </c>
      <c r="J1162" s="92" t="s">
        <v>273</v>
      </c>
      <c r="K1162" s="92" t="s">
        <v>273</v>
      </c>
      <c r="L1162" s="92" t="s">
        <v>274</v>
      </c>
      <c r="M1162" s="92" t="s">
        <v>211</v>
      </c>
      <c r="N1162" s="92" t="s">
        <v>211</v>
      </c>
      <c r="O1162" s="92" t="s">
        <v>223</v>
      </c>
      <c r="P1162" s="92" t="s">
        <v>3061</v>
      </c>
      <c r="Q1162" s="92" t="s">
        <v>3062</v>
      </c>
      <c r="R1162" s="92">
        <v>3</v>
      </c>
      <c r="S1162" s="92">
        <v>621</v>
      </c>
      <c r="T1162" s="9">
        <v>44166</v>
      </c>
      <c r="U1162" s="9">
        <v>44180</v>
      </c>
    </row>
    <row r="1163" spans="1:21" x14ac:dyDescent="0.2">
      <c r="A1163" s="10" t="str">
        <f>HYPERLINK("http://www.ofsted.gov.uk/inspection-reports/find-inspection-report/provider/ELS/143025 ","Ofsted School Webpage")</f>
        <v>Ofsted School Webpage</v>
      </c>
      <c r="B1163" s="92">
        <v>143025</v>
      </c>
      <c r="C1163" s="92">
        <v>9282201</v>
      </c>
      <c r="D1163" s="92" t="s">
        <v>3063</v>
      </c>
      <c r="E1163" s="92" t="s">
        <v>94</v>
      </c>
      <c r="F1163" s="92" t="s">
        <v>409</v>
      </c>
      <c r="G1163" s="9">
        <v>42614</v>
      </c>
      <c r="H1163" s="92" t="s">
        <v>484</v>
      </c>
      <c r="I1163" s="92" t="s">
        <v>271</v>
      </c>
      <c r="J1163" s="92" t="s">
        <v>410</v>
      </c>
      <c r="K1163" s="92" t="s">
        <v>410</v>
      </c>
      <c r="L1163" s="92" t="s">
        <v>274</v>
      </c>
      <c r="M1163" s="92" t="s">
        <v>100</v>
      </c>
      <c r="N1163" s="92" t="s">
        <v>100</v>
      </c>
      <c r="O1163" s="92" t="s">
        <v>107</v>
      </c>
      <c r="P1163" s="92" t="s">
        <v>1972</v>
      </c>
      <c r="Q1163" s="92" t="s">
        <v>3064</v>
      </c>
      <c r="R1163" s="92">
        <v>4</v>
      </c>
      <c r="S1163" s="92">
        <v>387</v>
      </c>
      <c r="T1163" s="9">
        <v>44166</v>
      </c>
      <c r="U1163" s="9">
        <v>44213</v>
      </c>
    </row>
    <row r="1164" spans="1:21" x14ac:dyDescent="0.2">
      <c r="A1164" s="10" t="str">
        <f>HYPERLINK("http://www.ofsted.gov.uk/inspection-reports/find-inspection-report/provider/ELS/143035 ","Ofsted School Webpage")</f>
        <v>Ofsted School Webpage</v>
      </c>
      <c r="B1164" s="92">
        <v>143035</v>
      </c>
      <c r="C1164" s="92">
        <v>8454610</v>
      </c>
      <c r="D1164" s="92" t="s">
        <v>3065</v>
      </c>
      <c r="E1164" s="92" t="s">
        <v>95</v>
      </c>
      <c r="F1164" s="92" t="s">
        <v>429</v>
      </c>
      <c r="G1164" s="9">
        <v>42583</v>
      </c>
      <c r="H1164" s="92" t="s">
        <v>299</v>
      </c>
      <c r="I1164" s="92" t="s">
        <v>272</v>
      </c>
      <c r="J1164" s="92" t="s">
        <v>346</v>
      </c>
      <c r="K1164" s="92" t="s">
        <v>273</v>
      </c>
      <c r="L1164" s="92" t="s">
        <v>347</v>
      </c>
      <c r="M1164" s="92" t="s">
        <v>192</v>
      </c>
      <c r="N1164" s="92" t="s">
        <v>192</v>
      </c>
      <c r="O1164" s="92" t="s">
        <v>203</v>
      </c>
      <c r="P1164" s="92" t="s">
        <v>804</v>
      </c>
      <c r="Q1164" s="92" t="s">
        <v>3066</v>
      </c>
      <c r="R1164" s="92">
        <v>4</v>
      </c>
      <c r="S1164" s="92">
        <v>1069</v>
      </c>
      <c r="T1164" s="9">
        <v>44166</v>
      </c>
      <c r="U1164" s="9">
        <v>44215</v>
      </c>
    </row>
    <row r="1165" spans="1:21" x14ac:dyDescent="0.2">
      <c r="A1165" s="10" t="str">
        <f>HYPERLINK("http://www.ofsted.gov.uk/inspection-reports/find-inspection-report/provider/ELS/148352 ","Ofsted School Webpage")</f>
        <v>Ofsted School Webpage</v>
      </c>
      <c r="B1165" s="92">
        <v>148352</v>
      </c>
      <c r="C1165" s="92">
        <v>3062119</v>
      </c>
      <c r="D1165" s="92" t="s">
        <v>3067</v>
      </c>
      <c r="E1165" s="92" t="s">
        <v>94</v>
      </c>
      <c r="F1165" s="92" t="s">
        <v>409</v>
      </c>
      <c r="G1165" s="9">
        <v>44136</v>
      </c>
      <c r="H1165" s="92" t="s">
        <v>484</v>
      </c>
      <c r="I1165" s="92" t="s">
        <v>272</v>
      </c>
      <c r="J1165" s="92" t="s">
        <v>410</v>
      </c>
      <c r="K1165" s="92" t="s">
        <v>410</v>
      </c>
      <c r="L1165" s="92" t="s">
        <v>274</v>
      </c>
      <c r="M1165" s="92" t="s">
        <v>122</v>
      </c>
      <c r="N1165" s="92" t="s">
        <v>122</v>
      </c>
      <c r="O1165" s="92" t="s">
        <v>144</v>
      </c>
      <c r="P1165" s="92" t="s">
        <v>3068</v>
      </c>
      <c r="Q1165" s="92" t="s">
        <v>3069</v>
      </c>
      <c r="R1165" s="92" t="s">
        <v>270</v>
      </c>
      <c r="S1165" s="92" t="s">
        <v>270</v>
      </c>
      <c r="T1165" s="9">
        <v>44166</v>
      </c>
      <c r="U1165" s="9">
        <v>44213</v>
      </c>
    </row>
    <row r="1166" spans="1:21" x14ac:dyDescent="0.2">
      <c r="A1166" s="10" t="str">
        <f>HYPERLINK("http://www.ofsted.gov.uk/inspection-reports/find-inspection-report/provider/ELS/145673 ","Ofsted School Webpage")</f>
        <v>Ofsted School Webpage</v>
      </c>
      <c r="B1166" s="92">
        <v>145673</v>
      </c>
      <c r="C1166" s="92">
        <v>8933312</v>
      </c>
      <c r="D1166" s="92" t="s">
        <v>3070</v>
      </c>
      <c r="E1166" s="92" t="s">
        <v>94</v>
      </c>
      <c r="F1166" s="92" t="s">
        <v>429</v>
      </c>
      <c r="G1166" s="9">
        <v>43221</v>
      </c>
      <c r="H1166" s="92" t="s">
        <v>271</v>
      </c>
      <c r="I1166" s="92" t="s">
        <v>272</v>
      </c>
      <c r="J1166" s="92" t="s">
        <v>346</v>
      </c>
      <c r="K1166" s="92" t="s">
        <v>273</v>
      </c>
      <c r="L1166" s="92" t="s">
        <v>347</v>
      </c>
      <c r="M1166" s="92" t="s">
        <v>226</v>
      </c>
      <c r="N1166" s="92" t="s">
        <v>226</v>
      </c>
      <c r="O1166" s="92" t="s">
        <v>237</v>
      </c>
      <c r="P1166" s="92" t="s">
        <v>922</v>
      </c>
      <c r="Q1166" s="92" t="s">
        <v>3071</v>
      </c>
      <c r="R1166" s="92">
        <v>1</v>
      </c>
      <c r="S1166" s="92">
        <v>82</v>
      </c>
      <c r="T1166" s="9">
        <v>44166</v>
      </c>
      <c r="U1166" s="9">
        <v>44216</v>
      </c>
    </row>
    <row r="1167" spans="1:21" x14ac:dyDescent="0.2">
      <c r="A1167" s="10" t="str">
        <f>HYPERLINK("http://www.ofsted.gov.uk/inspection-reports/find-inspection-report/provider/ELS/119337 ","Ofsted School Webpage")</f>
        <v>Ofsted School Webpage</v>
      </c>
      <c r="B1167" s="92">
        <v>119337</v>
      </c>
      <c r="C1167" s="92">
        <v>8882815</v>
      </c>
      <c r="D1167" s="92" t="s">
        <v>3072</v>
      </c>
      <c r="E1167" s="92" t="s">
        <v>94</v>
      </c>
      <c r="F1167" s="92" t="s">
        <v>269</v>
      </c>
      <c r="G1167" s="92" t="s">
        <v>270</v>
      </c>
      <c r="H1167" s="92" t="s">
        <v>271</v>
      </c>
      <c r="I1167" s="92" t="s">
        <v>272</v>
      </c>
      <c r="J1167" s="92" t="s">
        <v>273</v>
      </c>
      <c r="K1167" s="92" t="s">
        <v>273</v>
      </c>
      <c r="L1167" s="92" t="s">
        <v>274</v>
      </c>
      <c r="M1167" s="92" t="s">
        <v>168</v>
      </c>
      <c r="N1167" s="92" t="s">
        <v>168</v>
      </c>
      <c r="O1167" s="92" t="s">
        <v>169</v>
      </c>
      <c r="P1167" s="92" t="s">
        <v>1899</v>
      </c>
      <c r="Q1167" s="92" t="s">
        <v>3073</v>
      </c>
      <c r="R1167" s="92">
        <v>4</v>
      </c>
      <c r="S1167" s="92">
        <v>187</v>
      </c>
      <c r="T1167" s="9">
        <v>44167</v>
      </c>
      <c r="U1167" s="9">
        <v>44213</v>
      </c>
    </row>
    <row r="1168" spans="1:21" x14ac:dyDescent="0.2">
      <c r="A1168" s="10" t="str">
        <f>HYPERLINK("http://www.ofsted.gov.uk/inspection-reports/find-inspection-report/provider/ELS/133759 ","Ofsted School Webpage")</f>
        <v>Ofsted School Webpage</v>
      </c>
      <c r="B1168" s="92">
        <v>133759</v>
      </c>
      <c r="C1168" s="92">
        <v>3302486</v>
      </c>
      <c r="D1168" s="92" t="s">
        <v>3074</v>
      </c>
      <c r="E1168" s="92" t="s">
        <v>94</v>
      </c>
      <c r="F1168" s="92" t="s">
        <v>269</v>
      </c>
      <c r="G1168" s="9">
        <v>37865</v>
      </c>
      <c r="H1168" s="92" t="s">
        <v>271</v>
      </c>
      <c r="I1168" s="92" t="s">
        <v>271</v>
      </c>
      <c r="J1168" s="92" t="s">
        <v>273</v>
      </c>
      <c r="K1168" s="92" t="s">
        <v>273</v>
      </c>
      <c r="L1168" s="92" t="s">
        <v>274</v>
      </c>
      <c r="M1168" s="92" t="s">
        <v>226</v>
      </c>
      <c r="N1168" s="92" t="s">
        <v>226</v>
      </c>
      <c r="O1168" s="92" t="s">
        <v>232</v>
      </c>
      <c r="P1168" s="92" t="s">
        <v>1763</v>
      </c>
      <c r="Q1168" s="92" t="s">
        <v>3075</v>
      </c>
      <c r="R1168" s="92">
        <v>5</v>
      </c>
      <c r="S1168" s="92">
        <v>220</v>
      </c>
      <c r="T1168" s="9">
        <v>44167</v>
      </c>
      <c r="U1168" s="9">
        <v>44209</v>
      </c>
    </row>
    <row r="1169" spans="1:21" x14ac:dyDescent="0.2">
      <c r="A1169" s="10" t="str">
        <f>HYPERLINK("http://www.ofsted.gov.uk/inspection-reports/find-inspection-report/provider/ELS/131109 ","Ofsted School Webpage")</f>
        <v>Ofsted School Webpage</v>
      </c>
      <c r="B1169" s="92">
        <v>131109</v>
      </c>
      <c r="C1169" s="92">
        <v>2033670</v>
      </c>
      <c r="D1169" s="92" t="s">
        <v>3076</v>
      </c>
      <c r="E1169" s="92" t="s">
        <v>94</v>
      </c>
      <c r="F1169" s="92" t="s">
        <v>269</v>
      </c>
      <c r="G1169" s="9">
        <v>39326</v>
      </c>
      <c r="H1169" s="92" t="s">
        <v>271</v>
      </c>
      <c r="I1169" s="92" t="s">
        <v>272</v>
      </c>
      <c r="J1169" s="92" t="s">
        <v>273</v>
      </c>
      <c r="K1169" s="92" t="s">
        <v>273</v>
      </c>
      <c r="L1169" s="92" t="s">
        <v>274</v>
      </c>
      <c r="M1169" s="92" t="s">
        <v>122</v>
      </c>
      <c r="N1169" s="92" t="s">
        <v>122</v>
      </c>
      <c r="O1169" s="92" t="s">
        <v>142</v>
      </c>
      <c r="P1169" s="92" t="s">
        <v>601</v>
      </c>
      <c r="Q1169" s="92" t="s">
        <v>3077</v>
      </c>
      <c r="R1169" s="92">
        <v>4</v>
      </c>
      <c r="S1169" s="92">
        <v>681</v>
      </c>
      <c r="T1169" s="9">
        <v>44167</v>
      </c>
      <c r="U1169" s="9">
        <v>44209</v>
      </c>
    </row>
    <row r="1170" spans="1:21" x14ac:dyDescent="0.2">
      <c r="A1170" s="10" t="str">
        <f>HYPERLINK("http://www.ofsted.gov.uk/inspection-reports/find-inspection-report/provider/ELS/136411 ","Ofsted School Webpage")</f>
        <v>Ofsted School Webpage</v>
      </c>
      <c r="B1170" s="92">
        <v>136411</v>
      </c>
      <c r="C1170" s="92">
        <v>3444798</v>
      </c>
      <c r="D1170" s="92" t="s">
        <v>3078</v>
      </c>
      <c r="E1170" s="92" t="s">
        <v>95</v>
      </c>
      <c r="F1170" s="92" t="s">
        <v>409</v>
      </c>
      <c r="G1170" s="9">
        <v>40544</v>
      </c>
      <c r="H1170" s="92" t="s">
        <v>299</v>
      </c>
      <c r="I1170" s="92" t="s">
        <v>271</v>
      </c>
      <c r="J1170" s="92" t="s">
        <v>273</v>
      </c>
      <c r="K1170" s="92" t="s">
        <v>410</v>
      </c>
      <c r="L1170" s="92" t="s">
        <v>274</v>
      </c>
      <c r="M1170" s="92" t="s">
        <v>168</v>
      </c>
      <c r="N1170" s="92" t="s">
        <v>168</v>
      </c>
      <c r="O1170" s="92" t="s">
        <v>181</v>
      </c>
      <c r="P1170" s="92" t="s">
        <v>3079</v>
      </c>
      <c r="Q1170" s="92" t="s">
        <v>3080</v>
      </c>
      <c r="R1170" s="92">
        <v>5</v>
      </c>
      <c r="S1170" s="92">
        <v>668</v>
      </c>
      <c r="T1170" s="9">
        <v>44167</v>
      </c>
      <c r="U1170" s="9">
        <v>44213</v>
      </c>
    </row>
    <row r="1171" spans="1:21" x14ac:dyDescent="0.2">
      <c r="A1171" s="10" t="str">
        <f>HYPERLINK("http://www.ofsted.gov.uk/inspection-reports/find-inspection-report/provider/ELS/101490 ","Ofsted School Webpage")</f>
        <v>Ofsted School Webpage</v>
      </c>
      <c r="B1171" s="92">
        <v>101490</v>
      </c>
      <c r="C1171" s="92">
        <v>3041001</v>
      </c>
      <c r="D1171" s="92" t="s">
        <v>3081</v>
      </c>
      <c r="E1171" s="92" t="s">
        <v>93</v>
      </c>
      <c r="F1171" s="92" t="s">
        <v>592</v>
      </c>
      <c r="G1171" s="92" t="s">
        <v>270</v>
      </c>
      <c r="H1171" s="92" t="s">
        <v>271</v>
      </c>
      <c r="I1171" s="92" t="s">
        <v>271</v>
      </c>
      <c r="J1171" s="92" t="s">
        <v>273</v>
      </c>
      <c r="K1171" s="92" t="s">
        <v>273</v>
      </c>
      <c r="L1171" s="92" t="s">
        <v>274</v>
      </c>
      <c r="M1171" s="92" t="s">
        <v>122</v>
      </c>
      <c r="N1171" s="92" t="s">
        <v>122</v>
      </c>
      <c r="O1171" s="92" t="s">
        <v>132</v>
      </c>
      <c r="P1171" s="92" t="s">
        <v>2571</v>
      </c>
      <c r="Q1171" s="92" t="s">
        <v>3082</v>
      </c>
      <c r="R1171" s="92">
        <v>3</v>
      </c>
      <c r="S1171" s="92">
        <v>87</v>
      </c>
      <c r="T1171" s="9">
        <v>44167</v>
      </c>
      <c r="U1171" s="9">
        <v>44216</v>
      </c>
    </row>
    <row r="1172" spans="1:21" x14ac:dyDescent="0.2">
      <c r="A1172" s="10" t="str">
        <f>HYPERLINK("http://www.ofsted.gov.uk/inspection-reports/find-inspection-report/provider/ELS/131885 ","Ofsted School Webpage")</f>
        <v>Ofsted School Webpage</v>
      </c>
      <c r="B1172" s="92">
        <v>131885</v>
      </c>
      <c r="C1172" s="92">
        <v>3587009</v>
      </c>
      <c r="D1172" s="92" t="s">
        <v>3083</v>
      </c>
      <c r="E1172" s="92" t="s">
        <v>96</v>
      </c>
      <c r="F1172" s="92" t="s">
        <v>401</v>
      </c>
      <c r="G1172" s="9">
        <v>36404</v>
      </c>
      <c r="H1172" s="92" t="s">
        <v>271</v>
      </c>
      <c r="I1172" s="92" t="s">
        <v>271</v>
      </c>
      <c r="J1172" s="92" t="s">
        <v>273</v>
      </c>
      <c r="K1172" s="92" t="s">
        <v>273</v>
      </c>
      <c r="L1172" s="92" t="s">
        <v>274</v>
      </c>
      <c r="M1172" s="92" t="s">
        <v>168</v>
      </c>
      <c r="N1172" s="92" t="s">
        <v>168</v>
      </c>
      <c r="O1172" s="92" t="s">
        <v>186</v>
      </c>
      <c r="P1172" s="92" t="s">
        <v>897</v>
      </c>
      <c r="Q1172" s="92" t="s">
        <v>3084</v>
      </c>
      <c r="R1172" s="92">
        <v>5</v>
      </c>
      <c r="S1172" s="92">
        <v>55</v>
      </c>
      <c r="T1172" s="9">
        <v>44167</v>
      </c>
      <c r="U1172" s="9">
        <v>44213</v>
      </c>
    </row>
    <row r="1173" spans="1:21" x14ac:dyDescent="0.2">
      <c r="A1173" s="10" t="str">
        <f>HYPERLINK("http://www.ofsted.gov.uk/inspection-reports/find-inspection-report/provider/ELS/110802 ","Ofsted School Webpage")</f>
        <v>Ofsted School Webpage</v>
      </c>
      <c r="B1173" s="92">
        <v>110802</v>
      </c>
      <c r="C1173" s="92">
        <v>8733052</v>
      </c>
      <c r="D1173" s="92" t="s">
        <v>3085</v>
      </c>
      <c r="E1173" s="92" t="s">
        <v>94</v>
      </c>
      <c r="F1173" s="92" t="s">
        <v>345</v>
      </c>
      <c r="G1173" s="92" t="s">
        <v>270</v>
      </c>
      <c r="H1173" s="92" t="s">
        <v>271</v>
      </c>
      <c r="I1173" s="92" t="s">
        <v>272</v>
      </c>
      <c r="J1173" s="92" t="s">
        <v>346</v>
      </c>
      <c r="K1173" s="92" t="s">
        <v>273</v>
      </c>
      <c r="L1173" s="92" t="s">
        <v>347</v>
      </c>
      <c r="M1173" s="92" t="s">
        <v>110</v>
      </c>
      <c r="N1173" s="92" t="s">
        <v>110</v>
      </c>
      <c r="O1173" s="92" t="s">
        <v>112</v>
      </c>
      <c r="P1173" s="92" t="s">
        <v>1212</v>
      </c>
      <c r="Q1173" s="92" t="s">
        <v>3086</v>
      </c>
      <c r="R1173" s="92">
        <v>1</v>
      </c>
      <c r="S1173" s="92">
        <v>290</v>
      </c>
      <c r="T1173" s="9">
        <v>44167</v>
      </c>
      <c r="U1173" s="9">
        <v>44213</v>
      </c>
    </row>
    <row r="1174" spans="1:21" x14ac:dyDescent="0.2">
      <c r="A1174" s="10" t="str">
        <f>HYPERLINK("http://www.ofsted.gov.uk/inspection-reports/find-inspection-report/provider/ELS/104894 ","Ofsted School Webpage")</f>
        <v>Ofsted School Webpage</v>
      </c>
      <c r="B1174" s="92">
        <v>104894</v>
      </c>
      <c r="C1174" s="92">
        <v>3433010</v>
      </c>
      <c r="D1174" s="92" t="s">
        <v>3087</v>
      </c>
      <c r="E1174" s="92" t="s">
        <v>94</v>
      </c>
      <c r="F1174" s="92" t="s">
        <v>345</v>
      </c>
      <c r="G1174" s="92" t="s">
        <v>270</v>
      </c>
      <c r="H1174" s="92" t="s">
        <v>271</v>
      </c>
      <c r="I1174" s="92" t="s">
        <v>272</v>
      </c>
      <c r="J1174" s="92" t="s">
        <v>346</v>
      </c>
      <c r="K1174" s="92" t="s">
        <v>273</v>
      </c>
      <c r="L1174" s="92" t="s">
        <v>347</v>
      </c>
      <c r="M1174" s="92" t="s">
        <v>168</v>
      </c>
      <c r="N1174" s="92" t="s">
        <v>168</v>
      </c>
      <c r="O1174" s="92" t="s">
        <v>183</v>
      </c>
      <c r="P1174" s="92" t="s">
        <v>2335</v>
      </c>
      <c r="Q1174" s="92" t="s">
        <v>3088</v>
      </c>
      <c r="R1174" s="92">
        <v>3</v>
      </c>
      <c r="S1174" s="92">
        <v>183</v>
      </c>
      <c r="T1174" s="9">
        <v>44167</v>
      </c>
      <c r="U1174" s="9">
        <v>44213</v>
      </c>
    </row>
    <row r="1175" spans="1:21" x14ac:dyDescent="0.2">
      <c r="A1175" s="10" t="str">
        <f>HYPERLINK("http://www.ofsted.gov.uk/inspection-reports/find-inspection-report/provider/ELS/119398 ","Ofsted School Webpage")</f>
        <v>Ofsted School Webpage</v>
      </c>
      <c r="B1175" s="92">
        <v>119398</v>
      </c>
      <c r="C1175" s="92">
        <v>8883134</v>
      </c>
      <c r="D1175" s="92" t="s">
        <v>3089</v>
      </c>
      <c r="E1175" s="92" t="s">
        <v>94</v>
      </c>
      <c r="F1175" s="92" t="s">
        <v>345</v>
      </c>
      <c r="G1175" s="92" t="s">
        <v>270</v>
      </c>
      <c r="H1175" s="92" t="s">
        <v>271</v>
      </c>
      <c r="I1175" s="92" t="s">
        <v>272</v>
      </c>
      <c r="J1175" s="92" t="s">
        <v>1898</v>
      </c>
      <c r="K1175" s="92" t="s">
        <v>273</v>
      </c>
      <c r="L1175" s="92" t="s">
        <v>347</v>
      </c>
      <c r="M1175" s="92" t="s">
        <v>168</v>
      </c>
      <c r="N1175" s="92" t="s">
        <v>168</v>
      </c>
      <c r="O1175" s="92" t="s">
        <v>169</v>
      </c>
      <c r="P1175" s="92" t="s">
        <v>377</v>
      </c>
      <c r="Q1175" s="92" t="s">
        <v>3090</v>
      </c>
      <c r="R1175" s="92">
        <v>4</v>
      </c>
      <c r="S1175" s="92">
        <v>206</v>
      </c>
      <c r="T1175" s="9">
        <v>44167</v>
      </c>
      <c r="U1175" s="9">
        <v>44209</v>
      </c>
    </row>
    <row r="1176" spans="1:21" x14ac:dyDescent="0.2">
      <c r="A1176" s="10" t="str">
        <f>HYPERLINK("http://www.ofsted.gov.uk/inspection-reports/find-inspection-report/provider/ELS/108641 ","Ofsted School Webpage")</f>
        <v>Ofsted School Webpage</v>
      </c>
      <c r="B1176" s="92">
        <v>108641</v>
      </c>
      <c r="C1176" s="92">
        <v>3924033</v>
      </c>
      <c r="D1176" s="92" t="s">
        <v>3091</v>
      </c>
      <c r="E1176" s="92" t="s">
        <v>95</v>
      </c>
      <c r="F1176" s="92" t="s">
        <v>397</v>
      </c>
      <c r="G1176" s="92" t="s">
        <v>270</v>
      </c>
      <c r="H1176" s="92" t="s">
        <v>299</v>
      </c>
      <c r="I1176" s="92" t="s">
        <v>300</v>
      </c>
      <c r="J1176" s="92" t="s">
        <v>410</v>
      </c>
      <c r="K1176" s="92" t="s">
        <v>273</v>
      </c>
      <c r="L1176" s="92" t="s">
        <v>274</v>
      </c>
      <c r="M1176" s="92" t="s">
        <v>261</v>
      </c>
      <c r="N1176" s="92" t="s">
        <v>155</v>
      </c>
      <c r="O1176" s="92" t="s">
        <v>165</v>
      </c>
      <c r="P1176" s="92" t="s">
        <v>165</v>
      </c>
      <c r="Q1176" s="92" t="s">
        <v>3092</v>
      </c>
      <c r="R1176" s="92">
        <v>5</v>
      </c>
      <c r="S1176" s="92">
        <v>968</v>
      </c>
      <c r="T1176" s="9">
        <v>44167</v>
      </c>
      <c r="U1176" s="9">
        <v>44220</v>
      </c>
    </row>
    <row r="1177" spans="1:21" x14ac:dyDescent="0.2">
      <c r="A1177" s="10" t="str">
        <f>HYPERLINK("http://www.ofsted.gov.uk/inspection-reports/find-inspection-report/provider/ELS/105930 ","Ofsted School Webpage")</f>
        <v>Ofsted School Webpage</v>
      </c>
      <c r="B1177" s="92">
        <v>105930</v>
      </c>
      <c r="C1177" s="92">
        <v>3553017</v>
      </c>
      <c r="D1177" s="92" t="s">
        <v>3093</v>
      </c>
      <c r="E1177" s="92" t="s">
        <v>94</v>
      </c>
      <c r="F1177" s="92" t="s">
        <v>345</v>
      </c>
      <c r="G1177" s="92" t="s">
        <v>270</v>
      </c>
      <c r="H1177" s="92" t="s">
        <v>271</v>
      </c>
      <c r="I1177" s="92" t="s">
        <v>272</v>
      </c>
      <c r="J1177" s="92" t="s">
        <v>346</v>
      </c>
      <c r="K1177" s="92" t="s">
        <v>273</v>
      </c>
      <c r="L1177" s="92" t="s">
        <v>347</v>
      </c>
      <c r="M1177" s="92" t="s">
        <v>168</v>
      </c>
      <c r="N1177" s="92" t="s">
        <v>168</v>
      </c>
      <c r="O1177" s="92" t="s">
        <v>191</v>
      </c>
      <c r="P1177" s="92" t="s">
        <v>2222</v>
      </c>
      <c r="Q1177" s="92" t="s">
        <v>3094</v>
      </c>
      <c r="R1177" s="92">
        <v>5</v>
      </c>
      <c r="S1177" s="92">
        <v>398</v>
      </c>
      <c r="T1177" s="9">
        <v>44168</v>
      </c>
      <c r="U1177" s="9">
        <v>44213</v>
      </c>
    </row>
    <row r="1178" spans="1:21" x14ac:dyDescent="0.2">
      <c r="A1178" s="10" t="str">
        <f>HYPERLINK("http://www.ofsted.gov.uk/inspection-reports/find-inspection-report/provider/ELS/110017 ","Ofsted School Webpage")</f>
        <v>Ofsted School Webpage</v>
      </c>
      <c r="B1178" s="92">
        <v>110017</v>
      </c>
      <c r="C1178" s="92">
        <v>8693321</v>
      </c>
      <c r="D1178" s="92" t="s">
        <v>3095</v>
      </c>
      <c r="E1178" s="92" t="s">
        <v>94</v>
      </c>
      <c r="F1178" s="92" t="s">
        <v>351</v>
      </c>
      <c r="G1178" s="92" t="s">
        <v>270</v>
      </c>
      <c r="H1178" s="92" t="s">
        <v>271</v>
      </c>
      <c r="I1178" s="92" t="s">
        <v>272</v>
      </c>
      <c r="J1178" s="92" t="s">
        <v>346</v>
      </c>
      <c r="K1178" s="92" t="s">
        <v>273</v>
      </c>
      <c r="L1178" s="92" t="s">
        <v>347</v>
      </c>
      <c r="M1178" s="92" t="s">
        <v>192</v>
      </c>
      <c r="N1178" s="92" t="s">
        <v>192</v>
      </c>
      <c r="O1178" s="92" t="s">
        <v>199</v>
      </c>
      <c r="P1178" s="92" t="s">
        <v>391</v>
      </c>
      <c r="Q1178" s="92" t="s">
        <v>3096</v>
      </c>
      <c r="R1178" s="92">
        <v>1</v>
      </c>
      <c r="S1178" s="92">
        <v>103</v>
      </c>
      <c r="T1178" s="9">
        <v>44168</v>
      </c>
      <c r="U1178" s="9">
        <v>44209</v>
      </c>
    </row>
    <row r="1179" spans="1:21" x14ac:dyDescent="0.2">
      <c r="A1179" s="10" t="str">
        <f>HYPERLINK("http://www.ofsted.gov.uk/inspection-reports/find-inspection-report/provider/ELS/125990 ","Ofsted School Webpage")</f>
        <v>Ofsted School Webpage</v>
      </c>
      <c r="B1179" s="92">
        <v>125990</v>
      </c>
      <c r="C1179" s="92">
        <v>9383026</v>
      </c>
      <c r="D1179" s="92" t="s">
        <v>3097</v>
      </c>
      <c r="E1179" s="92" t="s">
        <v>94</v>
      </c>
      <c r="F1179" s="92" t="s">
        <v>345</v>
      </c>
      <c r="G1179" s="92" t="s">
        <v>270</v>
      </c>
      <c r="H1179" s="92" t="s">
        <v>271</v>
      </c>
      <c r="I1179" s="92" t="s">
        <v>272</v>
      </c>
      <c r="J1179" s="92" t="s">
        <v>346</v>
      </c>
      <c r="K1179" s="92" t="s">
        <v>273</v>
      </c>
      <c r="L1179" s="92" t="s">
        <v>347</v>
      </c>
      <c r="M1179" s="92" t="s">
        <v>192</v>
      </c>
      <c r="N1179" s="92" t="s">
        <v>192</v>
      </c>
      <c r="O1179" s="92" t="s">
        <v>200</v>
      </c>
      <c r="P1179" s="92" t="s">
        <v>2866</v>
      </c>
      <c r="Q1179" s="92" t="s">
        <v>3098</v>
      </c>
      <c r="R1179" s="92">
        <v>2</v>
      </c>
      <c r="S1179" s="92">
        <v>209</v>
      </c>
      <c r="T1179" s="9">
        <v>44168</v>
      </c>
      <c r="U1179" s="9">
        <v>44209</v>
      </c>
    </row>
    <row r="1180" spans="1:21" x14ac:dyDescent="0.2">
      <c r="A1180" s="10" t="str">
        <f>HYPERLINK("http://www.ofsted.gov.uk/inspection-reports/find-inspection-report/provider/ELS/106528 ","Ofsted School Webpage")</f>
        <v>Ofsted School Webpage</v>
      </c>
      <c r="B1180" s="92">
        <v>106528</v>
      </c>
      <c r="C1180" s="92">
        <v>3594026</v>
      </c>
      <c r="D1180" s="92" t="s">
        <v>3099</v>
      </c>
      <c r="E1180" s="92" t="s">
        <v>95</v>
      </c>
      <c r="F1180" s="92" t="s">
        <v>397</v>
      </c>
      <c r="G1180" s="9">
        <v>1</v>
      </c>
      <c r="H1180" s="92" t="s">
        <v>299</v>
      </c>
      <c r="I1180" s="92" t="s">
        <v>272</v>
      </c>
      <c r="J1180" s="92" t="s">
        <v>410</v>
      </c>
      <c r="K1180" s="92" t="s">
        <v>273</v>
      </c>
      <c r="L1180" s="92" t="s">
        <v>274</v>
      </c>
      <c r="M1180" s="92" t="s">
        <v>168</v>
      </c>
      <c r="N1180" s="92" t="s">
        <v>168</v>
      </c>
      <c r="O1180" s="92" t="s">
        <v>188</v>
      </c>
      <c r="P1180" s="92" t="s">
        <v>1295</v>
      </c>
      <c r="Q1180" s="92" t="s">
        <v>3100</v>
      </c>
      <c r="R1180" s="92">
        <v>4</v>
      </c>
      <c r="S1180" s="92">
        <v>916</v>
      </c>
      <c r="T1180" s="9">
        <v>44168</v>
      </c>
      <c r="U1180" s="9">
        <v>44209</v>
      </c>
    </row>
    <row r="1181" spans="1:21" x14ac:dyDescent="0.2">
      <c r="A1181" s="10" t="str">
        <f>HYPERLINK("http://www.ofsted.gov.uk/inspection-reports/find-inspection-report/provider/ELS/121260 ","Ofsted School Webpage")</f>
        <v>Ofsted School Webpage</v>
      </c>
      <c r="B1181" s="92">
        <v>121260</v>
      </c>
      <c r="C1181" s="92">
        <v>9267010</v>
      </c>
      <c r="D1181" s="92" t="s">
        <v>3101</v>
      </c>
      <c r="E1181" s="92" t="s">
        <v>96</v>
      </c>
      <c r="F1181" s="92" t="s">
        <v>610</v>
      </c>
      <c r="G1181" s="92" t="s">
        <v>270</v>
      </c>
      <c r="H1181" s="92" t="s">
        <v>271</v>
      </c>
      <c r="I1181" s="92" t="s">
        <v>300</v>
      </c>
      <c r="J1181" s="92" t="s">
        <v>273</v>
      </c>
      <c r="K1181" s="92" t="s">
        <v>273</v>
      </c>
      <c r="L1181" s="92" t="s">
        <v>274</v>
      </c>
      <c r="M1181" s="92" t="s">
        <v>110</v>
      </c>
      <c r="N1181" s="92" t="s">
        <v>110</v>
      </c>
      <c r="O1181" s="92" t="s">
        <v>118</v>
      </c>
      <c r="P1181" s="92" t="s">
        <v>2645</v>
      </c>
      <c r="Q1181" s="92" t="s">
        <v>3102</v>
      </c>
      <c r="R1181" s="92">
        <v>2</v>
      </c>
      <c r="S1181" s="92">
        <v>105</v>
      </c>
      <c r="T1181" s="9">
        <v>44168</v>
      </c>
      <c r="U1181" s="9">
        <v>44209</v>
      </c>
    </row>
    <row r="1182" spans="1:21" x14ac:dyDescent="0.2">
      <c r="A1182" s="10" t="str">
        <f>HYPERLINK("http://www.ofsted.gov.uk/inspection-reports/find-inspection-report/provider/ELS/139503 ","Ofsted School Webpage")</f>
        <v>Ofsted School Webpage</v>
      </c>
      <c r="B1182" s="92">
        <v>139503</v>
      </c>
      <c r="C1182" s="92">
        <v>3842094</v>
      </c>
      <c r="D1182" s="92" t="s">
        <v>3103</v>
      </c>
      <c r="E1182" s="92" t="s">
        <v>94</v>
      </c>
      <c r="F1182" s="92" t="s">
        <v>429</v>
      </c>
      <c r="G1182" s="9">
        <v>41365</v>
      </c>
      <c r="H1182" s="92" t="s">
        <v>271</v>
      </c>
      <c r="I1182" s="92" t="s">
        <v>272</v>
      </c>
      <c r="J1182" s="92" t="s">
        <v>273</v>
      </c>
      <c r="K1182" s="92" t="s">
        <v>273</v>
      </c>
      <c r="L1182" s="92" t="s">
        <v>274</v>
      </c>
      <c r="M1182" s="92" t="s">
        <v>261</v>
      </c>
      <c r="N1182" s="92" t="s">
        <v>241</v>
      </c>
      <c r="O1182" s="92" t="s">
        <v>246</v>
      </c>
      <c r="P1182" s="92" t="s">
        <v>462</v>
      </c>
      <c r="Q1182" s="92" t="s">
        <v>3104</v>
      </c>
      <c r="R1182" s="92">
        <v>4</v>
      </c>
      <c r="S1182" s="92">
        <v>363</v>
      </c>
      <c r="T1182" s="9">
        <v>44168</v>
      </c>
      <c r="U1182" s="9">
        <v>44216</v>
      </c>
    </row>
    <row r="1183" spans="1:21" x14ac:dyDescent="0.2">
      <c r="A1183" s="10" t="str">
        <f>HYPERLINK("http://www.ofsted.gov.uk/inspection-reports/find-inspection-report/provider/ELS/138720 ","Ofsted School Webpage")</f>
        <v>Ofsted School Webpage</v>
      </c>
      <c r="B1183" s="92">
        <v>138720</v>
      </c>
      <c r="C1183" s="92">
        <v>8504000</v>
      </c>
      <c r="D1183" s="92" t="s">
        <v>3105</v>
      </c>
      <c r="E1183" s="92" t="s">
        <v>95</v>
      </c>
      <c r="F1183" s="92" t="s">
        <v>429</v>
      </c>
      <c r="G1183" s="9">
        <v>41153</v>
      </c>
      <c r="H1183" s="92" t="s">
        <v>299</v>
      </c>
      <c r="I1183" s="92" t="s">
        <v>272</v>
      </c>
      <c r="J1183" s="92" t="s">
        <v>273</v>
      </c>
      <c r="K1183" s="92" t="s">
        <v>273</v>
      </c>
      <c r="L1183" s="92" t="s">
        <v>274</v>
      </c>
      <c r="M1183" s="92" t="s">
        <v>192</v>
      </c>
      <c r="N1183" s="92" t="s">
        <v>192</v>
      </c>
      <c r="O1183" s="92" t="s">
        <v>193</v>
      </c>
      <c r="P1183" s="92" t="s">
        <v>1060</v>
      </c>
      <c r="Q1183" s="92" t="s">
        <v>3106</v>
      </c>
      <c r="R1183" s="92">
        <v>1</v>
      </c>
      <c r="S1183" s="92">
        <v>961</v>
      </c>
      <c r="T1183" s="9">
        <v>44168</v>
      </c>
      <c r="U1183" s="9">
        <v>44209</v>
      </c>
    </row>
    <row r="1184" spans="1:21" x14ac:dyDescent="0.2">
      <c r="A1184" s="10" t="str">
        <f>HYPERLINK("http://www.ofsted.gov.uk/inspection-reports/find-inspection-report/provider/ELS/141479 ","Ofsted School Webpage")</f>
        <v>Ofsted School Webpage</v>
      </c>
      <c r="B1184" s="92">
        <v>141479</v>
      </c>
      <c r="C1184" s="92">
        <v>3813328</v>
      </c>
      <c r="D1184" s="92" t="s">
        <v>3107</v>
      </c>
      <c r="E1184" s="92" t="s">
        <v>94</v>
      </c>
      <c r="F1184" s="92" t="s">
        <v>429</v>
      </c>
      <c r="G1184" s="9">
        <v>41913</v>
      </c>
      <c r="H1184" s="92" t="s">
        <v>271</v>
      </c>
      <c r="I1184" s="92" t="s">
        <v>272</v>
      </c>
      <c r="J1184" s="92" t="s">
        <v>352</v>
      </c>
      <c r="K1184" s="92" t="s">
        <v>273</v>
      </c>
      <c r="L1184" s="92" t="s">
        <v>347</v>
      </c>
      <c r="M1184" s="92" t="s">
        <v>261</v>
      </c>
      <c r="N1184" s="92" t="s">
        <v>241</v>
      </c>
      <c r="O1184" s="92" t="s">
        <v>256</v>
      </c>
      <c r="P1184" s="92" t="s">
        <v>2588</v>
      </c>
      <c r="Q1184" s="92" t="s">
        <v>3108</v>
      </c>
      <c r="R1184" s="92">
        <v>4</v>
      </c>
      <c r="S1184" s="92">
        <v>167</v>
      </c>
      <c r="T1184" s="9">
        <v>44168</v>
      </c>
      <c r="U1184" s="9">
        <v>44209</v>
      </c>
    </row>
    <row r="1185" spans="1:21" x14ac:dyDescent="0.2">
      <c r="A1185" s="10" t="str">
        <f>HYPERLINK("http://www.ofsted.gov.uk/inspection-reports/find-inspection-report/provider/ELS/140476 ","Ofsted School Webpage")</f>
        <v>Ofsted School Webpage</v>
      </c>
      <c r="B1185" s="92">
        <v>140476</v>
      </c>
      <c r="C1185" s="92">
        <v>8552192</v>
      </c>
      <c r="D1185" s="92" t="s">
        <v>3109</v>
      </c>
      <c r="E1185" s="92" t="s">
        <v>94</v>
      </c>
      <c r="F1185" s="92" t="s">
        <v>429</v>
      </c>
      <c r="G1185" s="9">
        <v>41609</v>
      </c>
      <c r="H1185" s="92" t="s">
        <v>271</v>
      </c>
      <c r="I1185" s="92" t="s">
        <v>272</v>
      </c>
      <c r="J1185" s="92" t="s">
        <v>273</v>
      </c>
      <c r="K1185" s="92" t="s">
        <v>273</v>
      </c>
      <c r="L1185" s="92" t="s">
        <v>274</v>
      </c>
      <c r="M1185" s="92" t="s">
        <v>100</v>
      </c>
      <c r="N1185" s="92" t="s">
        <v>100</v>
      </c>
      <c r="O1185" s="92" t="s">
        <v>108</v>
      </c>
      <c r="P1185" s="92" t="s">
        <v>1229</v>
      </c>
      <c r="Q1185" s="92" t="s">
        <v>3110</v>
      </c>
      <c r="R1185" s="92">
        <v>4</v>
      </c>
      <c r="S1185" s="92">
        <v>318</v>
      </c>
      <c r="T1185" s="9">
        <v>44168</v>
      </c>
      <c r="U1185" s="9">
        <v>44209</v>
      </c>
    </row>
    <row r="1186" spans="1:21" x14ac:dyDescent="0.2">
      <c r="A1186" s="10" t="str">
        <f>HYPERLINK("http://www.ofsted.gov.uk/inspection-reports/find-inspection-report/provider/ELS/140731 ","Ofsted School Webpage")</f>
        <v>Ofsted School Webpage</v>
      </c>
      <c r="B1186" s="92">
        <v>140731</v>
      </c>
      <c r="C1186" s="92">
        <v>8854438</v>
      </c>
      <c r="D1186" s="92" t="s">
        <v>3111</v>
      </c>
      <c r="E1186" s="92" t="s">
        <v>95</v>
      </c>
      <c r="F1186" s="92" t="s">
        <v>429</v>
      </c>
      <c r="G1186" s="9">
        <v>41730</v>
      </c>
      <c r="H1186" s="92" t="s">
        <v>299</v>
      </c>
      <c r="I1186" s="92" t="s">
        <v>300</v>
      </c>
      <c r="J1186" s="92" t="s">
        <v>410</v>
      </c>
      <c r="K1186" s="92" t="s">
        <v>273</v>
      </c>
      <c r="L1186" s="92" t="s">
        <v>274</v>
      </c>
      <c r="M1186" s="92" t="s">
        <v>226</v>
      </c>
      <c r="N1186" s="92" t="s">
        <v>226</v>
      </c>
      <c r="O1186" s="92" t="s">
        <v>238</v>
      </c>
      <c r="P1186" s="92" t="s">
        <v>2372</v>
      </c>
      <c r="Q1186" s="92" t="s">
        <v>3112</v>
      </c>
      <c r="R1186" s="92">
        <v>4</v>
      </c>
      <c r="S1186" s="92">
        <v>251</v>
      </c>
      <c r="T1186" s="9">
        <v>44168</v>
      </c>
      <c r="U1186" s="9">
        <v>44209</v>
      </c>
    </row>
    <row r="1187" spans="1:21" x14ac:dyDescent="0.2">
      <c r="A1187" s="10" t="str">
        <f>HYPERLINK("http://www.ofsted.gov.uk/inspection-reports/find-inspection-report/provider/ELS/142049 ","Ofsted School Webpage")</f>
        <v>Ofsted School Webpage</v>
      </c>
      <c r="B1187" s="92">
        <v>142049</v>
      </c>
      <c r="C1187" s="92">
        <v>8812133</v>
      </c>
      <c r="D1187" s="92" t="s">
        <v>3113</v>
      </c>
      <c r="E1187" s="92" t="s">
        <v>94</v>
      </c>
      <c r="F1187" s="92" t="s">
        <v>409</v>
      </c>
      <c r="G1187" s="9">
        <v>42370</v>
      </c>
      <c r="H1187" s="92" t="s">
        <v>271</v>
      </c>
      <c r="I1187" s="92" t="s">
        <v>272</v>
      </c>
      <c r="J1187" s="92" t="s">
        <v>410</v>
      </c>
      <c r="K1187" s="92" t="s">
        <v>410</v>
      </c>
      <c r="L1187" s="92" t="s">
        <v>274</v>
      </c>
      <c r="M1187" s="92" t="s">
        <v>110</v>
      </c>
      <c r="N1187" s="92" t="s">
        <v>110</v>
      </c>
      <c r="O1187" s="92" t="s">
        <v>119</v>
      </c>
      <c r="P1187" s="92" t="s">
        <v>737</v>
      </c>
      <c r="Q1187" s="92" t="s">
        <v>3114</v>
      </c>
      <c r="R1187" s="92">
        <v>2</v>
      </c>
      <c r="S1187" s="92">
        <v>370</v>
      </c>
      <c r="T1187" s="9">
        <v>44168</v>
      </c>
      <c r="U1187" s="9">
        <v>44209</v>
      </c>
    </row>
    <row r="1188" spans="1:21" x14ac:dyDescent="0.2">
      <c r="A1188" s="10" t="str">
        <f>HYPERLINK("http://www.ofsted.gov.uk/inspection-reports/find-inspection-report/provider/ELS/141536 ","Ofsted School Webpage")</f>
        <v>Ofsted School Webpage</v>
      </c>
      <c r="B1188" s="92">
        <v>141536</v>
      </c>
      <c r="C1188" s="92">
        <v>8913552</v>
      </c>
      <c r="D1188" s="92" t="s">
        <v>3115</v>
      </c>
      <c r="E1188" s="92" t="s">
        <v>94</v>
      </c>
      <c r="F1188" s="92" t="s">
        <v>429</v>
      </c>
      <c r="G1188" s="9">
        <v>41944</v>
      </c>
      <c r="H1188" s="92" t="s">
        <v>271</v>
      </c>
      <c r="I1188" s="92" t="s">
        <v>272</v>
      </c>
      <c r="J1188" s="92" t="s">
        <v>346</v>
      </c>
      <c r="K1188" s="92" t="s">
        <v>273</v>
      </c>
      <c r="L1188" s="92" t="s">
        <v>347</v>
      </c>
      <c r="M1188" s="92" t="s">
        <v>100</v>
      </c>
      <c r="N1188" s="92" t="s">
        <v>100</v>
      </c>
      <c r="O1188" s="92" t="s">
        <v>105</v>
      </c>
      <c r="P1188" s="92" t="s">
        <v>3116</v>
      </c>
      <c r="Q1188" s="92" t="s">
        <v>3117</v>
      </c>
      <c r="R1188" s="92">
        <v>4</v>
      </c>
      <c r="S1188" s="92">
        <v>194</v>
      </c>
      <c r="T1188" s="9">
        <v>44168</v>
      </c>
      <c r="U1188" s="9">
        <v>44213</v>
      </c>
    </row>
    <row r="1189" spans="1:21" x14ac:dyDescent="0.2">
      <c r="A1189" s="10" t="str">
        <f>HYPERLINK("http://www.ofsted.gov.uk/inspection-reports/find-inspection-report/provider/ELS/137013 ","Ofsted School Webpage")</f>
        <v>Ofsted School Webpage</v>
      </c>
      <c r="B1189" s="92">
        <v>137013</v>
      </c>
      <c r="C1189" s="92">
        <v>8814420</v>
      </c>
      <c r="D1189" s="92" t="s">
        <v>3118</v>
      </c>
      <c r="E1189" s="92" t="s">
        <v>95</v>
      </c>
      <c r="F1189" s="92" t="s">
        <v>429</v>
      </c>
      <c r="G1189" s="9">
        <v>40756</v>
      </c>
      <c r="H1189" s="92" t="s">
        <v>299</v>
      </c>
      <c r="I1189" s="92" t="s">
        <v>300</v>
      </c>
      <c r="J1189" s="92" t="s">
        <v>273</v>
      </c>
      <c r="K1189" s="92" t="s">
        <v>273</v>
      </c>
      <c r="L1189" s="92" t="s">
        <v>274</v>
      </c>
      <c r="M1189" s="92" t="s">
        <v>110</v>
      </c>
      <c r="N1189" s="92" t="s">
        <v>110</v>
      </c>
      <c r="O1189" s="92" t="s">
        <v>119</v>
      </c>
      <c r="P1189" s="92" t="s">
        <v>837</v>
      </c>
      <c r="Q1189" s="92" t="s">
        <v>3119</v>
      </c>
      <c r="R1189" s="92">
        <v>1</v>
      </c>
      <c r="S1189" s="92">
        <v>1444</v>
      </c>
      <c r="T1189" s="9">
        <v>44168</v>
      </c>
      <c r="U1189" s="9">
        <v>44213</v>
      </c>
    </row>
    <row r="1190" spans="1:21" x14ac:dyDescent="0.2">
      <c r="A1190" s="10" t="str">
        <f>HYPERLINK("http://www.ofsted.gov.uk/inspection-reports/find-inspection-report/provider/ELS/138007 ","Ofsted School Webpage")</f>
        <v>Ofsted School Webpage</v>
      </c>
      <c r="B1190" s="92">
        <v>138007</v>
      </c>
      <c r="C1190" s="92">
        <v>3712080</v>
      </c>
      <c r="D1190" s="92" t="s">
        <v>3120</v>
      </c>
      <c r="E1190" s="92" t="s">
        <v>94</v>
      </c>
      <c r="F1190" s="92" t="s">
        <v>429</v>
      </c>
      <c r="G1190" s="9">
        <v>41000</v>
      </c>
      <c r="H1190" s="92" t="s">
        <v>271</v>
      </c>
      <c r="I1190" s="92" t="s">
        <v>272</v>
      </c>
      <c r="J1190" s="92" t="s">
        <v>273</v>
      </c>
      <c r="K1190" s="92" t="s">
        <v>273</v>
      </c>
      <c r="L1190" s="92" t="s">
        <v>274</v>
      </c>
      <c r="M1190" s="92" t="s">
        <v>261</v>
      </c>
      <c r="N1190" s="92" t="s">
        <v>241</v>
      </c>
      <c r="O1190" s="92" t="s">
        <v>248</v>
      </c>
      <c r="P1190" s="92" t="s">
        <v>538</v>
      </c>
      <c r="Q1190" s="92" t="s">
        <v>3121</v>
      </c>
      <c r="R1190" s="92">
        <v>4</v>
      </c>
      <c r="S1190" s="92">
        <v>218</v>
      </c>
      <c r="T1190" s="9">
        <v>44168</v>
      </c>
      <c r="U1190" s="9">
        <v>44209</v>
      </c>
    </row>
    <row r="1191" spans="1:21" x14ac:dyDescent="0.2">
      <c r="A1191" s="10" t="str">
        <f>HYPERLINK("http://www.ofsted.gov.uk/inspection-reports/find-inspection-report/provider/ELS/139380 ","Ofsted School Webpage")</f>
        <v>Ofsted School Webpage</v>
      </c>
      <c r="B1191" s="92">
        <v>139380</v>
      </c>
      <c r="C1191" s="92">
        <v>8832002</v>
      </c>
      <c r="D1191" s="92" t="s">
        <v>3122</v>
      </c>
      <c r="E1191" s="92" t="s">
        <v>94</v>
      </c>
      <c r="F1191" s="92" t="s">
        <v>409</v>
      </c>
      <c r="G1191" s="9">
        <v>41365</v>
      </c>
      <c r="H1191" s="92" t="s">
        <v>271</v>
      </c>
      <c r="I1191" s="92" t="s">
        <v>272</v>
      </c>
      <c r="J1191" s="92" t="s">
        <v>273</v>
      </c>
      <c r="K1191" s="92" t="s">
        <v>410</v>
      </c>
      <c r="L1191" s="92" t="s">
        <v>274</v>
      </c>
      <c r="M1191" s="92" t="s">
        <v>110</v>
      </c>
      <c r="N1191" s="92" t="s">
        <v>110</v>
      </c>
      <c r="O1191" s="92" t="s">
        <v>113</v>
      </c>
      <c r="P1191" s="92" t="s">
        <v>113</v>
      </c>
      <c r="Q1191" s="92" t="s">
        <v>3123</v>
      </c>
      <c r="R1191" s="92">
        <v>4</v>
      </c>
      <c r="S1191" s="92">
        <v>589</v>
      </c>
      <c r="T1191" s="9">
        <v>44168</v>
      </c>
      <c r="U1191" s="9">
        <v>44213</v>
      </c>
    </row>
    <row r="1192" spans="1:21" x14ac:dyDescent="0.2">
      <c r="A1192" s="10" t="str">
        <f>HYPERLINK("http://www.ofsted.gov.uk/inspection-reports/find-inspection-report/provider/ELS/140323 ","Ofsted School Webpage")</f>
        <v>Ofsted School Webpage</v>
      </c>
      <c r="B1192" s="92">
        <v>140323</v>
      </c>
      <c r="C1192" s="92">
        <v>8862286</v>
      </c>
      <c r="D1192" s="92" t="s">
        <v>3124</v>
      </c>
      <c r="E1192" s="92" t="s">
        <v>94</v>
      </c>
      <c r="F1192" s="92" t="s">
        <v>429</v>
      </c>
      <c r="G1192" s="9">
        <v>41579</v>
      </c>
      <c r="H1192" s="92" t="s">
        <v>271</v>
      </c>
      <c r="I1192" s="92" t="s">
        <v>272</v>
      </c>
      <c r="J1192" s="92" t="s">
        <v>273</v>
      </c>
      <c r="K1192" s="92" t="s">
        <v>273</v>
      </c>
      <c r="L1192" s="92" t="s">
        <v>274</v>
      </c>
      <c r="M1192" s="92" t="s">
        <v>192</v>
      </c>
      <c r="N1192" s="92" t="s">
        <v>192</v>
      </c>
      <c r="O1192" s="92" t="s">
        <v>194</v>
      </c>
      <c r="P1192" s="92" t="s">
        <v>732</v>
      </c>
      <c r="Q1192" s="92" t="s">
        <v>3125</v>
      </c>
      <c r="R1192" s="92">
        <v>2</v>
      </c>
      <c r="S1192" s="92">
        <v>304</v>
      </c>
      <c r="T1192" s="9">
        <v>44168</v>
      </c>
      <c r="U1192" s="9">
        <v>44209</v>
      </c>
    </row>
    <row r="1193" spans="1:21" x14ac:dyDescent="0.2">
      <c r="A1193" s="10" t="str">
        <f>HYPERLINK("http://www.ofsted.gov.uk/inspection-reports/find-inspection-report/provider/ELS/138362 ","Ofsted School Webpage")</f>
        <v>Ofsted School Webpage</v>
      </c>
      <c r="B1193" s="92">
        <v>138362</v>
      </c>
      <c r="C1193" s="92">
        <v>8412656</v>
      </c>
      <c r="D1193" s="92" t="s">
        <v>3126</v>
      </c>
      <c r="E1193" s="92" t="s">
        <v>94</v>
      </c>
      <c r="F1193" s="92" t="s">
        <v>429</v>
      </c>
      <c r="G1193" s="9">
        <v>41091</v>
      </c>
      <c r="H1193" s="92" t="s">
        <v>271</v>
      </c>
      <c r="I1193" s="92" t="s">
        <v>272</v>
      </c>
      <c r="J1193" s="92" t="s">
        <v>273</v>
      </c>
      <c r="K1193" s="92" t="s">
        <v>273</v>
      </c>
      <c r="L1193" s="92" t="s">
        <v>274</v>
      </c>
      <c r="M1193" s="92" t="s">
        <v>261</v>
      </c>
      <c r="N1193" s="92" t="s">
        <v>155</v>
      </c>
      <c r="O1193" s="92" t="s">
        <v>160</v>
      </c>
      <c r="P1193" s="92" t="s">
        <v>160</v>
      </c>
      <c r="Q1193" s="92" t="s">
        <v>3127</v>
      </c>
      <c r="R1193" s="92">
        <v>5</v>
      </c>
      <c r="S1193" s="92">
        <v>231</v>
      </c>
      <c r="T1193" s="9">
        <v>44168</v>
      </c>
      <c r="U1193" s="9">
        <v>44209</v>
      </c>
    </row>
    <row r="1194" spans="1:21" x14ac:dyDescent="0.2">
      <c r="A1194" s="10" t="str">
        <f>HYPERLINK("http://www.ofsted.gov.uk/inspection-reports/find-inspection-report/provider/ELS/141158 ","Ofsted School Webpage")</f>
        <v>Ofsted School Webpage</v>
      </c>
      <c r="B1194" s="92">
        <v>141158</v>
      </c>
      <c r="C1194" s="92">
        <v>3053505</v>
      </c>
      <c r="D1194" s="92" t="s">
        <v>3128</v>
      </c>
      <c r="E1194" s="92" t="s">
        <v>94</v>
      </c>
      <c r="F1194" s="92" t="s">
        <v>429</v>
      </c>
      <c r="G1194" s="9">
        <v>41852</v>
      </c>
      <c r="H1194" s="92" t="s">
        <v>271</v>
      </c>
      <c r="I1194" s="92" t="s">
        <v>272</v>
      </c>
      <c r="J1194" s="92" t="s">
        <v>352</v>
      </c>
      <c r="K1194" s="92" t="s">
        <v>273</v>
      </c>
      <c r="L1194" s="92" t="s">
        <v>347</v>
      </c>
      <c r="M1194" s="92" t="s">
        <v>122</v>
      </c>
      <c r="N1194" s="92" t="s">
        <v>122</v>
      </c>
      <c r="O1194" s="92" t="s">
        <v>139</v>
      </c>
      <c r="P1194" s="92" t="s">
        <v>1014</v>
      </c>
      <c r="Q1194" s="92" t="s">
        <v>3129</v>
      </c>
      <c r="R1194" s="92">
        <v>4</v>
      </c>
      <c r="S1194" s="92">
        <v>235</v>
      </c>
      <c r="T1194" s="9">
        <v>44168</v>
      </c>
      <c r="U1194" s="9">
        <v>44217</v>
      </c>
    </row>
    <row r="1195" spans="1:21" x14ac:dyDescent="0.2">
      <c r="A1195" s="10" t="str">
        <f>HYPERLINK("http://www.ofsted.gov.uk/inspection-reports/find-inspection-report/provider/ELS/116074 ","Ofsted School Webpage")</f>
        <v>Ofsted School Webpage</v>
      </c>
      <c r="B1195" s="92">
        <v>116074</v>
      </c>
      <c r="C1195" s="92">
        <v>8502382</v>
      </c>
      <c r="D1195" s="92" t="s">
        <v>3130</v>
      </c>
      <c r="E1195" s="92" t="s">
        <v>94</v>
      </c>
      <c r="F1195" s="92" t="s">
        <v>269</v>
      </c>
      <c r="G1195" s="92" t="s">
        <v>270</v>
      </c>
      <c r="H1195" s="92" t="s">
        <v>271</v>
      </c>
      <c r="I1195" s="92" t="s">
        <v>272</v>
      </c>
      <c r="J1195" s="92" t="s">
        <v>273</v>
      </c>
      <c r="K1195" s="92" t="s">
        <v>273</v>
      </c>
      <c r="L1195" s="92" t="s">
        <v>274</v>
      </c>
      <c r="M1195" s="92" t="s">
        <v>192</v>
      </c>
      <c r="N1195" s="92" t="s">
        <v>192</v>
      </c>
      <c r="O1195" s="92" t="s">
        <v>193</v>
      </c>
      <c r="P1195" s="92" t="s">
        <v>1384</v>
      </c>
      <c r="Q1195" s="92" t="s">
        <v>3131</v>
      </c>
      <c r="R1195" s="92">
        <v>1</v>
      </c>
      <c r="S1195" s="92">
        <v>379</v>
      </c>
      <c r="T1195" s="9">
        <v>44168</v>
      </c>
      <c r="U1195" s="9">
        <v>44209</v>
      </c>
    </row>
    <row r="1196" spans="1:21" x14ac:dyDescent="0.2">
      <c r="A1196" s="10" t="str">
        <f>HYPERLINK("http://www.ofsted.gov.uk/inspection-reports/find-inspection-report/provider/ELS/115877 ","Ofsted School Webpage")</f>
        <v>Ofsted School Webpage</v>
      </c>
      <c r="B1196" s="92">
        <v>115877</v>
      </c>
      <c r="C1196" s="92">
        <v>8502041</v>
      </c>
      <c r="D1196" s="92" t="s">
        <v>3132</v>
      </c>
      <c r="E1196" s="92" t="s">
        <v>94</v>
      </c>
      <c r="F1196" s="92" t="s">
        <v>269</v>
      </c>
      <c r="G1196" s="92" t="s">
        <v>270</v>
      </c>
      <c r="H1196" s="92" t="s">
        <v>271</v>
      </c>
      <c r="I1196" s="92" t="s">
        <v>272</v>
      </c>
      <c r="J1196" s="92" t="s">
        <v>273</v>
      </c>
      <c r="K1196" s="92" t="s">
        <v>273</v>
      </c>
      <c r="L1196" s="92" t="s">
        <v>274</v>
      </c>
      <c r="M1196" s="92" t="s">
        <v>192</v>
      </c>
      <c r="N1196" s="92" t="s">
        <v>192</v>
      </c>
      <c r="O1196" s="92" t="s">
        <v>193</v>
      </c>
      <c r="P1196" s="92" t="s">
        <v>1367</v>
      </c>
      <c r="Q1196" s="92" t="s">
        <v>3133</v>
      </c>
      <c r="R1196" s="92">
        <v>1</v>
      </c>
      <c r="S1196" s="92">
        <v>115</v>
      </c>
      <c r="T1196" s="9">
        <v>44168</v>
      </c>
      <c r="U1196" s="9">
        <v>44213</v>
      </c>
    </row>
    <row r="1197" spans="1:21" x14ac:dyDescent="0.2">
      <c r="A1197" s="10" t="str">
        <f>HYPERLINK("http://www.ofsted.gov.uk/inspection-reports/find-inspection-report/provider/ELS/132225 ","Ofsted School Webpage")</f>
        <v>Ofsted School Webpage</v>
      </c>
      <c r="B1197" s="92">
        <v>132225</v>
      </c>
      <c r="C1197" s="92">
        <v>8302011</v>
      </c>
      <c r="D1197" s="92" t="s">
        <v>3134</v>
      </c>
      <c r="E1197" s="92" t="s">
        <v>94</v>
      </c>
      <c r="F1197" s="92" t="s">
        <v>269</v>
      </c>
      <c r="G1197" s="9">
        <v>36892</v>
      </c>
      <c r="H1197" s="92" t="s">
        <v>271</v>
      </c>
      <c r="I1197" s="92" t="s">
        <v>272</v>
      </c>
      <c r="J1197" s="92" t="s">
        <v>273</v>
      </c>
      <c r="K1197" s="92" t="s">
        <v>273</v>
      </c>
      <c r="L1197" s="92" t="s">
        <v>274</v>
      </c>
      <c r="M1197" s="92" t="s">
        <v>100</v>
      </c>
      <c r="N1197" s="92" t="s">
        <v>100</v>
      </c>
      <c r="O1197" s="92" t="s">
        <v>101</v>
      </c>
      <c r="P1197" s="92" t="s">
        <v>293</v>
      </c>
      <c r="Q1197" s="92" t="s">
        <v>3135</v>
      </c>
      <c r="R1197" s="92">
        <v>4</v>
      </c>
      <c r="S1197" s="92">
        <v>322</v>
      </c>
      <c r="T1197" s="9">
        <v>44168</v>
      </c>
      <c r="U1197" s="9">
        <v>44209</v>
      </c>
    </row>
    <row r="1198" spans="1:21" x14ac:dyDescent="0.2">
      <c r="A1198" s="10" t="str">
        <f>HYPERLINK("http://www.ofsted.gov.uk/inspection-reports/find-inspection-report/provider/ELS/122578 ","Ofsted School Webpage")</f>
        <v>Ofsted School Webpage</v>
      </c>
      <c r="B1198" s="92">
        <v>122578</v>
      </c>
      <c r="C1198" s="92">
        <v>8912436</v>
      </c>
      <c r="D1198" s="92" t="s">
        <v>3136</v>
      </c>
      <c r="E1198" s="92" t="s">
        <v>94</v>
      </c>
      <c r="F1198" s="92" t="s">
        <v>269</v>
      </c>
      <c r="G1198" s="92" t="s">
        <v>270</v>
      </c>
      <c r="H1198" s="92" t="s">
        <v>271</v>
      </c>
      <c r="I1198" s="92" t="s">
        <v>272</v>
      </c>
      <c r="J1198" s="92" t="s">
        <v>273</v>
      </c>
      <c r="K1198" s="92" t="s">
        <v>273</v>
      </c>
      <c r="L1198" s="92" t="s">
        <v>274</v>
      </c>
      <c r="M1198" s="92" t="s">
        <v>100</v>
      </c>
      <c r="N1198" s="92" t="s">
        <v>100</v>
      </c>
      <c r="O1198" s="92" t="s">
        <v>105</v>
      </c>
      <c r="P1198" s="92" t="s">
        <v>470</v>
      </c>
      <c r="Q1198" s="92" t="s">
        <v>3137</v>
      </c>
      <c r="R1198" s="92">
        <v>3</v>
      </c>
      <c r="S1198" s="92">
        <v>173</v>
      </c>
      <c r="T1198" s="9">
        <v>44168</v>
      </c>
      <c r="U1198" s="9">
        <v>44209</v>
      </c>
    </row>
    <row r="1199" spans="1:21" x14ac:dyDescent="0.2">
      <c r="A1199" s="10" t="str">
        <f>HYPERLINK("http://www.ofsted.gov.uk/inspection-reports/find-inspection-report/provider/ELS/111457 ","Ofsted School Webpage")</f>
        <v>Ofsted School Webpage</v>
      </c>
      <c r="B1199" s="92">
        <v>111457</v>
      </c>
      <c r="C1199" s="92">
        <v>8764625</v>
      </c>
      <c r="D1199" s="92" t="s">
        <v>3138</v>
      </c>
      <c r="E1199" s="92" t="s">
        <v>95</v>
      </c>
      <c r="F1199" s="92" t="s">
        <v>351</v>
      </c>
      <c r="G1199" s="92" t="s">
        <v>270</v>
      </c>
      <c r="H1199" s="92" t="s">
        <v>299</v>
      </c>
      <c r="I1199" s="92" t="s">
        <v>272</v>
      </c>
      <c r="J1199" s="92" t="s">
        <v>352</v>
      </c>
      <c r="K1199" s="92" t="s">
        <v>273</v>
      </c>
      <c r="L1199" s="92" t="s">
        <v>347</v>
      </c>
      <c r="M1199" s="92" t="s">
        <v>168</v>
      </c>
      <c r="N1199" s="92" t="s">
        <v>168</v>
      </c>
      <c r="O1199" s="92" t="s">
        <v>190</v>
      </c>
      <c r="P1199" s="92" t="s">
        <v>190</v>
      </c>
      <c r="Q1199" s="92" t="s">
        <v>3139</v>
      </c>
      <c r="R1199" s="92">
        <v>4</v>
      </c>
      <c r="S1199" s="92">
        <v>1339</v>
      </c>
      <c r="T1199" s="9">
        <v>44168</v>
      </c>
      <c r="U1199" s="9">
        <v>44215</v>
      </c>
    </row>
    <row r="1200" spans="1:21" x14ac:dyDescent="0.2">
      <c r="A1200" s="10" t="str">
        <f>HYPERLINK("http://www.ofsted.gov.uk/inspection-reports/find-inspection-report/provider/ELS/125004 ","Ofsted School Webpage")</f>
        <v>Ofsted School Webpage</v>
      </c>
      <c r="B1200" s="92">
        <v>125004</v>
      </c>
      <c r="C1200" s="92">
        <v>9362286</v>
      </c>
      <c r="D1200" s="92" t="s">
        <v>3140</v>
      </c>
      <c r="E1200" s="92" t="s">
        <v>94</v>
      </c>
      <c r="F1200" s="92" t="s">
        <v>269</v>
      </c>
      <c r="G1200" s="92" t="s">
        <v>270</v>
      </c>
      <c r="H1200" s="92" t="s">
        <v>271</v>
      </c>
      <c r="I1200" s="92" t="s">
        <v>272</v>
      </c>
      <c r="J1200" s="92" t="s">
        <v>273</v>
      </c>
      <c r="K1200" s="92" t="s">
        <v>273</v>
      </c>
      <c r="L1200" s="92" t="s">
        <v>274</v>
      </c>
      <c r="M1200" s="92" t="s">
        <v>192</v>
      </c>
      <c r="N1200" s="92" t="s">
        <v>192</v>
      </c>
      <c r="O1200" s="92" t="s">
        <v>198</v>
      </c>
      <c r="P1200" s="92" t="s">
        <v>1019</v>
      </c>
      <c r="Q1200" s="92" t="s">
        <v>3141</v>
      </c>
      <c r="R1200" s="92">
        <v>3</v>
      </c>
      <c r="S1200" s="92">
        <v>75</v>
      </c>
      <c r="T1200" s="9">
        <v>44168</v>
      </c>
      <c r="U1200" s="9">
        <v>44209</v>
      </c>
    </row>
    <row r="1201" spans="1:21" x14ac:dyDescent="0.2">
      <c r="A1201" s="10" t="str">
        <f>HYPERLINK("http://www.ofsted.gov.uk/inspection-reports/find-inspection-report/provider/ELS/101759 ","Ofsted School Webpage")</f>
        <v>Ofsted School Webpage</v>
      </c>
      <c r="B1201" s="92">
        <v>101759</v>
      </c>
      <c r="C1201" s="92">
        <v>3062067</v>
      </c>
      <c r="D1201" s="92" t="s">
        <v>3142</v>
      </c>
      <c r="E1201" s="92" t="s">
        <v>94</v>
      </c>
      <c r="F1201" s="92" t="s">
        <v>269</v>
      </c>
      <c r="G1201" s="92" t="s">
        <v>270</v>
      </c>
      <c r="H1201" s="92" t="s">
        <v>271</v>
      </c>
      <c r="I1201" s="92" t="s">
        <v>272</v>
      </c>
      <c r="J1201" s="92" t="s">
        <v>273</v>
      </c>
      <c r="K1201" s="92" t="s">
        <v>273</v>
      </c>
      <c r="L1201" s="92" t="s">
        <v>274</v>
      </c>
      <c r="M1201" s="92" t="s">
        <v>122</v>
      </c>
      <c r="N1201" s="92" t="s">
        <v>122</v>
      </c>
      <c r="O1201" s="92" t="s">
        <v>144</v>
      </c>
      <c r="P1201" s="92" t="s">
        <v>1389</v>
      </c>
      <c r="Q1201" s="92" t="s">
        <v>3143</v>
      </c>
      <c r="R1201" s="92">
        <v>2</v>
      </c>
      <c r="S1201" s="92">
        <v>518</v>
      </c>
      <c r="T1201" s="9">
        <v>44168</v>
      </c>
      <c r="U1201" s="9">
        <v>44213</v>
      </c>
    </row>
    <row r="1202" spans="1:21" x14ac:dyDescent="0.2">
      <c r="A1202" s="10" t="str">
        <f>HYPERLINK("http://www.ofsted.gov.uk/inspection-reports/find-inspection-report/provider/ELS/106083 ","Ofsted School Webpage")</f>
        <v>Ofsted School Webpage</v>
      </c>
      <c r="B1202" s="92">
        <v>106083</v>
      </c>
      <c r="C1202" s="92">
        <v>3562091</v>
      </c>
      <c r="D1202" s="92" t="s">
        <v>3144</v>
      </c>
      <c r="E1202" s="92" t="s">
        <v>94</v>
      </c>
      <c r="F1202" s="92" t="s">
        <v>269</v>
      </c>
      <c r="G1202" s="92" t="s">
        <v>270</v>
      </c>
      <c r="H1202" s="92" t="s">
        <v>271</v>
      </c>
      <c r="I1202" s="92" t="s">
        <v>272</v>
      </c>
      <c r="J1202" s="92" t="s">
        <v>273</v>
      </c>
      <c r="K1202" s="92" t="s">
        <v>273</v>
      </c>
      <c r="L1202" s="92" t="s">
        <v>274</v>
      </c>
      <c r="M1202" s="92" t="s">
        <v>168</v>
      </c>
      <c r="N1202" s="92" t="s">
        <v>168</v>
      </c>
      <c r="O1202" s="92" t="s">
        <v>174</v>
      </c>
      <c r="P1202" s="92" t="s">
        <v>334</v>
      </c>
      <c r="Q1202" s="92" t="s">
        <v>3145</v>
      </c>
      <c r="R1202" s="92">
        <v>2</v>
      </c>
      <c r="S1202" s="92">
        <v>350</v>
      </c>
      <c r="T1202" s="9">
        <v>44168</v>
      </c>
      <c r="U1202" s="9">
        <v>44215</v>
      </c>
    </row>
    <row r="1203" spans="1:21" x14ac:dyDescent="0.2">
      <c r="A1203" s="10" t="str">
        <f>HYPERLINK("http://www.ofsted.gov.uk/inspection-reports/find-inspection-report/provider/ELS/104178 ","Ofsted School Webpage")</f>
        <v>Ofsted School Webpage</v>
      </c>
      <c r="B1203" s="92">
        <v>104178</v>
      </c>
      <c r="C1203" s="92">
        <v>3352105</v>
      </c>
      <c r="D1203" s="92" t="s">
        <v>3146</v>
      </c>
      <c r="E1203" s="92" t="s">
        <v>94</v>
      </c>
      <c r="F1203" s="92" t="s">
        <v>269</v>
      </c>
      <c r="G1203" s="92" t="s">
        <v>270</v>
      </c>
      <c r="H1203" s="92" t="s">
        <v>271</v>
      </c>
      <c r="I1203" s="92" t="s">
        <v>272</v>
      </c>
      <c r="J1203" s="92" t="s">
        <v>273</v>
      </c>
      <c r="K1203" s="92" t="s">
        <v>273</v>
      </c>
      <c r="L1203" s="92" t="s">
        <v>274</v>
      </c>
      <c r="M1203" s="92" t="s">
        <v>226</v>
      </c>
      <c r="N1203" s="92" t="s">
        <v>226</v>
      </c>
      <c r="O1203" s="92" t="s">
        <v>230</v>
      </c>
      <c r="P1203" s="92" t="s">
        <v>570</v>
      </c>
      <c r="Q1203" s="92" t="s">
        <v>3147</v>
      </c>
      <c r="R1203" s="92">
        <v>5</v>
      </c>
      <c r="S1203" s="92">
        <v>323</v>
      </c>
      <c r="T1203" s="9">
        <v>44168</v>
      </c>
      <c r="U1203" s="9">
        <v>44209</v>
      </c>
    </row>
    <row r="1204" spans="1:21" x14ac:dyDescent="0.2">
      <c r="A1204" s="10" t="str">
        <f>HYPERLINK("http://www.ofsted.gov.uk/inspection-reports/find-inspection-report/provider/ELS/117329 ","Ofsted School Webpage")</f>
        <v>Ofsted School Webpage</v>
      </c>
      <c r="B1204" s="92">
        <v>117329</v>
      </c>
      <c r="C1204" s="92">
        <v>9192415</v>
      </c>
      <c r="D1204" s="92" t="s">
        <v>3148</v>
      </c>
      <c r="E1204" s="92" t="s">
        <v>94</v>
      </c>
      <c r="F1204" s="92" t="s">
        <v>269</v>
      </c>
      <c r="G1204" s="92" t="s">
        <v>270</v>
      </c>
      <c r="H1204" s="92" t="s">
        <v>271</v>
      </c>
      <c r="I1204" s="92" t="s">
        <v>272</v>
      </c>
      <c r="J1204" s="92" t="s">
        <v>273</v>
      </c>
      <c r="K1204" s="92" t="s">
        <v>273</v>
      </c>
      <c r="L1204" s="92" t="s">
        <v>274</v>
      </c>
      <c r="M1204" s="92" t="s">
        <v>110</v>
      </c>
      <c r="N1204" s="92" t="s">
        <v>110</v>
      </c>
      <c r="O1204" s="92" t="s">
        <v>117</v>
      </c>
      <c r="P1204" s="92" t="s">
        <v>669</v>
      </c>
      <c r="Q1204" s="92" t="s">
        <v>3149</v>
      </c>
      <c r="R1204" s="92">
        <v>2</v>
      </c>
      <c r="S1204" s="92">
        <v>201</v>
      </c>
      <c r="T1204" s="9">
        <v>44168</v>
      </c>
      <c r="U1204" s="9">
        <v>44213</v>
      </c>
    </row>
    <row r="1205" spans="1:21" x14ac:dyDescent="0.2">
      <c r="A1205" s="10" t="str">
        <f>HYPERLINK("http://www.ofsted.gov.uk/inspection-reports/find-inspection-report/provider/ELS/101746 ","Ofsted School Webpage")</f>
        <v>Ofsted School Webpage</v>
      </c>
      <c r="B1205" s="92">
        <v>101746</v>
      </c>
      <c r="C1205" s="92">
        <v>3062051</v>
      </c>
      <c r="D1205" s="92" t="s">
        <v>3150</v>
      </c>
      <c r="E1205" s="92" t="s">
        <v>94</v>
      </c>
      <c r="F1205" s="92" t="s">
        <v>269</v>
      </c>
      <c r="G1205" s="92" t="s">
        <v>270</v>
      </c>
      <c r="H1205" s="92" t="s">
        <v>271</v>
      </c>
      <c r="I1205" s="92" t="s">
        <v>272</v>
      </c>
      <c r="J1205" s="92" t="s">
        <v>273</v>
      </c>
      <c r="K1205" s="92" t="s">
        <v>273</v>
      </c>
      <c r="L1205" s="92" t="s">
        <v>274</v>
      </c>
      <c r="M1205" s="92" t="s">
        <v>122</v>
      </c>
      <c r="N1205" s="92" t="s">
        <v>122</v>
      </c>
      <c r="O1205" s="92" t="s">
        <v>144</v>
      </c>
      <c r="P1205" s="92" t="s">
        <v>3068</v>
      </c>
      <c r="Q1205" s="92" t="s">
        <v>3151</v>
      </c>
      <c r="R1205" s="92">
        <v>4</v>
      </c>
      <c r="S1205" s="92">
        <v>381</v>
      </c>
      <c r="T1205" s="9">
        <v>44168</v>
      </c>
      <c r="U1205" s="9">
        <v>44220</v>
      </c>
    </row>
    <row r="1206" spans="1:21" x14ac:dyDescent="0.2">
      <c r="A1206" s="10" t="str">
        <f>HYPERLINK("http://www.ofsted.gov.uk/inspection-reports/find-inspection-report/provider/ELS/114990 ","Ofsted School Webpage")</f>
        <v>Ofsted School Webpage</v>
      </c>
      <c r="B1206" s="92">
        <v>114990</v>
      </c>
      <c r="C1206" s="92">
        <v>8812770</v>
      </c>
      <c r="D1206" s="92" t="s">
        <v>3152</v>
      </c>
      <c r="E1206" s="92" t="s">
        <v>94</v>
      </c>
      <c r="F1206" s="92" t="s">
        <v>269</v>
      </c>
      <c r="G1206" s="92" t="s">
        <v>270</v>
      </c>
      <c r="H1206" s="92" t="s">
        <v>271</v>
      </c>
      <c r="I1206" s="92" t="s">
        <v>272</v>
      </c>
      <c r="J1206" s="92" t="s">
        <v>273</v>
      </c>
      <c r="K1206" s="92" t="s">
        <v>273</v>
      </c>
      <c r="L1206" s="92" t="s">
        <v>274</v>
      </c>
      <c r="M1206" s="92" t="s">
        <v>110</v>
      </c>
      <c r="N1206" s="92" t="s">
        <v>110</v>
      </c>
      <c r="O1206" s="92" t="s">
        <v>119</v>
      </c>
      <c r="P1206" s="92" t="s">
        <v>737</v>
      </c>
      <c r="Q1206" s="92" t="s">
        <v>3153</v>
      </c>
      <c r="R1206" s="92">
        <v>1</v>
      </c>
      <c r="S1206" s="92">
        <v>94</v>
      </c>
      <c r="T1206" s="9">
        <v>44168</v>
      </c>
      <c r="U1206" s="9">
        <v>44213</v>
      </c>
    </row>
    <row r="1207" spans="1:21" x14ac:dyDescent="0.2">
      <c r="A1207" s="10" t="str">
        <f>HYPERLINK("http://www.ofsted.gov.uk/inspection-reports/find-inspection-report/provider/ELS/102919 ","Ofsted School Webpage")</f>
        <v>Ofsted School Webpage</v>
      </c>
      <c r="B1207" s="92">
        <v>102919</v>
      </c>
      <c r="C1207" s="92">
        <v>3183324</v>
      </c>
      <c r="D1207" s="92" t="s">
        <v>3154</v>
      </c>
      <c r="E1207" s="92" t="s">
        <v>94</v>
      </c>
      <c r="F1207" s="92" t="s">
        <v>351</v>
      </c>
      <c r="G1207" s="92" t="s">
        <v>270</v>
      </c>
      <c r="H1207" s="92" t="s">
        <v>271</v>
      </c>
      <c r="I1207" s="92" t="s">
        <v>272</v>
      </c>
      <c r="J1207" s="92" t="s">
        <v>352</v>
      </c>
      <c r="K1207" s="92" t="s">
        <v>273</v>
      </c>
      <c r="L1207" s="92" t="s">
        <v>347</v>
      </c>
      <c r="M1207" s="92" t="s">
        <v>122</v>
      </c>
      <c r="N1207" s="92" t="s">
        <v>122</v>
      </c>
      <c r="O1207" s="92" t="s">
        <v>134</v>
      </c>
      <c r="P1207" s="92" t="s">
        <v>1129</v>
      </c>
      <c r="Q1207" s="92" t="s">
        <v>3155</v>
      </c>
      <c r="R1207" s="92">
        <v>2</v>
      </c>
      <c r="S1207" s="92">
        <v>191</v>
      </c>
      <c r="T1207" s="9">
        <v>44168</v>
      </c>
      <c r="U1207" s="9">
        <v>44216</v>
      </c>
    </row>
    <row r="1208" spans="1:21" x14ac:dyDescent="0.2">
      <c r="A1208" s="10" t="str">
        <f>HYPERLINK("http://www.ofsted.gov.uk/inspection-reports/find-inspection-report/provider/ELS/133599 ","Ofsted School Webpage")</f>
        <v>Ofsted School Webpage</v>
      </c>
      <c r="B1208" s="92">
        <v>133599</v>
      </c>
      <c r="C1208" s="92">
        <v>2044318</v>
      </c>
      <c r="D1208" s="92" t="s">
        <v>3156</v>
      </c>
      <c r="E1208" s="92" t="s">
        <v>95</v>
      </c>
      <c r="F1208" s="92" t="s">
        <v>351</v>
      </c>
      <c r="G1208" s="9">
        <v>38596</v>
      </c>
      <c r="H1208" s="92" t="s">
        <v>299</v>
      </c>
      <c r="I1208" s="92" t="s">
        <v>272</v>
      </c>
      <c r="J1208" s="92" t="s">
        <v>2819</v>
      </c>
      <c r="K1208" s="92" t="s">
        <v>273</v>
      </c>
      <c r="L1208" s="92" t="s">
        <v>2819</v>
      </c>
      <c r="M1208" s="92" t="s">
        <v>122</v>
      </c>
      <c r="N1208" s="92" t="s">
        <v>122</v>
      </c>
      <c r="O1208" s="92" t="s">
        <v>126</v>
      </c>
      <c r="P1208" s="92" t="s">
        <v>320</v>
      </c>
      <c r="Q1208" s="92" t="s">
        <v>3157</v>
      </c>
      <c r="R1208" s="92">
        <v>2</v>
      </c>
      <c r="S1208" s="92">
        <v>314</v>
      </c>
      <c r="T1208" s="9">
        <v>44168</v>
      </c>
      <c r="U1208" s="9">
        <v>44213</v>
      </c>
    </row>
    <row r="1209" spans="1:21" x14ac:dyDescent="0.2">
      <c r="A1209" s="10" t="str">
        <f>HYPERLINK("http://www.ofsted.gov.uk/inspection-reports/find-inspection-report/provider/ELS/145719 ","Ofsted School Webpage")</f>
        <v>Ofsted School Webpage</v>
      </c>
      <c r="B1209" s="92">
        <v>145719</v>
      </c>
      <c r="C1209" s="92">
        <v>8732071</v>
      </c>
      <c r="D1209" s="92" t="s">
        <v>3158</v>
      </c>
      <c r="E1209" s="92" t="s">
        <v>94</v>
      </c>
      <c r="F1209" s="92" t="s">
        <v>409</v>
      </c>
      <c r="G1209" s="9">
        <v>43221</v>
      </c>
      <c r="H1209" s="92" t="s">
        <v>484</v>
      </c>
      <c r="I1209" s="92" t="s">
        <v>272</v>
      </c>
      <c r="J1209" s="92" t="s">
        <v>346</v>
      </c>
      <c r="K1209" s="92" t="s">
        <v>346</v>
      </c>
      <c r="L1209" s="92" t="s">
        <v>347</v>
      </c>
      <c r="M1209" s="92" t="s">
        <v>110</v>
      </c>
      <c r="N1209" s="92" t="s">
        <v>110</v>
      </c>
      <c r="O1209" s="92" t="s">
        <v>112</v>
      </c>
      <c r="P1209" s="92" t="s">
        <v>544</v>
      </c>
      <c r="Q1209" s="92" t="s">
        <v>3159</v>
      </c>
      <c r="R1209" s="92">
        <v>2</v>
      </c>
      <c r="S1209" s="92">
        <v>172</v>
      </c>
      <c r="T1209" s="9">
        <v>44168</v>
      </c>
      <c r="U1209" s="9">
        <v>44209</v>
      </c>
    </row>
    <row r="1210" spans="1:21" x14ac:dyDescent="0.2">
      <c r="A1210" s="10" t="str">
        <f>HYPERLINK("http://www.ofsted.gov.uk/inspection-reports/find-inspection-report/provider/ELS/145452 ","Ofsted School Webpage")</f>
        <v>Ofsted School Webpage</v>
      </c>
      <c r="B1210" s="92">
        <v>145452</v>
      </c>
      <c r="C1210" s="92">
        <v>8512653</v>
      </c>
      <c r="D1210" s="92" t="s">
        <v>3160</v>
      </c>
      <c r="E1210" s="92" t="s">
        <v>94</v>
      </c>
      <c r="F1210" s="92" t="s">
        <v>429</v>
      </c>
      <c r="G1210" s="9">
        <v>43132</v>
      </c>
      <c r="H1210" s="92" t="s">
        <v>271</v>
      </c>
      <c r="I1210" s="92" t="s">
        <v>272</v>
      </c>
      <c r="J1210" s="92" t="s">
        <v>273</v>
      </c>
      <c r="K1210" s="92" t="s">
        <v>273</v>
      </c>
      <c r="L1210" s="92" t="s">
        <v>274</v>
      </c>
      <c r="M1210" s="92" t="s">
        <v>192</v>
      </c>
      <c r="N1210" s="92" t="s">
        <v>192</v>
      </c>
      <c r="O1210" s="92" t="s">
        <v>196</v>
      </c>
      <c r="P1210" s="92" t="s">
        <v>1025</v>
      </c>
      <c r="Q1210" s="92" t="s">
        <v>3161</v>
      </c>
      <c r="R1210" s="92">
        <v>3</v>
      </c>
      <c r="S1210" s="92">
        <v>356</v>
      </c>
      <c r="T1210" s="9">
        <v>44168</v>
      </c>
      <c r="U1210" s="9">
        <v>44213</v>
      </c>
    </row>
    <row r="1211" spans="1:21" x14ac:dyDescent="0.2">
      <c r="A1211" s="10" t="str">
        <f>HYPERLINK("http://www.ofsted.gov.uk/inspection-reports/find-inspection-report/provider/ELS/148232 ","Ofsted School Webpage")</f>
        <v>Ofsted School Webpage</v>
      </c>
      <c r="B1211" s="92">
        <v>148232</v>
      </c>
      <c r="C1211" s="92">
        <v>9262238</v>
      </c>
      <c r="D1211" s="92" t="s">
        <v>3162</v>
      </c>
      <c r="E1211" s="92" t="s">
        <v>94</v>
      </c>
      <c r="F1211" s="92" t="s">
        <v>409</v>
      </c>
      <c r="G1211" s="9">
        <v>44136</v>
      </c>
      <c r="H1211" s="92" t="s">
        <v>299</v>
      </c>
      <c r="I1211" s="92" t="s">
        <v>272</v>
      </c>
      <c r="J1211" s="92" t="s">
        <v>346</v>
      </c>
      <c r="K1211" s="92" t="s">
        <v>346</v>
      </c>
      <c r="L1211" s="92" t="s">
        <v>347</v>
      </c>
      <c r="M1211" s="92" t="s">
        <v>110</v>
      </c>
      <c r="N1211" s="92" t="s">
        <v>110</v>
      </c>
      <c r="O1211" s="92" t="s">
        <v>118</v>
      </c>
      <c r="P1211" s="92" t="s">
        <v>3163</v>
      </c>
      <c r="Q1211" s="92" t="s">
        <v>3164</v>
      </c>
      <c r="R1211" s="92" t="s">
        <v>270</v>
      </c>
      <c r="S1211" s="92" t="s">
        <v>270</v>
      </c>
      <c r="T1211" s="9">
        <v>44168</v>
      </c>
      <c r="U1211" s="9">
        <v>44213</v>
      </c>
    </row>
    <row r="1212" spans="1:21" x14ac:dyDescent="0.2">
      <c r="A1212" s="10" t="str">
        <f>HYPERLINK("http://www.ofsted.gov.uk/inspection-reports/find-inspection-report/provider/ELS/146715 ","Ofsted School Webpage")</f>
        <v>Ofsted School Webpage</v>
      </c>
      <c r="B1212" s="92">
        <v>146715</v>
      </c>
      <c r="C1212" s="92">
        <v>8312629</v>
      </c>
      <c r="D1212" s="92" t="s">
        <v>3165</v>
      </c>
      <c r="E1212" s="92" t="s">
        <v>94</v>
      </c>
      <c r="F1212" s="92" t="s">
        <v>429</v>
      </c>
      <c r="G1212" s="9">
        <v>43497</v>
      </c>
      <c r="H1212" s="92" t="s">
        <v>271</v>
      </c>
      <c r="I1212" s="92" t="s">
        <v>272</v>
      </c>
      <c r="J1212" s="92" t="s">
        <v>273</v>
      </c>
      <c r="K1212" s="92" t="s">
        <v>273</v>
      </c>
      <c r="L1212" s="92" t="s">
        <v>274</v>
      </c>
      <c r="M1212" s="92" t="s">
        <v>100</v>
      </c>
      <c r="N1212" s="92" t="s">
        <v>100</v>
      </c>
      <c r="O1212" s="92" t="s">
        <v>106</v>
      </c>
      <c r="P1212" s="92" t="s">
        <v>548</v>
      </c>
      <c r="Q1212" s="92" t="s">
        <v>3166</v>
      </c>
      <c r="R1212" s="92">
        <v>5</v>
      </c>
      <c r="S1212" s="92">
        <v>629</v>
      </c>
      <c r="T1212" s="9">
        <v>44168</v>
      </c>
      <c r="U1212" s="9">
        <v>44209</v>
      </c>
    </row>
    <row r="1213" spans="1:21" x14ac:dyDescent="0.2">
      <c r="A1213" s="10" t="str">
        <f>HYPERLINK("http://www.ofsted.gov.uk/inspection-reports/find-inspection-report/provider/ELS/142178 ","Ofsted School Webpage")</f>
        <v>Ofsted School Webpage</v>
      </c>
      <c r="B1213" s="92">
        <v>142178</v>
      </c>
      <c r="C1213" s="92">
        <v>2104003</v>
      </c>
      <c r="D1213" s="92" t="s">
        <v>3167</v>
      </c>
      <c r="E1213" s="92" t="s">
        <v>95</v>
      </c>
      <c r="F1213" s="92" t="s">
        <v>491</v>
      </c>
      <c r="G1213" s="9">
        <v>42625</v>
      </c>
      <c r="H1213" s="92" t="s">
        <v>299</v>
      </c>
      <c r="I1213" s="92" t="s">
        <v>300</v>
      </c>
      <c r="J1213" s="92" t="s">
        <v>410</v>
      </c>
      <c r="K1213" s="92" t="s">
        <v>410</v>
      </c>
      <c r="L1213" s="92" t="s">
        <v>274</v>
      </c>
      <c r="M1213" s="92" t="s">
        <v>122</v>
      </c>
      <c r="N1213" s="92" t="s">
        <v>122</v>
      </c>
      <c r="O1213" s="92" t="s">
        <v>148</v>
      </c>
      <c r="P1213" s="92" t="s">
        <v>3168</v>
      </c>
      <c r="Q1213" s="92" t="s">
        <v>3169</v>
      </c>
      <c r="R1213" s="92">
        <v>3</v>
      </c>
      <c r="S1213" s="92">
        <v>597</v>
      </c>
      <c r="T1213" s="9">
        <v>44168</v>
      </c>
      <c r="U1213" s="9">
        <v>44222</v>
      </c>
    </row>
    <row r="1214" spans="1:21" x14ac:dyDescent="0.2">
      <c r="A1214" s="10" t="str">
        <f>HYPERLINK("http://www.ofsted.gov.uk/inspection-reports/find-inspection-report/provider/ELS/145326 ","Ofsted School Webpage")</f>
        <v>Ofsted School Webpage</v>
      </c>
      <c r="B1214" s="92">
        <v>145326</v>
      </c>
      <c r="C1214" s="92">
        <v>9092100</v>
      </c>
      <c r="D1214" s="92" t="s">
        <v>3170</v>
      </c>
      <c r="E1214" s="92" t="s">
        <v>94</v>
      </c>
      <c r="F1214" s="92" t="s">
        <v>429</v>
      </c>
      <c r="G1214" s="9">
        <v>43101</v>
      </c>
      <c r="H1214" s="92" t="s">
        <v>271</v>
      </c>
      <c r="I1214" s="92" t="s">
        <v>272</v>
      </c>
      <c r="J1214" s="92" t="s">
        <v>273</v>
      </c>
      <c r="K1214" s="92" t="s">
        <v>273</v>
      </c>
      <c r="L1214" s="92" t="s">
        <v>274</v>
      </c>
      <c r="M1214" s="92" t="s">
        <v>168</v>
      </c>
      <c r="N1214" s="92" t="s">
        <v>168</v>
      </c>
      <c r="O1214" s="92" t="s">
        <v>176</v>
      </c>
      <c r="P1214" s="92" t="s">
        <v>874</v>
      </c>
      <c r="Q1214" s="92" t="s">
        <v>3171</v>
      </c>
      <c r="R1214" s="92">
        <v>1</v>
      </c>
      <c r="S1214" s="92">
        <v>31</v>
      </c>
      <c r="T1214" s="9">
        <v>44168</v>
      </c>
      <c r="U1214" s="9">
        <v>44221</v>
      </c>
    </row>
    <row r="1215" spans="1:21" x14ac:dyDescent="0.2">
      <c r="A1215" s="10" t="str">
        <f>HYPERLINK("http://www.ofsted.gov.uk/inspection-reports/find-inspection-report/provider/ELS/142705 ","Ofsted School Webpage")</f>
        <v>Ofsted School Webpage</v>
      </c>
      <c r="B1215" s="92">
        <v>142705</v>
      </c>
      <c r="C1215" s="92">
        <v>8943369</v>
      </c>
      <c r="D1215" s="92" t="s">
        <v>3172</v>
      </c>
      <c r="E1215" s="92" t="s">
        <v>94</v>
      </c>
      <c r="F1215" s="92" t="s">
        <v>429</v>
      </c>
      <c r="G1215" s="9">
        <v>42461</v>
      </c>
      <c r="H1215" s="92" t="s">
        <v>271</v>
      </c>
      <c r="I1215" s="92" t="s">
        <v>272</v>
      </c>
      <c r="J1215" s="92" t="s">
        <v>410</v>
      </c>
      <c r="K1215" s="92" t="s">
        <v>273</v>
      </c>
      <c r="L1215" s="92" t="s">
        <v>274</v>
      </c>
      <c r="M1215" s="92" t="s">
        <v>226</v>
      </c>
      <c r="N1215" s="92" t="s">
        <v>226</v>
      </c>
      <c r="O1215" s="92" t="s">
        <v>239</v>
      </c>
      <c r="P1215" s="92" t="s">
        <v>1174</v>
      </c>
      <c r="Q1215" s="92" t="s">
        <v>3173</v>
      </c>
      <c r="R1215" s="92">
        <v>5</v>
      </c>
      <c r="S1215" s="92">
        <v>481</v>
      </c>
      <c r="T1215" s="9">
        <v>44168</v>
      </c>
      <c r="U1215" s="9">
        <v>44213</v>
      </c>
    </row>
    <row r="1216" spans="1:21" x14ac:dyDescent="0.2">
      <c r="A1216" s="10" t="str">
        <f>HYPERLINK("http://www.ofsted.gov.uk/inspection-reports/find-inspection-report/provider/ELS/140967 ","Ofsted School Webpage")</f>
        <v>Ofsted School Webpage</v>
      </c>
      <c r="B1216" s="92">
        <v>140967</v>
      </c>
      <c r="C1216" s="92">
        <v>3062087</v>
      </c>
      <c r="D1216" s="92" t="s">
        <v>3174</v>
      </c>
      <c r="E1216" s="92" t="s">
        <v>94</v>
      </c>
      <c r="F1216" s="92" t="s">
        <v>491</v>
      </c>
      <c r="G1216" s="9">
        <v>41883</v>
      </c>
      <c r="H1216" s="92" t="s">
        <v>484</v>
      </c>
      <c r="I1216" s="92" t="s">
        <v>272</v>
      </c>
      <c r="J1216" s="92" t="s">
        <v>410</v>
      </c>
      <c r="K1216" s="92" t="s">
        <v>410</v>
      </c>
      <c r="L1216" s="92" t="s">
        <v>274</v>
      </c>
      <c r="M1216" s="92" t="s">
        <v>122</v>
      </c>
      <c r="N1216" s="92" t="s">
        <v>122</v>
      </c>
      <c r="O1216" s="92" t="s">
        <v>144</v>
      </c>
      <c r="P1216" s="92" t="s">
        <v>3068</v>
      </c>
      <c r="Q1216" s="92" t="s">
        <v>3175</v>
      </c>
      <c r="R1216" s="92">
        <v>4</v>
      </c>
      <c r="S1216" s="92">
        <v>181</v>
      </c>
      <c r="T1216" s="9">
        <v>44173</v>
      </c>
      <c r="U1216" s="9">
        <v>44217</v>
      </c>
    </row>
    <row r="1217" spans="1:21" x14ac:dyDescent="0.2">
      <c r="A1217" s="10" t="str">
        <f>HYPERLINK("http://www.ofsted.gov.uk/inspection-reports/find-inspection-report/provider/ELS/148139 ","Ofsted School Webpage")</f>
        <v>Ofsted School Webpage</v>
      </c>
      <c r="B1217" s="92">
        <v>148139</v>
      </c>
      <c r="C1217" s="92">
        <v>8812187</v>
      </c>
      <c r="D1217" s="92" t="s">
        <v>3176</v>
      </c>
      <c r="E1217" s="92" t="s">
        <v>94</v>
      </c>
      <c r="F1217" s="92" t="s">
        <v>409</v>
      </c>
      <c r="G1217" s="9">
        <v>44075</v>
      </c>
      <c r="H1217" s="92" t="s">
        <v>271</v>
      </c>
      <c r="I1217" s="92" t="s">
        <v>272</v>
      </c>
      <c r="J1217" s="92" t="s">
        <v>273</v>
      </c>
      <c r="K1217" s="92" t="s">
        <v>273</v>
      </c>
      <c r="L1217" s="92" t="s">
        <v>274</v>
      </c>
      <c r="M1217" s="92" t="s">
        <v>110</v>
      </c>
      <c r="N1217" s="92" t="s">
        <v>110</v>
      </c>
      <c r="O1217" s="92" t="s">
        <v>119</v>
      </c>
      <c r="P1217" s="92" t="s">
        <v>837</v>
      </c>
      <c r="Q1217" s="92" t="s">
        <v>3177</v>
      </c>
      <c r="R1217" s="92" t="s">
        <v>270</v>
      </c>
      <c r="S1217" s="92" t="s">
        <v>270</v>
      </c>
      <c r="T1217" s="9">
        <v>44173</v>
      </c>
      <c r="U1217" s="9">
        <v>44213</v>
      </c>
    </row>
    <row r="1218" spans="1:21" x14ac:dyDescent="0.2">
      <c r="A1218" s="10" t="str">
        <f>HYPERLINK("http://www.ofsted.gov.uk/inspection-reports/find-inspection-report/provider/ELS/114921 ","Ofsted School Webpage")</f>
        <v>Ofsted School Webpage</v>
      </c>
      <c r="B1218" s="92">
        <v>114921</v>
      </c>
      <c r="C1218" s="92">
        <v>8812624</v>
      </c>
      <c r="D1218" s="92" t="s">
        <v>3178</v>
      </c>
      <c r="E1218" s="92" t="s">
        <v>94</v>
      </c>
      <c r="F1218" s="92" t="s">
        <v>269</v>
      </c>
      <c r="G1218" s="92" t="s">
        <v>270</v>
      </c>
      <c r="H1218" s="92" t="s">
        <v>271</v>
      </c>
      <c r="I1218" s="92" t="s">
        <v>272</v>
      </c>
      <c r="J1218" s="92" t="s">
        <v>273</v>
      </c>
      <c r="K1218" s="92" t="s">
        <v>273</v>
      </c>
      <c r="L1218" s="92" t="s">
        <v>274</v>
      </c>
      <c r="M1218" s="92" t="s">
        <v>110</v>
      </c>
      <c r="N1218" s="92" t="s">
        <v>110</v>
      </c>
      <c r="O1218" s="92" t="s">
        <v>119</v>
      </c>
      <c r="P1218" s="92" t="s">
        <v>3179</v>
      </c>
      <c r="Q1218" s="92" t="s">
        <v>3180</v>
      </c>
      <c r="R1218" s="92">
        <v>2</v>
      </c>
      <c r="S1218" s="92">
        <v>146</v>
      </c>
      <c r="T1218" s="9">
        <v>44173</v>
      </c>
      <c r="U1218" s="9">
        <v>44209</v>
      </c>
    </row>
    <row r="1219" spans="1:21" x14ac:dyDescent="0.2">
      <c r="A1219" s="10" t="str">
        <f>HYPERLINK("http://www.ofsted.gov.uk/inspection-reports/find-inspection-report/provider/ELS/121798 ","Ofsted School Webpage")</f>
        <v>Ofsted School Webpage</v>
      </c>
      <c r="B1219" s="92">
        <v>121798</v>
      </c>
      <c r="C1219" s="92">
        <v>9282006</v>
      </c>
      <c r="D1219" s="92" t="s">
        <v>3181</v>
      </c>
      <c r="E1219" s="92" t="s">
        <v>94</v>
      </c>
      <c r="F1219" s="92" t="s">
        <v>269</v>
      </c>
      <c r="G1219" s="92" t="s">
        <v>270</v>
      </c>
      <c r="H1219" s="92" t="s">
        <v>271</v>
      </c>
      <c r="I1219" s="92" t="s">
        <v>272</v>
      </c>
      <c r="J1219" s="92" t="s">
        <v>273</v>
      </c>
      <c r="K1219" s="92" t="s">
        <v>273</v>
      </c>
      <c r="L1219" s="92" t="s">
        <v>274</v>
      </c>
      <c r="M1219" s="92" t="s">
        <v>100</v>
      </c>
      <c r="N1219" s="92" t="s">
        <v>100</v>
      </c>
      <c r="O1219" s="92" t="s">
        <v>107</v>
      </c>
      <c r="P1219" s="92" t="s">
        <v>2067</v>
      </c>
      <c r="Q1219" s="92" t="s">
        <v>3182</v>
      </c>
      <c r="R1219" s="92">
        <v>1</v>
      </c>
      <c r="S1219" s="92">
        <v>51</v>
      </c>
      <c r="T1219" s="9">
        <v>44173</v>
      </c>
      <c r="U1219" s="9">
        <v>44213</v>
      </c>
    </row>
    <row r="1220" spans="1:21" x14ac:dyDescent="0.2">
      <c r="A1220" s="10" t="str">
        <f>HYPERLINK("http://www.ofsted.gov.uk/inspection-reports/find-inspection-report/provider/ELS/120789 ","Ofsted School Webpage")</f>
        <v>Ofsted School Webpage</v>
      </c>
      <c r="B1220" s="92">
        <v>120789</v>
      </c>
      <c r="C1220" s="92">
        <v>9262021</v>
      </c>
      <c r="D1220" s="92" t="s">
        <v>3183</v>
      </c>
      <c r="E1220" s="92" t="s">
        <v>94</v>
      </c>
      <c r="F1220" s="92" t="s">
        <v>397</v>
      </c>
      <c r="G1220" s="92" t="s">
        <v>270</v>
      </c>
      <c r="H1220" s="92" t="s">
        <v>271</v>
      </c>
      <c r="I1220" s="92" t="s">
        <v>272</v>
      </c>
      <c r="J1220" s="92" t="s">
        <v>273</v>
      </c>
      <c r="K1220" s="92" t="s">
        <v>273</v>
      </c>
      <c r="L1220" s="92" t="s">
        <v>274</v>
      </c>
      <c r="M1220" s="92" t="s">
        <v>110</v>
      </c>
      <c r="N1220" s="92" t="s">
        <v>110</v>
      </c>
      <c r="O1220" s="92" t="s">
        <v>118</v>
      </c>
      <c r="P1220" s="92" t="s">
        <v>3163</v>
      </c>
      <c r="Q1220" s="92" t="s">
        <v>3184</v>
      </c>
      <c r="R1220" s="92">
        <v>2</v>
      </c>
      <c r="S1220" s="92">
        <v>123</v>
      </c>
      <c r="T1220" s="9">
        <v>44173</v>
      </c>
      <c r="U1220" s="9">
        <v>44209</v>
      </c>
    </row>
    <row r="1221" spans="1:21" x14ac:dyDescent="0.2">
      <c r="A1221" s="10" t="str">
        <f>HYPERLINK("http://www.ofsted.gov.uk/inspection-reports/find-inspection-report/provider/ELS/110611 ","Ofsted School Webpage")</f>
        <v>Ofsted School Webpage</v>
      </c>
      <c r="B1221" s="92">
        <v>110611</v>
      </c>
      <c r="C1221" s="92">
        <v>8732016</v>
      </c>
      <c r="D1221" s="92" t="s">
        <v>3185</v>
      </c>
      <c r="E1221" s="92" t="s">
        <v>94</v>
      </c>
      <c r="F1221" s="92" t="s">
        <v>269</v>
      </c>
      <c r="G1221" s="92" t="s">
        <v>270</v>
      </c>
      <c r="H1221" s="92" t="s">
        <v>271</v>
      </c>
      <c r="I1221" s="92" t="s">
        <v>272</v>
      </c>
      <c r="J1221" s="92" t="s">
        <v>273</v>
      </c>
      <c r="K1221" s="92" t="s">
        <v>273</v>
      </c>
      <c r="L1221" s="92" t="s">
        <v>274</v>
      </c>
      <c r="M1221" s="92" t="s">
        <v>110</v>
      </c>
      <c r="N1221" s="92" t="s">
        <v>110</v>
      </c>
      <c r="O1221" s="92" t="s">
        <v>112</v>
      </c>
      <c r="P1221" s="92" t="s">
        <v>445</v>
      </c>
      <c r="Q1221" s="92" t="s">
        <v>3186</v>
      </c>
      <c r="R1221" s="92">
        <v>1</v>
      </c>
      <c r="S1221" s="92">
        <v>136</v>
      </c>
      <c r="T1221" s="9">
        <v>44173</v>
      </c>
      <c r="U1221" s="9">
        <v>44209</v>
      </c>
    </row>
    <row r="1222" spans="1:21" x14ac:dyDescent="0.2">
      <c r="A1222" s="10" t="str">
        <f>HYPERLINK("http://www.ofsted.gov.uk/inspection-reports/find-inspection-report/provider/ELS/120089 ","Ofsted School Webpage")</f>
        <v>Ofsted School Webpage</v>
      </c>
      <c r="B1222" s="92">
        <v>120089</v>
      </c>
      <c r="C1222" s="92">
        <v>8562365</v>
      </c>
      <c r="D1222" s="92" t="s">
        <v>3187</v>
      </c>
      <c r="E1222" s="92" t="s">
        <v>94</v>
      </c>
      <c r="F1222" s="92" t="s">
        <v>269</v>
      </c>
      <c r="G1222" s="92" t="s">
        <v>270</v>
      </c>
      <c r="H1222" s="92" t="s">
        <v>271</v>
      </c>
      <c r="I1222" s="92" t="s">
        <v>272</v>
      </c>
      <c r="J1222" s="92" t="s">
        <v>273</v>
      </c>
      <c r="K1222" s="92" t="s">
        <v>273</v>
      </c>
      <c r="L1222" s="92" t="s">
        <v>274</v>
      </c>
      <c r="M1222" s="92" t="s">
        <v>100</v>
      </c>
      <c r="N1222" s="92" t="s">
        <v>100</v>
      </c>
      <c r="O1222" s="92" t="s">
        <v>102</v>
      </c>
      <c r="P1222" s="92" t="s">
        <v>611</v>
      </c>
      <c r="Q1222" s="92" t="s">
        <v>3188</v>
      </c>
      <c r="R1222" s="92">
        <v>5</v>
      </c>
      <c r="S1222" s="92">
        <v>431</v>
      </c>
      <c r="T1222" s="9">
        <v>44173</v>
      </c>
      <c r="U1222" s="9">
        <v>44213</v>
      </c>
    </row>
    <row r="1223" spans="1:21" x14ac:dyDescent="0.2">
      <c r="A1223" s="10" t="str">
        <f>HYPERLINK("http://www.ofsted.gov.uk/inspection-reports/find-inspection-report/provider/ELS/139361 ","Ofsted School Webpage")</f>
        <v>Ofsted School Webpage</v>
      </c>
      <c r="B1223" s="92">
        <v>139361</v>
      </c>
      <c r="C1223" s="92">
        <v>9252207</v>
      </c>
      <c r="D1223" s="92" t="s">
        <v>3189</v>
      </c>
      <c r="E1223" s="92" t="s">
        <v>94</v>
      </c>
      <c r="F1223" s="92" t="s">
        <v>429</v>
      </c>
      <c r="G1223" s="9">
        <v>41334</v>
      </c>
      <c r="H1223" s="92" t="s">
        <v>271</v>
      </c>
      <c r="I1223" s="92" t="s">
        <v>272</v>
      </c>
      <c r="J1223" s="92" t="s">
        <v>273</v>
      </c>
      <c r="K1223" s="92" t="s">
        <v>273</v>
      </c>
      <c r="L1223" s="92" t="s">
        <v>274</v>
      </c>
      <c r="M1223" s="92" t="s">
        <v>100</v>
      </c>
      <c r="N1223" s="92" t="s">
        <v>100</v>
      </c>
      <c r="O1223" s="92" t="s">
        <v>104</v>
      </c>
      <c r="P1223" s="92" t="s">
        <v>1050</v>
      </c>
      <c r="Q1223" s="92" t="s">
        <v>3190</v>
      </c>
      <c r="R1223" s="92">
        <v>5</v>
      </c>
      <c r="S1223" s="92">
        <v>226</v>
      </c>
      <c r="T1223" s="9">
        <v>44173</v>
      </c>
      <c r="U1223" s="9">
        <v>44209</v>
      </c>
    </row>
    <row r="1224" spans="1:21" x14ac:dyDescent="0.2">
      <c r="A1224" s="10" t="str">
        <f>HYPERLINK("http://www.ofsted.gov.uk/inspection-reports/find-inspection-report/provider/ELS/138734 ","Ofsted School Webpage")</f>
        <v>Ofsted School Webpage</v>
      </c>
      <c r="B1224" s="92">
        <v>138734</v>
      </c>
      <c r="C1224" s="92">
        <v>8815436</v>
      </c>
      <c r="D1224" s="92" t="s">
        <v>3191</v>
      </c>
      <c r="E1224" s="92" t="s">
        <v>95</v>
      </c>
      <c r="F1224" s="92" t="s">
        <v>429</v>
      </c>
      <c r="G1224" s="9">
        <v>41153</v>
      </c>
      <c r="H1224" s="92" t="s">
        <v>299</v>
      </c>
      <c r="I1224" s="92" t="s">
        <v>300</v>
      </c>
      <c r="J1224" s="92" t="s">
        <v>410</v>
      </c>
      <c r="K1224" s="92" t="s">
        <v>273</v>
      </c>
      <c r="L1224" s="92" t="s">
        <v>274</v>
      </c>
      <c r="M1224" s="92" t="s">
        <v>110</v>
      </c>
      <c r="N1224" s="92" t="s">
        <v>110</v>
      </c>
      <c r="O1224" s="92" t="s">
        <v>119</v>
      </c>
      <c r="P1224" s="92" t="s">
        <v>737</v>
      </c>
      <c r="Q1224" s="92" t="s">
        <v>3192</v>
      </c>
      <c r="R1224" s="92">
        <v>1</v>
      </c>
      <c r="S1224" s="92">
        <v>895</v>
      </c>
      <c r="T1224" s="9">
        <v>44173</v>
      </c>
      <c r="U1224" s="9">
        <v>44221</v>
      </c>
    </row>
    <row r="1225" spans="1:21" x14ac:dyDescent="0.2">
      <c r="A1225" s="10" t="str">
        <f>HYPERLINK("http://www.ofsted.gov.uk/inspection-reports/find-inspection-report/provider/ELS/139523 ","Ofsted School Webpage")</f>
        <v>Ofsted School Webpage</v>
      </c>
      <c r="B1225" s="92">
        <v>139523</v>
      </c>
      <c r="C1225" s="92">
        <v>8222008</v>
      </c>
      <c r="D1225" s="92" t="s">
        <v>3193</v>
      </c>
      <c r="E1225" s="92" t="s">
        <v>94</v>
      </c>
      <c r="F1225" s="92" t="s">
        <v>429</v>
      </c>
      <c r="G1225" s="9">
        <v>41365</v>
      </c>
      <c r="H1225" s="92" t="s">
        <v>271</v>
      </c>
      <c r="I1225" s="92" t="s">
        <v>272</v>
      </c>
      <c r="J1225" s="92" t="s">
        <v>410</v>
      </c>
      <c r="K1225" s="92" t="s">
        <v>273</v>
      </c>
      <c r="L1225" s="92" t="s">
        <v>274</v>
      </c>
      <c r="M1225" s="92" t="s">
        <v>110</v>
      </c>
      <c r="N1225" s="92" t="s">
        <v>110</v>
      </c>
      <c r="O1225" s="92" t="s">
        <v>111</v>
      </c>
      <c r="P1225" s="92" t="s">
        <v>111</v>
      </c>
      <c r="Q1225" s="92" t="s">
        <v>3194</v>
      </c>
      <c r="R1225" s="92">
        <v>4</v>
      </c>
      <c r="S1225" s="92">
        <v>668</v>
      </c>
      <c r="T1225" s="9">
        <v>44173</v>
      </c>
      <c r="U1225" s="9">
        <v>44209</v>
      </c>
    </row>
    <row r="1226" spans="1:21" x14ac:dyDescent="0.2">
      <c r="A1226" s="10" t="str">
        <f>HYPERLINK("http://www.ofsted.gov.uk/inspection-reports/find-inspection-report/provider/ELS/137241 ","Ofsted School Webpage")</f>
        <v>Ofsted School Webpage</v>
      </c>
      <c r="B1226" s="92">
        <v>137241</v>
      </c>
      <c r="C1226" s="92">
        <v>8815413</v>
      </c>
      <c r="D1226" s="92" t="s">
        <v>3195</v>
      </c>
      <c r="E1226" s="92" t="s">
        <v>95</v>
      </c>
      <c r="F1226" s="92" t="s">
        <v>429</v>
      </c>
      <c r="G1226" s="9">
        <v>40756</v>
      </c>
      <c r="H1226" s="92" t="s">
        <v>299</v>
      </c>
      <c r="I1226" s="92" t="s">
        <v>300</v>
      </c>
      <c r="J1226" s="92" t="s">
        <v>410</v>
      </c>
      <c r="K1226" s="92" t="s">
        <v>273</v>
      </c>
      <c r="L1226" s="92" t="s">
        <v>274</v>
      </c>
      <c r="M1226" s="92" t="s">
        <v>110</v>
      </c>
      <c r="N1226" s="92" t="s">
        <v>110</v>
      </c>
      <c r="O1226" s="92" t="s">
        <v>119</v>
      </c>
      <c r="P1226" s="92" t="s">
        <v>1076</v>
      </c>
      <c r="Q1226" s="92" t="s">
        <v>3196</v>
      </c>
      <c r="R1226" s="92">
        <v>1</v>
      </c>
      <c r="S1226" s="92">
        <v>1190</v>
      </c>
      <c r="T1226" s="9">
        <v>44173</v>
      </c>
      <c r="U1226" s="9">
        <v>44209</v>
      </c>
    </row>
    <row r="1227" spans="1:21" x14ac:dyDescent="0.2">
      <c r="A1227" s="10" t="str">
        <f>HYPERLINK("http://www.ofsted.gov.uk/inspection-reports/find-inspection-report/provider/ELS/138569 ","Ofsted School Webpage")</f>
        <v>Ofsted School Webpage</v>
      </c>
      <c r="B1227" s="92">
        <v>138569</v>
      </c>
      <c r="C1227" s="92">
        <v>8234001</v>
      </c>
      <c r="D1227" s="92" t="s">
        <v>3197</v>
      </c>
      <c r="E1227" s="92" t="s">
        <v>95</v>
      </c>
      <c r="F1227" s="92" t="s">
        <v>409</v>
      </c>
      <c r="G1227" s="9">
        <v>41153</v>
      </c>
      <c r="H1227" s="92" t="s">
        <v>299</v>
      </c>
      <c r="I1227" s="92" t="s">
        <v>271</v>
      </c>
      <c r="J1227" s="92" t="s">
        <v>410</v>
      </c>
      <c r="K1227" s="92" t="s">
        <v>410</v>
      </c>
      <c r="L1227" s="92" t="s">
        <v>274</v>
      </c>
      <c r="M1227" s="92" t="s">
        <v>110</v>
      </c>
      <c r="N1227" s="92" t="s">
        <v>110</v>
      </c>
      <c r="O1227" s="92" t="s">
        <v>120</v>
      </c>
      <c r="P1227" s="92" t="s">
        <v>1099</v>
      </c>
      <c r="Q1227" s="92" t="s">
        <v>3198</v>
      </c>
      <c r="R1227" s="92">
        <v>4</v>
      </c>
      <c r="S1227" s="92">
        <v>269</v>
      </c>
      <c r="T1227" s="9">
        <v>44173</v>
      </c>
      <c r="U1227" s="9">
        <v>44213</v>
      </c>
    </row>
    <row r="1228" spans="1:21" x14ac:dyDescent="0.2">
      <c r="A1228" s="10" t="str">
        <f>HYPERLINK("http://www.ofsted.gov.uk/inspection-reports/find-inspection-report/provider/ELS/138790 ","Ofsted School Webpage")</f>
        <v>Ofsted School Webpage</v>
      </c>
      <c r="B1228" s="92">
        <v>138790</v>
      </c>
      <c r="C1228" s="92">
        <v>8312009</v>
      </c>
      <c r="D1228" s="92" t="s">
        <v>3199</v>
      </c>
      <c r="E1228" s="92" t="s">
        <v>94</v>
      </c>
      <c r="F1228" s="92" t="s">
        <v>409</v>
      </c>
      <c r="G1228" s="9">
        <v>41153</v>
      </c>
      <c r="H1228" s="92" t="s">
        <v>271</v>
      </c>
      <c r="I1228" s="92" t="s">
        <v>271</v>
      </c>
      <c r="J1228" s="92" t="s">
        <v>273</v>
      </c>
      <c r="K1228" s="92" t="s">
        <v>410</v>
      </c>
      <c r="L1228" s="92" t="s">
        <v>274</v>
      </c>
      <c r="M1228" s="92" t="s">
        <v>100</v>
      </c>
      <c r="N1228" s="92" t="s">
        <v>100</v>
      </c>
      <c r="O1228" s="92" t="s">
        <v>106</v>
      </c>
      <c r="P1228" s="92" t="s">
        <v>548</v>
      </c>
      <c r="Q1228" s="92" t="s">
        <v>2711</v>
      </c>
      <c r="R1228" s="92">
        <v>5</v>
      </c>
      <c r="S1228" s="92">
        <v>243</v>
      </c>
      <c r="T1228" s="9">
        <v>44173</v>
      </c>
      <c r="U1228" s="9">
        <v>44209</v>
      </c>
    </row>
    <row r="1229" spans="1:21" x14ac:dyDescent="0.2">
      <c r="A1229" s="10" t="str">
        <f>HYPERLINK("http://www.ofsted.gov.uk/inspection-reports/find-inspection-report/provider/ELS/137128 ","Ofsted School Webpage")</f>
        <v>Ofsted School Webpage</v>
      </c>
      <c r="B1229" s="92">
        <v>137128</v>
      </c>
      <c r="C1229" s="92">
        <v>8504130</v>
      </c>
      <c r="D1229" s="92" t="s">
        <v>3200</v>
      </c>
      <c r="E1229" s="92" t="s">
        <v>95</v>
      </c>
      <c r="F1229" s="92" t="s">
        <v>429</v>
      </c>
      <c r="G1229" s="9">
        <v>40756</v>
      </c>
      <c r="H1229" s="92" t="s">
        <v>299</v>
      </c>
      <c r="I1229" s="92" t="s">
        <v>272</v>
      </c>
      <c r="J1229" s="92" t="s">
        <v>410</v>
      </c>
      <c r="K1229" s="92" t="s">
        <v>273</v>
      </c>
      <c r="L1229" s="92" t="s">
        <v>274</v>
      </c>
      <c r="M1229" s="92" t="s">
        <v>192</v>
      </c>
      <c r="N1229" s="92" t="s">
        <v>192</v>
      </c>
      <c r="O1229" s="92" t="s">
        <v>193</v>
      </c>
      <c r="P1229" s="92" t="s">
        <v>1384</v>
      </c>
      <c r="Q1229" s="92" t="s">
        <v>3201</v>
      </c>
      <c r="R1229" s="92">
        <v>1</v>
      </c>
      <c r="S1229" s="92">
        <v>1174</v>
      </c>
      <c r="T1229" s="9">
        <v>44173</v>
      </c>
      <c r="U1229" s="9">
        <v>44213</v>
      </c>
    </row>
    <row r="1230" spans="1:21" x14ac:dyDescent="0.2">
      <c r="A1230" s="10" t="str">
        <f>HYPERLINK("http://www.ofsted.gov.uk/inspection-reports/find-inspection-report/provider/ELS/121256 ","Ofsted School Webpage")</f>
        <v>Ofsted School Webpage</v>
      </c>
      <c r="B1230" s="92">
        <v>121256</v>
      </c>
      <c r="C1230" s="92">
        <v>9267004</v>
      </c>
      <c r="D1230" s="92" t="s">
        <v>3202</v>
      </c>
      <c r="E1230" s="92" t="s">
        <v>96</v>
      </c>
      <c r="F1230" s="92" t="s">
        <v>610</v>
      </c>
      <c r="G1230" s="9">
        <v>1</v>
      </c>
      <c r="H1230" s="92" t="s">
        <v>271</v>
      </c>
      <c r="I1230" s="92" t="s">
        <v>272</v>
      </c>
      <c r="J1230" s="92" t="s">
        <v>273</v>
      </c>
      <c r="K1230" s="92" t="s">
        <v>273</v>
      </c>
      <c r="L1230" s="92" t="s">
        <v>274</v>
      </c>
      <c r="M1230" s="92" t="s">
        <v>110</v>
      </c>
      <c r="N1230" s="92" t="s">
        <v>110</v>
      </c>
      <c r="O1230" s="92" t="s">
        <v>118</v>
      </c>
      <c r="P1230" s="92" t="s">
        <v>2645</v>
      </c>
      <c r="Q1230" s="92" t="s">
        <v>3203</v>
      </c>
      <c r="R1230" s="92">
        <v>3</v>
      </c>
      <c r="S1230" s="92">
        <v>153</v>
      </c>
      <c r="T1230" s="9">
        <v>44173</v>
      </c>
      <c r="U1230" s="9">
        <v>44209</v>
      </c>
    </row>
    <row r="1231" spans="1:21" x14ac:dyDescent="0.2">
      <c r="A1231" s="10" t="str">
        <f>HYPERLINK("http://www.ofsted.gov.uk/inspection-reports/find-inspection-report/provider/ELS/109492 ","Ofsted School Webpage")</f>
        <v>Ofsted School Webpage</v>
      </c>
      <c r="B1231" s="92">
        <v>109492</v>
      </c>
      <c r="C1231" s="92">
        <v>8222141</v>
      </c>
      <c r="D1231" s="92" t="s">
        <v>3204</v>
      </c>
      <c r="E1231" s="92" t="s">
        <v>94</v>
      </c>
      <c r="F1231" s="92" t="s">
        <v>397</v>
      </c>
      <c r="G1231" s="92" t="s">
        <v>270</v>
      </c>
      <c r="H1231" s="92" t="s">
        <v>271</v>
      </c>
      <c r="I1231" s="92" t="s">
        <v>272</v>
      </c>
      <c r="J1231" s="92" t="s">
        <v>410</v>
      </c>
      <c r="K1231" s="92" t="s">
        <v>273</v>
      </c>
      <c r="L1231" s="92" t="s">
        <v>274</v>
      </c>
      <c r="M1231" s="92" t="s">
        <v>110</v>
      </c>
      <c r="N1231" s="92" t="s">
        <v>110</v>
      </c>
      <c r="O1231" s="92" t="s">
        <v>111</v>
      </c>
      <c r="P1231" s="92" t="s">
        <v>1150</v>
      </c>
      <c r="Q1231" s="92" t="s">
        <v>3205</v>
      </c>
      <c r="R1231" s="92">
        <v>2</v>
      </c>
      <c r="S1231" s="92">
        <v>185</v>
      </c>
      <c r="T1231" s="9">
        <v>44173</v>
      </c>
      <c r="U1231" s="9">
        <v>44209</v>
      </c>
    </row>
    <row r="1232" spans="1:21" x14ac:dyDescent="0.2">
      <c r="A1232" s="10" t="str">
        <f>HYPERLINK("http://www.ofsted.gov.uk/inspection-reports/find-inspection-report/provider/ELS/105137 ","Ofsted School Webpage")</f>
        <v>Ofsted School Webpage</v>
      </c>
      <c r="B1232" s="92">
        <v>105137</v>
      </c>
      <c r="C1232" s="92">
        <v>3447015</v>
      </c>
      <c r="D1232" s="92" t="s">
        <v>3206</v>
      </c>
      <c r="E1232" s="92" t="s">
        <v>96</v>
      </c>
      <c r="F1232" s="92" t="s">
        <v>1844</v>
      </c>
      <c r="G1232" s="92" t="s">
        <v>270</v>
      </c>
      <c r="H1232" s="92" t="s">
        <v>271</v>
      </c>
      <c r="I1232" s="92" t="s">
        <v>300</v>
      </c>
      <c r="J1232" s="92" t="s">
        <v>273</v>
      </c>
      <c r="K1232" s="92" t="s">
        <v>273</v>
      </c>
      <c r="L1232" s="92" t="s">
        <v>274</v>
      </c>
      <c r="M1232" s="92" t="s">
        <v>168</v>
      </c>
      <c r="N1232" s="92" t="s">
        <v>168</v>
      </c>
      <c r="O1232" s="92" t="s">
        <v>181</v>
      </c>
      <c r="P1232" s="92" t="s">
        <v>1003</v>
      </c>
      <c r="Q1232" s="92" t="s">
        <v>3207</v>
      </c>
      <c r="R1232" s="92">
        <v>4</v>
      </c>
      <c r="S1232" s="92">
        <v>85</v>
      </c>
      <c r="T1232" s="9">
        <v>44174</v>
      </c>
      <c r="U1232" s="9">
        <v>44216</v>
      </c>
    </row>
    <row r="1233" spans="1:21" x14ac:dyDescent="0.2">
      <c r="A1233" s="10" t="str">
        <f>HYPERLINK("http://www.ofsted.gov.uk/inspection-reports/find-inspection-report/provider/ELS/107182 ","Ofsted School Webpage")</f>
        <v>Ofsted School Webpage</v>
      </c>
      <c r="B1233" s="92">
        <v>107182</v>
      </c>
      <c r="C1233" s="92">
        <v>3737036</v>
      </c>
      <c r="D1233" s="92" t="s">
        <v>3208</v>
      </c>
      <c r="E1233" s="92" t="s">
        <v>96</v>
      </c>
      <c r="F1233" s="92" t="s">
        <v>401</v>
      </c>
      <c r="G1233" s="92" t="s">
        <v>270</v>
      </c>
      <c r="H1233" s="92" t="s">
        <v>271</v>
      </c>
      <c r="I1233" s="92" t="s">
        <v>271</v>
      </c>
      <c r="J1233" s="92" t="s">
        <v>273</v>
      </c>
      <c r="K1233" s="92" t="s">
        <v>273</v>
      </c>
      <c r="L1233" s="92" t="s">
        <v>274</v>
      </c>
      <c r="M1233" s="92" t="s">
        <v>261</v>
      </c>
      <c r="N1233" s="92" t="s">
        <v>241</v>
      </c>
      <c r="O1233" s="92" t="s">
        <v>249</v>
      </c>
      <c r="P1233" s="92" t="s">
        <v>821</v>
      </c>
      <c r="Q1233" s="92" t="s">
        <v>3209</v>
      </c>
      <c r="R1233" s="92">
        <v>5</v>
      </c>
      <c r="S1233" s="92">
        <v>134</v>
      </c>
      <c r="T1233" s="9">
        <v>44174</v>
      </c>
      <c r="U1233" s="9">
        <v>44216</v>
      </c>
    </row>
    <row r="1234" spans="1:21" x14ac:dyDescent="0.2">
      <c r="A1234" s="10" t="str">
        <f>HYPERLINK("http://www.ofsted.gov.uk/inspection-reports/find-inspection-report/provider/ELS/102702 ","Ofsted School Webpage")</f>
        <v>Ofsted School Webpage</v>
      </c>
      <c r="B1234" s="92">
        <v>102702</v>
      </c>
      <c r="C1234" s="92">
        <v>3161002</v>
      </c>
      <c r="D1234" s="92" t="s">
        <v>3210</v>
      </c>
      <c r="E1234" s="92" t="s">
        <v>93</v>
      </c>
      <c r="F1234" s="92" t="s">
        <v>592</v>
      </c>
      <c r="G1234" s="92" t="s">
        <v>270</v>
      </c>
      <c r="H1234" s="92" t="s">
        <v>271</v>
      </c>
      <c r="I1234" s="92" t="s">
        <v>271</v>
      </c>
      <c r="J1234" s="92" t="s">
        <v>273</v>
      </c>
      <c r="K1234" s="92" t="s">
        <v>273</v>
      </c>
      <c r="L1234" s="92" t="s">
        <v>274</v>
      </c>
      <c r="M1234" s="92" t="s">
        <v>122</v>
      </c>
      <c r="N1234" s="92" t="s">
        <v>122</v>
      </c>
      <c r="O1234" s="92" t="s">
        <v>138</v>
      </c>
      <c r="P1234" s="92" t="s">
        <v>1377</v>
      </c>
      <c r="Q1234" s="92" t="s">
        <v>3211</v>
      </c>
      <c r="R1234" s="92">
        <v>3</v>
      </c>
      <c r="S1234" s="92">
        <v>133</v>
      </c>
      <c r="T1234" s="9">
        <v>44174</v>
      </c>
      <c r="U1234" s="9">
        <v>44221</v>
      </c>
    </row>
    <row r="1235" spans="1:21" x14ac:dyDescent="0.2">
      <c r="A1235" s="10" t="str">
        <f>HYPERLINK("http://www.ofsted.gov.uk/inspection-reports/find-inspection-report/provider/ELS/136785 ","Ofsted School Webpage")</f>
        <v>Ofsted School Webpage</v>
      </c>
      <c r="B1235" s="92">
        <v>136785</v>
      </c>
      <c r="C1235" s="92">
        <v>3195403</v>
      </c>
      <c r="D1235" s="92" t="s">
        <v>3212</v>
      </c>
      <c r="E1235" s="92" t="s">
        <v>95</v>
      </c>
      <c r="F1235" s="92" t="s">
        <v>429</v>
      </c>
      <c r="G1235" s="9">
        <v>40695</v>
      </c>
      <c r="H1235" s="92" t="s">
        <v>299</v>
      </c>
      <c r="I1235" s="92" t="s">
        <v>300</v>
      </c>
      <c r="J1235" s="92" t="s">
        <v>410</v>
      </c>
      <c r="K1235" s="92" t="s">
        <v>273</v>
      </c>
      <c r="L1235" s="92" t="s">
        <v>274</v>
      </c>
      <c r="M1235" s="92" t="s">
        <v>122</v>
      </c>
      <c r="N1235" s="92" t="s">
        <v>122</v>
      </c>
      <c r="O1235" s="92" t="s">
        <v>152</v>
      </c>
      <c r="P1235" s="92" t="s">
        <v>3213</v>
      </c>
      <c r="Q1235" s="92" t="s">
        <v>3214</v>
      </c>
      <c r="R1235" s="92">
        <v>1</v>
      </c>
      <c r="S1235" s="92">
        <v>2010</v>
      </c>
      <c r="T1235" s="9">
        <v>44174</v>
      </c>
      <c r="U1235" s="9">
        <v>44220</v>
      </c>
    </row>
    <row r="1236" spans="1:21" x14ac:dyDescent="0.2">
      <c r="A1236" s="10" t="str">
        <f>HYPERLINK("http://www.ofsted.gov.uk/inspection-reports/find-inspection-report/provider/ELS/138180 ","Ofsted School Webpage")</f>
        <v>Ofsted School Webpage</v>
      </c>
      <c r="B1236" s="92">
        <v>138180</v>
      </c>
      <c r="C1236" s="92">
        <v>8412732</v>
      </c>
      <c r="D1236" s="92" t="s">
        <v>3215</v>
      </c>
      <c r="E1236" s="92" t="s">
        <v>94</v>
      </c>
      <c r="F1236" s="92" t="s">
        <v>429</v>
      </c>
      <c r="G1236" s="9">
        <v>41061</v>
      </c>
      <c r="H1236" s="92" t="s">
        <v>271</v>
      </c>
      <c r="I1236" s="92" t="s">
        <v>272</v>
      </c>
      <c r="J1236" s="92" t="s">
        <v>273</v>
      </c>
      <c r="K1236" s="92" t="s">
        <v>273</v>
      </c>
      <c r="L1236" s="92" t="s">
        <v>274</v>
      </c>
      <c r="M1236" s="92" t="s">
        <v>261</v>
      </c>
      <c r="N1236" s="92" t="s">
        <v>155</v>
      </c>
      <c r="O1236" s="92" t="s">
        <v>160</v>
      </c>
      <c r="P1236" s="92" t="s">
        <v>1601</v>
      </c>
      <c r="Q1236" s="92" t="s">
        <v>3216</v>
      </c>
      <c r="R1236" s="92">
        <v>2</v>
      </c>
      <c r="S1236" s="92">
        <v>220</v>
      </c>
      <c r="T1236" s="9">
        <v>44174</v>
      </c>
      <c r="U1236" s="9">
        <v>44224</v>
      </c>
    </row>
    <row r="1237" spans="1:21" x14ac:dyDescent="0.2">
      <c r="A1237" s="10" t="str">
        <f>HYPERLINK("http://www.ofsted.gov.uk/inspection-reports/find-inspection-report/provider/ELS/116269 ","Ofsted School Webpage")</f>
        <v>Ofsted School Webpage</v>
      </c>
      <c r="B1237" s="92">
        <v>116269</v>
      </c>
      <c r="C1237" s="92">
        <v>8503004</v>
      </c>
      <c r="D1237" s="92" t="s">
        <v>3217</v>
      </c>
      <c r="E1237" s="92" t="s">
        <v>94</v>
      </c>
      <c r="F1237" s="92" t="s">
        <v>345</v>
      </c>
      <c r="G1237" s="92" t="s">
        <v>270</v>
      </c>
      <c r="H1237" s="92" t="s">
        <v>271</v>
      </c>
      <c r="I1237" s="92" t="s">
        <v>272</v>
      </c>
      <c r="J1237" s="92" t="s">
        <v>346</v>
      </c>
      <c r="K1237" s="92" t="s">
        <v>273</v>
      </c>
      <c r="L1237" s="92" t="s">
        <v>347</v>
      </c>
      <c r="M1237" s="92" t="s">
        <v>192</v>
      </c>
      <c r="N1237" s="92" t="s">
        <v>192</v>
      </c>
      <c r="O1237" s="92" t="s">
        <v>193</v>
      </c>
      <c r="P1237" s="92" t="s">
        <v>992</v>
      </c>
      <c r="Q1237" s="92" t="s">
        <v>3218</v>
      </c>
      <c r="R1237" s="92">
        <v>3</v>
      </c>
      <c r="S1237" s="92">
        <v>201</v>
      </c>
      <c r="T1237" s="9">
        <v>44174</v>
      </c>
      <c r="U1237" s="9">
        <v>44209</v>
      </c>
    </row>
    <row r="1238" spans="1:21" x14ac:dyDescent="0.2">
      <c r="A1238" s="10" t="str">
        <f>HYPERLINK("http://www.ofsted.gov.uk/inspection-reports/find-inspection-report/provider/ELS/123526 ","Ofsted School Webpage")</f>
        <v>Ofsted School Webpage</v>
      </c>
      <c r="B1238" s="92">
        <v>123526</v>
      </c>
      <c r="C1238" s="92">
        <v>8943152</v>
      </c>
      <c r="D1238" s="92" t="s">
        <v>3219</v>
      </c>
      <c r="E1238" s="92" t="s">
        <v>94</v>
      </c>
      <c r="F1238" s="92" t="s">
        <v>345</v>
      </c>
      <c r="G1238" s="92" t="s">
        <v>270</v>
      </c>
      <c r="H1238" s="92" t="s">
        <v>271</v>
      </c>
      <c r="I1238" s="92" t="s">
        <v>272</v>
      </c>
      <c r="J1238" s="92" t="s">
        <v>1796</v>
      </c>
      <c r="K1238" s="92" t="s">
        <v>273</v>
      </c>
      <c r="L1238" s="92" t="s">
        <v>347</v>
      </c>
      <c r="M1238" s="92" t="s">
        <v>226</v>
      </c>
      <c r="N1238" s="92" t="s">
        <v>226</v>
      </c>
      <c r="O1238" s="92" t="s">
        <v>239</v>
      </c>
      <c r="P1238" s="92" t="s">
        <v>1174</v>
      </c>
      <c r="Q1238" s="92" t="s">
        <v>3220</v>
      </c>
      <c r="R1238" s="92">
        <v>5</v>
      </c>
      <c r="S1238" s="92">
        <v>342</v>
      </c>
      <c r="T1238" s="9">
        <v>44174</v>
      </c>
      <c r="U1238" s="9">
        <v>44213</v>
      </c>
    </row>
    <row r="1239" spans="1:21" x14ac:dyDescent="0.2">
      <c r="A1239" s="10" t="str">
        <f>HYPERLINK("http://www.ofsted.gov.uk/inspection-reports/find-inspection-report/provider/ELS/141340 ","Ofsted School Webpage")</f>
        <v>Ofsted School Webpage</v>
      </c>
      <c r="B1239" s="92">
        <v>141340</v>
      </c>
      <c r="C1239" s="92">
        <v>8932005</v>
      </c>
      <c r="D1239" s="92" t="s">
        <v>3221</v>
      </c>
      <c r="E1239" s="92" t="s">
        <v>94</v>
      </c>
      <c r="F1239" s="92" t="s">
        <v>409</v>
      </c>
      <c r="G1239" s="9">
        <v>41944</v>
      </c>
      <c r="H1239" s="92" t="s">
        <v>271</v>
      </c>
      <c r="I1239" s="92" t="s">
        <v>272</v>
      </c>
      <c r="J1239" s="92" t="s">
        <v>273</v>
      </c>
      <c r="K1239" s="92" t="s">
        <v>410</v>
      </c>
      <c r="L1239" s="92" t="s">
        <v>274</v>
      </c>
      <c r="M1239" s="92" t="s">
        <v>226</v>
      </c>
      <c r="N1239" s="92" t="s">
        <v>226</v>
      </c>
      <c r="O1239" s="92" t="s">
        <v>237</v>
      </c>
      <c r="P1239" s="92" t="s">
        <v>922</v>
      </c>
      <c r="Q1239" s="92" t="s">
        <v>3222</v>
      </c>
      <c r="R1239" s="92">
        <v>4</v>
      </c>
      <c r="S1239" s="92">
        <v>162</v>
      </c>
      <c r="T1239" s="9">
        <v>44174</v>
      </c>
      <c r="U1239" s="9">
        <v>44213</v>
      </c>
    </row>
    <row r="1240" spans="1:21" x14ac:dyDescent="0.2">
      <c r="A1240" s="10" t="str">
        <f>HYPERLINK("http://www.ofsted.gov.uk/inspection-reports/find-inspection-report/provider/ELS/139904 ","Ofsted School Webpage")</f>
        <v>Ofsted School Webpage</v>
      </c>
      <c r="B1240" s="92">
        <v>139904</v>
      </c>
      <c r="C1240" s="92">
        <v>3302138</v>
      </c>
      <c r="D1240" s="92" t="s">
        <v>3223</v>
      </c>
      <c r="E1240" s="92" t="s">
        <v>94</v>
      </c>
      <c r="F1240" s="92" t="s">
        <v>409</v>
      </c>
      <c r="G1240" s="9">
        <v>41548</v>
      </c>
      <c r="H1240" s="92" t="s">
        <v>271</v>
      </c>
      <c r="I1240" s="92" t="s">
        <v>272</v>
      </c>
      <c r="J1240" s="92" t="s">
        <v>273</v>
      </c>
      <c r="K1240" s="92" t="s">
        <v>410</v>
      </c>
      <c r="L1240" s="92" t="s">
        <v>274</v>
      </c>
      <c r="M1240" s="92" t="s">
        <v>226</v>
      </c>
      <c r="N1240" s="92" t="s">
        <v>226</v>
      </c>
      <c r="O1240" s="92" t="s">
        <v>232</v>
      </c>
      <c r="P1240" s="92" t="s">
        <v>1483</v>
      </c>
      <c r="Q1240" s="92" t="s">
        <v>3224</v>
      </c>
      <c r="R1240" s="92">
        <v>4</v>
      </c>
      <c r="S1240" s="92">
        <v>502</v>
      </c>
      <c r="T1240" s="9">
        <v>44174</v>
      </c>
      <c r="U1240" s="9">
        <v>44209</v>
      </c>
    </row>
    <row r="1241" spans="1:21" x14ac:dyDescent="0.2">
      <c r="A1241" s="10" t="str">
        <f>HYPERLINK("http://www.ofsted.gov.uk/inspection-reports/find-inspection-report/provider/ELS/139909 ","Ofsted School Webpage")</f>
        <v>Ofsted School Webpage</v>
      </c>
      <c r="B1241" s="92">
        <v>139909</v>
      </c>
      <c r="C1241" s="92">
        <v>3122021</v>
      </c>
      <c r="D1241" s="92" t="s">
        <v>3225</v>
      </c>
      <c r="E1241" s="92" t="s">
        <v>94</v>
      </c>
      <c r="F1241" s="92" t="s">
        <v>491</v>
      </c>
      <c r="G1241" s="9">
        <v>41521</v>
      </c>
      <c r="H1241" s="92" t="s">
        <v>271</v>
      </c>
      <c r="I1241" s="92" t="s">
        <v>272</v>
      </c>
      <c r="J1241" s="92" t="s">
        <v>410</v>
      </c>
      <c r="K1241" s="92" t="s">
        <v>410</v>
      </c>
      <c r="L1241" s="92" t="s">
        <v>274</v>
      </c>
      <c r="M1241" s="92" t="s">
        <v>122</v>
      </c>
      <c r="N1241" s="92" t="s">
        <v>122</v>
      </c>
      <c r="O1241" s="92" t="s">
        <v>146</v>
      </c>
      <c r="P1241" s="92" t="s">
        <v>1987</v>
      </c>
      <c r="Q1241" s="92" t="s">
        <v>3226</v>
      </c>
      <c r="R1241" s="92">
        <v>3</v>
      </c>
      <c r="S1241" s="92">
        <v>442</v>
      </c>
      <c r="T1241" s="9">
        <v>44174</v>
      </c>
      <c r="U1241" s="9">
        <v>44213</v>
      </c>
    </row>
    <row r="1242" spans="1:21" x14ac:dyDescent="0.2">
      <c r="A1242" s="10" t="str">
        <f>HYPERLINK("http://www.ofsted.gov.uk/inspection-reports/find-inspection-report/provider/ELS/138723 ","Ofsted School Webpage")</f>
        <v>Ofsted School Webpage</v>
      </c>
      <c r="B1242" s="92">
        <v>138723</v>
      </c>
      <c r="C1242" s="92">
        <v>8603457</v>
      </c>
      <c r="D1242" s="92" t="s">
        <v>3227</v>
      </c>
      <c r="E1242" s="92" t="s">
        <v>94</v>
      </c>
      <c r="F1242" s="92" t="s">
        <v>429</v>
      </c>
      <c r="G1242" s="9">
        <v>41153</v>
      </c>
      <c r="H1242" s="92" t="s">
        <v>271</v>
      </c>
      <c r="I1242" s="92" t="s">
        <v>272</v>
      </c>
      <c r="J1242" s="92" t="s">
        <v>352</v>
      </c>
      <c r="K1242" s="92" t="s">
        <v>273</v>
      </c>
      <c r="L1242" s="92" t="s">
        <v>347</v>
      </c>
      <c r="M1242" s="92" t="s">
        <v>226</v>
      </c>
      <c r="N1242" s="92" t="s">
        <v>226</v>
      </c>
      <c r="O1242" s="92" t="s">
        <v>229</v>
      </c>
      <c r="P1242" s="92" t="s">
        <v>3025</v>
      </c>
      <c r="Q1242" s="92" t="s">
        <v>3228</v>
      </c>
      <c r="R1242" s="92">
        <v>2</v>
      </c>
      <c r="S1242" s="92">
        <v>204</v>
      </c>
      <c r="T1242" s="9">
        <v>44174</v>
      </c>
      <c r="U1242" s="9">
        <v>44213</v>
      </c>
    </row>
    <row r="1243" spans="1:21" x14ac:dyDescent="0.2">
      <c r="A1243" s="10" t="str">
        <f>HYPERLINK("http://www.ofsted.gov.uk/inspection-reports/find-inspection-report/provider/ELS/102800 ","Ofsted School Webpage")</f>
        <v>Ofsted School Webpage</v>
      </c>
      <c r="B1243" s="92">
        <v>102800</v>
      </c>
      <c r="C1243" s="92">
        <v>3172015</v>
      </c>
      <c r="D1243" s="92" t="s">
        <v>3229</v>
      </c>
      <c r="E1243" s="92" t="s">
        <v>94</v>
      </c>
      <c r="F1243" s="92" t="s">
        <v>269</v>
      </c>
      <c r="G1243" s="9">
        <v>34943</v>
      </c>
      <c r="H1243" s="92" t="s">
        <v>271</v>
      </c>
      <c r="I1243" s="92" t="s">
        <v>272</v>
      </c>
      <c r="J1243" s="92" t="s">
        <v>273</v>
      </c>
      <c r="K1243" s="92" t="s">
        <v>273</v>
      </c>
      <c r="L1243" s="92" t="s">
        <v>274</v>
      </c>
      <c r="M1243" s="92" t="s">
        <v>122</v>
      </c>
      <c r="N1243" s="92" t="s">
        <v>122</v>
      </c>
      <c r="O1243" s="92" t="s">
        <v>150</v>
      </c>
      <c r="P1243" s="92" t="s">
        <v>2382</v>
      </c>
      <c r="Q1243" s="92" t="s">
        <v>3230</v>
      </c>
      <c r="R1243" s="92">
        <v>3</v>
      </c>
      <c r="S1243" s="92">
        <v>648</v>
      </c>
      <c r="T1243" s="9">
        <v>44174</v>
      </c>
      <c r="U1243" s="9">
        <v>44224</v>
      </c>
    </row>
    <row r="1244" spans="1:21" x14ac:dyDescent="0.2">
      <c r="A1244" s="10" t="str">
        <f>HYPERLINK("http://www.ofsted.gov.uk/inspection-reports/find-inspection-report/provider/ELS/100903 ","Ofsted School Webpage")</f>
        <v>Ofsted School Webpage</v>
      </c>
      <c r="B1244" s="92">
        <v>100903</v>
      </c>
      <c r="C1244" s="92">
        <v>2112270</v>
      </c>
      <c r="D1244" s="92" t="s">
        <v>3231</v>
      </c>
      <c r="E1244" s="92" t="s">
        <v>94</v>
      </c>
      <c r="F1244" s="92" t="s">
        <v>269</v>
      </c>
      <c r="G1244" s="92" t="s">
        <v>270</v>
      </c>
      <c r="H1244" s="92" t="s">
        <v>271</v>
      </c>
      <c r="I1244" s="92" t="s">
        <v>272</v>
      </c>
      <c r="J1244" s="92" t="s">
        <v>273</v>
      </c>
      <c r="K1244" s="92" t="s">
        <v>273</v>
      </c>
      <c r="L1244" s="92" t="s">
        <v>274</v>
      </c>
      <c r="M1244" s="92" t="s">
        <v>122</v>
      </c>
      <c r="N1244" s="92" t="s">
        <v>122</v>
      </c>
      <c r="O1244" s="92" t="s">
        <v>141</v>
      </c>
      <c r="P1244" s="92" t="s">
        <v>1184</v>
      </c>
      <c r="Q1244" s="92" t="s">
        <v>3232</v>
      </c>
      <c r="R1244" s="92">
        <v>5</v>
      </c>
      <c r="S1244" s="92">
        <v>215</v>
      </c>
      <c r="T1244" s="9">
        <v>44174</v>
      </c>
      <c r="U1244" s="9">
        <v>44213</v>
      </c>
    </row>
    <row r="1245" spans="1:21" x14ac:dyDescent="0.2">
      <c r="A1245" s="10" t="str">
        <f>HYPERLINK("http://www.ofsted.gov.uk/inspection-reports/find-inspection-report/provider/ELS/119228 ","Ofsted School Webpage")</f>
        <v>Ofsted School Webpage</v>
      </c>
      <c r="B1245" s="92">
        <v>119228</v>
      </c>
      <c r="C1245" s="92">
        <v>8882187</v>
      </c>
      <c r="D1245" s="92" t="s">
        <v>3233</v>
      </c>
      <c r="E1245" s="92" t="s">
        <v>94</v>
      </c>
      <c r="F1245" s="92" t="s">
        <v>269</v>
      </c>
      <c r="G1245" s="92" t="s">
        <v>270</v>
      </c>
      <c r="H1245" s="92" t="s">
        <v>271</v>
      </c>
      <c r="I1245" s="92" t="s">
        <v>272</v>
      </c>
      <c r="J1245" s="92" t="s">
        <v>273</v>
      </c>
      <c r="K1245" s="92" t="s">
        <v>273</v>
      </c>
      <c r="L1245" s="92" t="s">
        <v>274</v>
      </c>
      <c r="M1245" s="92" t="s">
        <v>168</v>
      </c>
      <c r="N1245" s="92" t="s">
        <v>168</v>
      </c>
      <c r="O1245" s="92" t="s">
        <v>169</v>
      </c>
      <c r="P1245" s="92" t="s">
        <v>1031</v>
      </c>
      <c r="Q1245" s="92" t="s">
        <v>3234</v>
      </c>
      <c r="R1245" s="92">
        <v>4</v>
      </c>
      <c r="S1245" s="92">
        <v>657</v>
      </c>
      <c r="T1245" s="9">
        <v>44174</v>
      </c>
      <c r="U1245" s="9">
        <v>44215</v>
      </c>
    </row>
    <row r="1246" spans="1:21" x14ac:dyDescent="0.2">
      <c r="A1246" s="10" t="str">
        <f>HYPERLINK("http://www.ofsted.gov.uk/inspection-reports/find-inspection-report/provider/ELS/103786 ","Ofsted School Webpage")</f>
        <v>Ofsted School Webpage</v>
      </c>
      <c r="B1246" s="92">
        <v>103786</v>
      </c>
      <c r="C1246" s="92">
        <v>3322063</v>
      </c>
      <c r="D1246" s="92" t="s">
        <v>3235</v>
      </c>
      <c r="E1246" s="92" t="s">
        <v>94</v>
      </c>
      <c r="F1246" s="92" t="s">
        <v>269</v>
      </c>
      <c r="G1246" s="92" t="s">
        <v>270</v>
      </c>
      <c r="H1246" s="92" t="s">
        <v>271</v>
      </c>
      <c r="I1246" s="92" t="s">
        <v>272</v>
      </c>
      <c r="J1246" s="92" t="s">
        <v>273</v>
      </c>
      <c r="K1246" s="92" t="s">
        <v>273</v>
      </c>
      <c r="L1246" s="92" t="s">
        <v>274</v>
      </c>
      <c r="M1246" s="92" t="s">
        <v>226</v>
      </c>
      <c r="N1246" s="92" t="s">
        <v>226</v>
      </c>
      <c r="O1246" s="92" t="s">
        <v>240</v>
      </c>
      <c r="P1246" s="92" t="s">
        <v>2848</v>
      </c>
      <c r="Q1246" s="92" t="s">
        <v>3236</v>
      </c>
      <c r="R1246" s="92">
        <v>2</v>
      </c>
      <c r="S1246" s="92">
        <v>293</v>
      </c>
      <c r="T1246" s="9">
        <v>44174</v>
      </c>
      <c r="U1246" s="9">
        <v>44215</v>
      </c>
    </row>
    <row r="1247" spans="1:21" x14ac:dyDescent="0.2">
      <c r="A1247" s="10" t="str">
        <f>HYPERLINK("http://www.ofsted.gov.uk/inspection-reports/find-inspection-report/provider/ELS/116679 ","Ofsted School Webpage")</f>
        <v>Ofsted School Webpage</v>
      </c>
      <c r="B1247" s="92">
        <v>116679</v>
      </c>
      <c r="C1247" s="92">
        <v>8842056</v>
      </c>
      <c r="D1247" s="92" t="s">
        <v>3237</v>
      </c>
      <c r="E1247" s="92" t="s">
        <v>94</v>
      </c>
      <c r="F1247" s="92" t="s">
        <v>269</v>
      </c>
      <c r="G1247" s="92" t="s">
        <v>270</v>
      </c>
      <c r="H1247" s="92" t="s">
        <v>271</v>
      </c>
      <c r="I1247" s="92" t="s">
        <v>272</v>
      </c>
      <c r="J1247" s="92" t="s">
        <v>273</v>
      </c>
      <c r="K1247" s="92" t="s">
        <v>273</v>
      </c>
      <c r="L1247" s="92" t="s">
        <v>274</v>
      </c>
      <c r="M1247" s="92" t="s">
        <v>226</v>
      </c>
      <c r="N1247" s="92" t="s">
        <v>226</v>
      </c>
      <c r="O1247" s="92" t="s">
        <v>227</v>
      </c>
      <c r="P1247" s="92" t="s">
        <v>348</v>
      </c>
      <c r="Q1247" s="92" t="s">
        <v>3238</v>
      </c>
      <c r="R1247" s="92">
        <v>3</v>
      </c>
      <c r="S1247" s="92">
        <v>157</v>
      </c>
      <c r="T1247" s="9">
        <v>44174</v>
      </c>
      <c r="U1247" s="9">
        <v>44209</v>
      </c>
    </row>
    <row r="1248" spans="1:21" x14ac:dyDescent="0.2">
      <c r="A1248" s="10" t="str">
        <f>HYPERLINK("http://www.ofsted.gov.uk/inspection-reports/find-inspection-report/provider/ELS/102564 ","Ofsted School Webpage")</f>
        <v>Ofsted School Webpage</v>
      </c>
      <c r="B1248" s="92">
        <v>102564</v>
      </c>
      <c r="C1248" s="92">
        <v>3142001</v>
      </c>
      <c r="D1248" s="92" t="s">
        <v>744</v>
      </c>
      <c r="E1248" s="92" t="s">
        <v>94</v>
      </c>
      <c r="F1248" s="92" t="s">
        <v>269</v>
      </c>
      <c r="G1248" s="92" t="s">
        <v>270</v>
      </c>
      <c r="H1248" s="92" t="s">
        <v>271</v>
      </c>
      <c r="I1248" s="92" t="s">
        <v>272</v>
      </c>
      <c r="J1248" s="92" t="s">
        <v>273</v>
      </c>
      <c r="K1248" s="92" t="s">
        <v>273</v>
      </c>
      <c r="L1248" s="92" t="s">
        <v>274</v>
      </c>
      <c r="M1248" s="92" t="s">
        <v>122</v>
      </c>
      <c r="N1248" s="92" t="s">
        <v>122</v>
      </c>
      <c r="O1248" s="92" t="s">
        <v>154</v>
      </c>
      <c r="P1248" s="92" t="s">
        <v>3239</v>
      </c>
      <c r="Q1248" s="92" t="s">
        <v>3240</v>
      </c>
      <c r="R1248" s="92">
        <v>2</v>
      </c>
      <c r="S1248" s="92">
        <v>477</v>
      </c>
      <c r="T1248" s="9">
        <v>44174</v>
      </c>
      <c r="U1248" s="9">
        <v>44220</v>
      </c>
    </row>
    <row r="1249" spans="1:21" x14ac:dyDescent="0.2">
      <c r="A1249" s="10" t="str">
        <f>HYPERLINK("http://www.ofsted.gov.uk/inspection-reports/find-inspection-report/provider/ELS/105912 ","Ofsted School Webpage")</f>
        <v>Ofsted School Webpage</v>
      </c>
      <c r="B1249" s="92">
        <v>105912</v>
      </c>
      <c r="C1249" s="92">
        <v>3552073</v>
      </c>
      <c r="D1249" s="92" t="s">
        <v>3241</v>
      </c>
      <c r="E1249" s="92" t="s">
        <v>94</v>
      </c>
      <c r="F1249" s="92" t="s">
        <v>269</v>
      </c>
      <c r="G1249" s="92" t="s">
        <v>270</v>
      </c>
      <c r="H1249" s="92" t="s">
        <v>271</v>
      </c>
      <c r="I1249" s="92" t="s">
        <v>272</v>
      </c>
      <c r="J1249" s="92" t="s">
        <v>273</v>
      </c>
      <c r="K1249" s="92" t="s">
        <v>273</v>
      </c>
      <c r="L1249" s="92" t="s">
        <v>274</v>
      </c>
      <c r="M1249" s="92" t="s">
        <v>168</v>
      </c>
      <c r="N1249" s="92" t="s">
        <v>168</v>
      </c>
      <c r="O1249" s="92" t="s">
        <v>191</v>
      </c>
      <c r="P1249" s="92" t="s">
        <v>2994</v>
      </c>
      <c r="Q1249" s="92" t="s">
        <v>3242</v>
      </c>
      <c r="R1249" s="92">
        <v>5</v>
      </c>
      <c r="S1249" s="92">
        <v>428</v>
      </c>
      <c r="T1249" s="9">
        <v>44174</v>
      </c>
      <c r="U1249" s="9">
        <v>44221</v>
      </c>
    </row>
    <row r="1250" spans="1:21" x14ac:dyDescent="0.2">
      <c r="A1250" s="10" t="str">
        <f>HYPERLINK("http://www.ofsted.gov.uk/inspection-reports/find-inspection-report/provider/ELS/112670 ","Ofsted School Webpage")</f>
        <v>Ofsted School Webpage</v>
      </c>
      <c r="B1250" s="92">
        <v>112670</v>
      </c>
      <c r="C1250" s="92">
        <v>8302296</v>
      </c>
      <c r="D1250" s="92" t="s">
        <v>3243</v>
      </c>
      <c r="E1250" s="92" t="s">
        <v>94</v>
      </c>
      <c r="F1250" s="92" t="s">
        <v>269</v>
      </c>
      <c r="G1250" s="92" t="s">
        <v>270</v>
      </c>
      <c r="H1250" s="92" t="s">
        <v>271</v>
      </c>
      <c r="I1250" s="92" t="s">
        <v>272</v>
      </c>
      <c r="J1250" s="92" t="s">
        <v>273</v>
      </c>
      <c r="K1250" s="92" t="s">
        <v>273</v>
      </c>
      <c r="L1250" s="92" t="s">
        <v>274</v>
      </c>
      <c r="M1250" s="92" t="s">
        <v>100</v>
      </c>
      <c r="N1250" s="92" t="s">
        <v>100</v>
      </c>
      <c r="O1250" s="92" t="s">
        <v>101</v>
      </c>
      <c r="P1250" s="92" t="s">
        <v>293</v>
      </c>
      <c r="Q1250" s="92" t="s">
        <v>3244</v>
      </c>
      <c r="R1250" s="92">
        <v>4</v>
      </c>
      <c r="S1250" s="92">
        <v>238</v>
      </c>
      <c r="T1250" s="9">
        <v>44174</v>
      </c>
      <c r="U1250" s="9">
        <v>44209</v>
      </c>
    </row>
    <row r="1251" spans="1:21" x14ac:dyDescent="0.2">
      <c r="A1251" s="10" t="str">
        <f>HYPERLINK("http://www.ofsted.gov.uk/inspection-reports/find-inspection-report/provider/ELS/111365 ","Ofsted School Webpage")</f>
        <v>Ofsted School Webpage</v>
      </c>
      <c r="B1251" s="92">
        <v>111365</v>
      </c>
      <c r="C1251" s="92">
        <v>8773603</v>
      </c>
      <c r="D1251" s="92" t="s">
        <v>3245</v>
      </c>
      <c r="E1251" s="92" t="s">
        <v>94</v>
      </c>
      <c r="F1251" s="92" t="s">
        <v>351</v>
      </c>
      <c r="G1251" s="92" t="s">
        <v>270</v>
      </c>
      <c r="H1251" s="92" t="s">
        <v>271</v>
      </c>
      <c r="I1251" s="92" t="s">
        <v>272</v>
      </c>
      <c r="J1251" s="92" t="s">
        <v>346</v>
      </c>
      <c r="K1251" s="92" t="s">
        <v>273</v>
      </c>
      <c r="L1251" s="92" t="s">
        <v>347</v>
      </c>
      <c r="M1251" s="92" t="s">
        <v>168</v>
      </c>
      <c r="N1251" s="92" t="s">
        <v>168</v>
      </c>
      <c r="O1251" s="92" t="s">
        <v>185</v>
      </c>
      <c r="P1251" s="92" t="s">
        <v>813</v>
      </c>
      <c r="Q1251" s="92" t="s">
        <v>3246</v>
      </c>
      <c r="R1251" s="92">
        <v>2</v>
      </c>
      <c r="S1251" s="92">
        <v>187</v>
      </c>
      <c r="T1251" s="9">
        <v>44174</v>
      </c>
      <c r="U1251" s="9">
        <v>44221</v>
      </c>
    </row>
    <row r="1252" spans="1:21" x14ac:dyDescent="0.2">
      <c r="A1252" s="10" t="str">
        <f>HYPERLINK("http://www.ofsted.gov.uk/inspection-reports/find-inspection-report/provider/ELS/106476 ","Ofsted School Webpage")</f>
        <v>Ofsted School Webpage</v>
      </c>
      <c r="B1252" s="92">
        <v>106476</v>
      </c>
      <c r="C1252" s="92">
        <v>3593367</v>
      </c>
      <c r="D1252" s="92" t="s">
        <v>3247</v>
      </c>
      <c r="E1252" s="92" t="s">
        <v>94</v>
      </c>
      <c r="F1252" s="92" t="s">
        <v>351</v>
      </c>
      <c r="G1252" s="92" t="s">
        <v>270</v>
      </c>
      <c r="H1252" s="92" t="s">
        <v>271</v>
      </c>
      <c r="I1252" s="92" t="s">
        <v>272</v>
      </c>
      <c r="J1252" s="92" t="s">
        <v>346</v>
      </c>
      <c r="K1252" s="92" t="s">
        <v>273</v>
      </c>
      <c r="L1252" s="92" t="s">
        <v>347</v>
      </c>
      <c r="M1252" s="92" t="s">
        <v>168</v>
      </c>
      <c r="N1252" s="92" t="s">
        <v>168</v>
      </c>
      <c r="O1252" s="92" t="s">
        <v>188</v>
      </c>
      <c r="P1252" s="92" t="s">
        <v>188</v>
      </c>
      <c r="Q1252" s="92" t="s">
        <v>3248</v>
      </c>
      <c r="R1252" s="92">
        <v>5</v>
      </c>
      <c r="S1252" s="92">
        <v>424</v>
      </c>
      <c r="T1252" s="9">
        <v>44174</v>
      </c>
      <c r="U1252" s="9">
        <v>44220</v>
      </c>
    </row>
    <row r="1253" spans="1:21" x14ac:dyDescent="0.2">
      <c r="A1253" s="10" t="str">
        <f>HYPERLINK("http://www.ofsted.gov.uk/inspection-reports/find-inspection-report/provider/ELS/101126 ","Ofsted School Webpage")</f>
        <v>Ofsted School Webpage</v>
      </c>
      <c r="B1253" s="92">
        <v>101126</v>
      </c>
      <c r="C1253" s="92">
        <v>2133418</v>
      </c>
      <c r="D1253" s="92" t="s">
        <v>3249</v>
      </c>
      <c r="E1253" s="92" t="s">
        <v>94</v>
      </c>
      <c r="F1253" s="92" t="s">
        <v>351</v>
      </c>
      <c r="G1253" s="92" t="s">
        <v>270</v>
      </c>
      <c r="H1253" s="92" t="s">
        <v>271</v>
      </c>
      <c r="I1253" s="92" t="s">
        <v>272</v>
      </c>
      <c r="J1253" s="92" t="s">
        <v>346</v>
      </c>
      <c r="K1253" s="92" t="s">
        <v>273</v>
      </c>
      <c r="L1253" s="92" t="s">
        <v>347</v>
      </c>
      <c r="M1253" s="92" t="s">
        <v>122</v>
      </c>
      <c r="N1253" s="92" t="s">
        <v>122</v>
      </c>
      <c r="O1253" s="92" t="s">
        <v>153</v>
      </c>
      <c r="P1253" s="92" t="s">
        <v>3250</v>
      </c>
      <c r="Q1253" s="92" t="s">
        <v>3251</v>
      </c>
      <c r="R1253" s="92">
        <v>4</v>
      </c>
      <c r="S1253" s="92">
        <v>144</v>
      </c>
      <c r="T1253" s="9">
        <v>44174</v>
      </c>
      <c r="U1253" s="9">
        <v>44213</v>
      </c>
    </row>
    <row r="1254" spans="1:21" x14ac:dyDescent="0.2">
      <c r="A1254" s="10" t="str">
        <f>HYPERLINK("http://www.ofsted.gov.uk/inspection-reports/find-inspection-report/provider/ELS/104714 ","Ofsted School Webpage")</f>
        <v>Ofsted School Webpage</v>
      </c>
      <c r="B1254" s="92">
        <v>104714</v>
      </c>
      <c r="C1254" s="92">
        <v>3414793</v>
      </c>
      <c r="D1254" s="92" t="s">
        <v>3252</v>
      </c>
      <c r="E1254" s="92" t="s">
        <v>95</v>
      </c>
      <c r="F1254" s="92" t="s">
        <v>351</v>
      </c>
      <c r="G1254" s="92" t="s">
        <v>270</v>
      </c>
      <c r="H1254" s="92" t="s">
        <v>299</v>
      </c>
      <c r="I1254" s="92" t="s">
        <v>300</v>
      </c>
      <c r="J1254" s="92" t="s">
        <v>352</v>
      </c>
      <c r="K1254" s="92" t="s">
        <v>273</v>
      </c>
      <c r="L1254" s="92" t="s">
        <v>347</v>
      </c>
      <c r="M1254" s="92" t="s">
        <v>168</v>
      </c>
      <c r="N1254" s="92" t="s">
        <v>168</v>
      </c>
      <c r="O1254" s="92" t="s">
        <v>170</v>
      </c>
      <c r="P1254" s="92" t="s">
        <v>1067</v>
      </c>
      <c r="Q1254" s="92" t="s">
        <v>3253</v>
      </c>
      <c r="R1254" s="92">
        <v>5</v>
      </c>
      <c r="S1254" s="92">
        <v>1306</v>
      </c>
      <c r="T1254" s="9">
        <v>44174</v>
      </c>
      <c r="U1254" s="9">
        <v>44213</v>
      </c>
    </row>
    <row r="1255" spans="1:21" x14ac:dyDescent="0.2">
      <c r="A1255" s="10" t="str">
        <f>HYPERLINK("http://www.ofsted.gov.uk/inspection-reports/find-inspection-report/provider/ELS/114538 ","Ofsted School Webpage")</f>
        <v>Ofsted School Webpage</v>
      </c>
      <c r="B1255" s="92">
        <v>114538</v>
      </c>
      <c r="C1255" s="92">
        <v>8463305</v>
      </c>
      <c r="D1255" s="92" t="s">
        <v>3254</v>
      </c>
      <c r="E1255" s="92" t="s">
        <v>94</v>
      </c>
      <c r="F1255" s="92" t="s">
        <v>351</v>
      </c>
      <c r="G1255" s="92" t="s">
        <v>270</v>
      </c>
      <c r="H1255" s="92" t="s">
        <v>271</v>
      </c>
      <c r="I1255" s="92" t="s">
        <v>272</v>
      </c>
      <c r="J1255" s="92" t="s">
        <v>346</v>
      </c>
      <c r="K1255" s="92" t="s">
        <v>273</v>
      </c>
      <c r="L1255" s="92" t="s">
        <v>347</v>
      </c>
      <c r="M1255" s="92" t="s">
        <v>192</v>
      </c>
      <c r="N1255" s="92" t="s">
        <v>192</v>
      </c>
      <c r="O1255" s="92" t="s">
        <v>204</v>
      </c>
      <c r="P1255" s="92" t="s">
        <v>635</v>
      </c>
      <c r="Q1255" s="92" t="s">
        <v>3255</v>
      </c>
      <c r="R1255" s="92">
        <v>4</v>
      </c>
      <c r="S1255" s="92">
        <v>150</v>
      </c>
      <c r="T1255" s="9">
        <v>44174</v>
      </c>
      <c r="U1255" s="9">
        <v>44215</v>
      </c>
    </row>
    <row r="1256" spans="1:21" x14ac:dyDescent="0.2">
      <c r="A1256" s="10" t="str">
        <f>HYPERLINK("http://www.ofsted.gov.uk/inspection-reports/find-inspection-report/provider/ELS/144050 ","Ofsted School Webpage")</f>
        <v>Ofsted School Webpage</v>
      </c>
      <c r="B1256" s="92">
        <v>144050</v>
      </c>
      <c r="C1256" s="92">
        <v>3802036</v>
      </c>
      <c r="D1256" s="92" t="s">
        <v>3256</v>
      </c>
      <c r="E1256" s="92" t="s">
        <v>94</v>
      </c>
      <c r="F1256" s="92" t="s">
        <v>429</v>
      </c>
      <c r="G1256" s="9">
        <v>43282</v>
      </c>
      <c r="H1256" s="92" t="s">
        <v>271</v>
      </c>
      <c r="I1256" s="92" t="s">
        <v>272</v>
      </c>
      <c r="J1256" s="92" t="s">
        <v>273</v>
      </c>
      <c r="K1256" s="92" t="s">
        <v>273</v>
      </c>
      <c r="L1256" s="92" t="s">
        <v>274</v>
      </c>
      <c r="M1256" s="92" t="s">
        <v>261</v>
      </c>
      <c r="N1256" s="92" t="s">
        <v>241</v>
      </c>
      <c r="O1256" s="92" t="s">
        <v>250</v>
      </c>
      <c r="P1256" s="92" t="s">
        <v>967</v>
      </c>
      <c r="Q1256" s="92" t="s">
        <v>3257</v>
      </c>
      <c r="R1256" s="92">
        <v>5</v>
      </c>
      <c r="S1256" s="92">
        <v>694</v>
      </c>
      <c r="T1256" s="9">
        <v>44174</v>
      </c>
      <c r="U1256" s="9">
        <v>44223</v>
      </c>
    </row>
    <row r="1257" spans="1:21" x14ac:dyDescent="0.2">
      <c r="A1257" s="10" t="str">
        <f>HYPERLINK("http://www.ofsted.gov.uk/inspection-reports/find-inspection-report/provider/ELS/143432 ","Ofsted School Webpage")</f>
        <v>Ofsted School Webpage</v>
      </c>
      <c r="B1257" s="92">
        <v>143432</v>
      </c>
      <c r="C1257" s="92">
        <v>3032009</v>
      </c>
      <c r="D1257" s="92" t="s">
        <v>3258</v>
      </c>
      <c r="E1257" s="92" t="s">
        <v>94</v>
      </c>
      <c r="F1257" s="92" t="s">
        <v>429</v>
      </c>
      <c r="G1257" s="9">
        <v>42644</v>
      </c>
      <c r="H1257" s="92" t="s">
        <v>271</v>
      </c>
      <c r="I1257" s="92" t="s">
        <v>272</v>
      </c>
      <c r="J1257" s="92" t="s">
        <v>273</v>
      </c>
      <c r="K1257" s="92" t="s">
        <v>273</v>
      </c>
      <c r="L1257" s="92" t="s">
        <v>274</v>
      </c>
      <c r="M1257" s="92" t="s">
        <v>122</v>
      </c>
      <c r="N1257" s="92" t="s">
        <v>122</v>
      </c>
      <c r="O1257" s="92" t="s">
        <v>131</v>
      </c>
      <c r="P1257" s="92" t="s">
        <v>2095</v>
      </c>
      <c r="Q1257" s="92" t="s">
        <v>3259</v>
      </c>
      <c r="R1257" s="92">
        <v>3</v>
      </c>
      <c r="S1257" s="92">
        <v>516</v>
      </c>
      <c r="T1257" s="9">
        <v>44174</v>
      </c>
      <c r="U1257" s="9">
        <v>44220</v>
      </c>
    </row>
    <row r="1258" spans="1:21" x14ac:dyDescent="0.2">
      <c r="A1258" s="10" t="str">
        <f>HYPERLINK("http://www.ofsted.gov.uk/inspection-reports/find-inspection-report/provider/ELS/142825 ","Ofsted School Webpage")</f>
        <v>Ofsted School Webpage</v>
      </c>
      <c r="B1258" s="92">
        <v>142825</v>
      </c>
      <c r="C1258" s="92">
        <v>3804029</v>
      </c>
      <c r="D1258" s="92" t="s">
        <v>3260</v>
      </c>
      <c r="E1258" s="92" t="s">
        <v>95</v>
      </c>
      <c r="F1258" s="92" t="s">
        <v>409</v>
      </c>
      <c r="G1258" s="9">
        <v>42614</v>
      </c>
      <c r="H1258" s="92" t="s">
        <v>299</v>
      </c>
      <c r="I1258" s="92" t="s">
        <v>300</v>
      </c>
      <c r="J1258" s="92" t="s">
        <v>410</v>
      </c>
      <c r="K1258" s="92" t="s">
        <v>484</v>
      </c>
      <c r="L1258" s="92" t="s">
        <v>274</v>
      </c>
      <c r="M1258" s="92" t="s">
        <v>261</v>
      </c>
      <c r="N1258" s="92" t="s">
        <v>241</v>
      </c>
      <c r="O1258" s="92" t="s">
        <v>250</v>
      </c>
      <c r="P1258" s="92" t="s">
        <v>1108</v>
      </c>
      <c r="Q1258" s="92" t="s">
        <v>3261</v>
      </c>
      <c r="R1258" s="92">
        <v>5</v>
      </c>
      <c r="S1258" s="92">
        <v>1407</v>
      </c>
      <c r="T1258" s="9">
        <v>44174</v>
      </c>
      <c r="U1258" s="9">
        <v>44228</v>
      </c>
    </row>
    <row r="1259" spans="1:21" x14ac:dyDescent="0.2">
      <c r="A1259" s="10" t="str">
        <f>HYPERLINK("http://www.ofsted.gov.uk/inspection-reports/find-inspection-report/provider/ELS/144494 ","Ofsted School Webpage")</f>
        <v>Ofsted School Webpage</v>
      </c>
      <c r="B1259" s="92">
        <v>144494</v>
      </c>
      <c r="C1259" s="92">
        <v>3524010</v>
      </c>
      <c r="D1259" s="92" t="s">
        <v>3262</v>
      </c>
      <c r="E1259" s="92" t="s">
        <v>95</v>
      </c>
      <c r="F1259" s="92" t="s">
        <v>409</v>
      </c>
      <c r="G1259" s="9">
        <v>42614</v>
      </c>
      <c r="H1259" s="92" t="s">
        <v>484</v>
      </c>
      <c r="I1259" s="92" t="s">
        <v>272</v>
      </c>
      <c r="J1259" s="92" t="s">
        <v>410</v>
      </c>
      <c r="K1259" s="92" t="s">
        <v>410</v>
      </c>
      <c r="L1259" s="92" t="s">
        <v>274</v>
      </c>
      <c r="M1259" s="92" t="s">
        <v>168</v>
      </c>
      <c r="N1259" s="92" t="s">
        <v>168</v>
      </c>
      <c r="O1259" s="92" t="s">
        <v>171</v>
      </c>
      <c r="P1259" s="92" t="s">
        <v>653</v>
      </c>
      <c r="Q1259" s="92" t="s">
        <v>3263</v>
      </c>
      <c r="R1259" s="92">
        <v>5</v>
      </c>
      <c r="S1259" s="92">
        <v>990</v>
      </c>
      <c r="T1259" s="9">
        <v>44174</v>
      </c>
      <c r="U1259" s="9">
        <v>44216</v>
      </c>
    </row>
    <row r="1260" spans="1:21" x14ac:dyDescent="0.2">
      <c r="A1260" s="10" t="str">
        <f>HYPERLINK("http://www.ofsted.gov.uk/inspection-reports/find-inspection-report/provider/ELS/106346 ","Ofsted School Webpage")</f>
        <v>Ofsted School Webpage</v>
      </c>
      <c r="B1260" s="92">
        <v>106346</v>
      </c>
      <c r="C1260" s="92">
        <v>3583310</v>
      </c>
      <c r="D1260" s="92" t="s">
        <v>3264</v>
      </c>
      <c r="E1260" s="92" t="s">
        <v>94</v>
      </c>
      <c r="F1260" s="92" t="s">
        <v>351</v>
      </c>
      <c r="G1260" s="92" t="s">
        <v>270</v>
      </c>
      <c r="H1260" s="92" t="s">
        <v>271</v>
      </c>
      <c r="I1260" s="92" t="s">
        <v>272</v>
      </c>
      <c r="J1260" s="92" t="s">
        <v>352</v>
      </c>
      <c r="K1260" s="92" t="s">
        <v>273</v>
      </c>
      <c r="L1260" s="92" t="s">
        <v>347</v>
      </c>
      <c r="M1260" s="92" t="s">
        <v>168</v>
      </c>
      <c r="N1260" s="92" t="s">
        <v>168</v>
      </c>
      <c r="O1260" s="92" t="s">
        <v>186</v>
      </c>
      <c r="P1260" s="92" t="s">
        <v>897</v>
      </c>
      <c r="Q1260" s="92" t="s">
        <v>3265</v>
      </c>
      <c r="R1260" s="92">
        <v>5</v>
      </c>
      <c r="S1260" s="92">
        <v>211</v>
      </c>
      <c r="T1260" s="9">
        <v>44175</v>
      </c>
      <c r="U1260" s="9">
        <v>44213</v>
      </c>
    </row>
    <row r="1261" spans="1:21" x14ac:dyDescent="0.2">
      <c r="A1261" s="10" t="str">
        <f>HYPERLINK("http://www.ofsted.gov.uk/inspection-reports/find-inspection-report/provider/ELS/118551 ","Ofsted School Webpage")</f>
        <v>Ofsted School Webpage</v>
      </c>
      <c r="B1261" s="92">
        <v>118551</v>
      </c>
      <c r="C1261" s="92">
        <v>8862632</v>
      </c>
      <c r="D1261" s="92" t="s">
        <v>3266</v>
      </c>
      <c r="E1261" s="92" t="s">
        <v>94</v>
      </c>
      <c r="F1261" s="92" t="s">
        <v>269</v>
      </c>
      <c r="G1261" s="92" t="s">
        <v>270</v>
      </c>
      <c r="H1261" s="92" t="s">
        <v>271</v>
      </c>
      <c r="I1261" s="92" t="s">
        <v>272</v>
      </c>
      <c r="J1261" s="92" t="s">
        <v>273</v>
      </c>
      <c r="K1261" s="92" t="s">
        <v>273</v>
      </c>
      <c r="L1261" s="92" t="s">
        <v>274</v>
      </c>
      <c r="M1261" s="92" t="s">
        <v>192</v>
      </c>
      <c r="N1261" s="92" t="s">
        <v>192</v>
      </c>
      <c r="O1261" s="92" t="s">
        <v>194</v>
      </c>
      <c r="P1261" s="92" t="s">
        <v>304</v>
      </c>
      <c r="Q1261" s="92" t="s">
        <v>3267</v>
      </c>
      <c r="R1261" s="92">
        <v>1</v>
      </c>
      <c r="S1261" s="92">
        <v>621</v>
      </c>
      <c r="T1261" s="9">
        <v>44175</v>
      </c>
      <c r="U1261" s="9">
        <v>44209</v>
      </c>
    </row>
    <row r="1262" spans="1:21" x14ac:dyDescent="0.2">
      <c r="A1262" s="10" t="str">
        <f>HYPERLINK("http://www.ofsted.gov.uk/inspection-reports/find-inspection-report/provider/ELS/109583 ","Ofsted School Webpage")</f>
        <v>Ofsted School Webpage</v>
      </c>
      <c r="B1262" s="92">
        <v>109583</v>
      </c>
      <c r="C1262" s="92">
        <v>8212276</v>
      </c>
      <c r="D1262" s="92" t="s">
        <v>3268</v>
      </c>
      <c r="E1262" s="92" t="s">
        <v>94</v>
      </c>
      <c r="F1262" s="92" t="s">
        <v>397</v>
      </c>
      <c r="G1262" s="92" t="s">
        <v>270</v>
      </c>
      <c r="H1262" s="92" t="s">
        <v>271</v>
      </c>
      <c r="I1262" s="92" t="s">
        <v>272</v>
      </c>
      <c r="J1262" s="92" t="s">
        <v>273</v>
      </c>
      <c r="K1262" s="92" t="s">
        <v>273</v>
      </c>
      <c r="L1262" s="92" t="s">
        <v>274</v>
      </c>
      <c r="M1262" s="92" t="s">
        <v>110</v>
      </c>
      <c r="N1262" s="92" t="s">
        <v>110</v>
      </c>
      <c r="O1262" s="92" t="s">
        <v>116</v>
      </c>
      <c r="P1262" s="92" t="s">
        <v>402</v>
      </c>
      <c r="Q1262" s="92" t="s">
        <v>3269</v>
      </c>
      <c r="R1262" s="92">
        <v>3</v>
      </c>
      <c r="S1262" s="92">
        <v>220</v>
      </c>
      <c r="T1262" s="9">
        <v>44175</v>
      </c>
      <c r="U1262" s="9">
        <v>44213</v>
      </c>
    </row>
    <row r="1263" spans="1:21" x14ac:dyDescent="0.2">
      <c r="A1263" s="10" t="str">
        <f>HYPERLINK("http://www.ofsted.gov.uk/inspection-reports/find-inspection-report/provider/ELS/117285 ","Ofsted School Webpage")</f>
        <v>Ofsted School Webpage</v>
      </c>
      <c r="B1263" s="92">
        <v>117285</v>
      </c>
      <c r="C1263" s="92">
        <v>9192341</v>
      </c>
      <c r="D1263" s="92" t="s">
        <v>3270</v>
      </c>
      <c r="E1263" s="92" t="s">
        <v>94</v>
      </c>
      <c r="F1263" s="92" t="s">
        <v>269</v>
      </c>
      <c r="G1263" s="92" t="s">
        <v>270</v>
      </c>
      <c r="H1263" s="92" t="s">
        <v>271</v>
      </c>
      <c r="I1263" s="92" t="s">
        <v>272</v>
      </c>
      <c r="J1263" s="92" t="s">
        <v>273</v>
      </c>
      <c r="K1263" s="92" t="s">
        <v>273</v>
      </c>
      <c r="L1263" s="92" t="s">
        <v>274</v>
      </c>
      <c r="M1263" s="92" t="s">
        <v>110</v>
      </c>
      <c r="N1263" s="92" t="s">
        <v>110</v>
      </c>
      <c r="O1263" s="92" t="s">
        <v>117</v>
      </c>
      <c r="P1263" s="92" t="s">
        <v>998</v>
      </c>
      <c r="Q1263" s="92" t="s">
        <v>3271</v>
      </c>
      <c r="R1263" s="92">
        <v>3</v>
      </c>
      <c r="S1263" s="92">
        <v>719</v>
      </c>
      <c r="T1263" s="9">
        <v>44175</v>
      </c>
      <c r="U1263" s="9">
        <v>44213</v>
      </c>
    </row>
    <row r="1264" spans="1:21" x14ac:dyDescent="0.2">
      <c r="A1264" s="10" t="str">
        <f>HYPERLINK("http://www.ofsted.gov.uk/inspection-reports/find-inspection-report/provider/ELS/114787 ","Ofsted School Webpage")</f>
        <v>Ofsted School Webpage</v>
      </c>
      <c r="B1264" s="92">
        <v>114787</v>
      </c>
      <c r="C1264" s="92">
        <v>8822124</v>
      </c>
      <c r="D1264" s="92" t="s">
        <v>3272</v>
      </c>
      <c r="E1264" s="92" t="s">
        <v>94</v>
      </c>
      <c r="F1264" s="92" t="s">
        <v>269</v>
      </c>
      <c r="G1264" s="92" t="s">
        <v>270</v>
      </c>
      <c r="H1264" s="92" t="s">
        <v>271</v>
      </c>
      <c r="I1264" s="92" t="s">
        <v>272</v>
      </c>
      <c r="J1264" s="92" t="s">
        <v>273</v>
      </c>
      <c r="K1264" s="92" t="s">
        <v>273</v>
      </c>
      <c r="L1264" s="92" t="s">
        <v>274</v>
      </c>
      <c r="M1264" s="92" t="s">
        <v>110</v>
      </c>
      <c r="N1264" s="92" t="s">
        <v>110</v>
      </c>
      <c r="O1264" s="92" t="s">
        <v>121</v>
      </c>
      <c r="P1264" s="92" t="s">
        <v>2982</v>
      </c>
      <c r="Q1264" s="92" t="s">
        <v>3273</v>
      </c>
      <c r="R1264" s="92">
        <v>4</v>
      </c>
      <c r="S1264" s="92">
        <v>297</v>
      </c>
      <c r="T1264" s="9">
        <v>44175</v>
      </c>
      <c r="U1264" s="9">
        <v>44217</v>
      </c>
    </row>
    <row r="1265" spans="1:21" x14ac:dyDescent="0.2">
      <c r="A1265" s="10" t="str">
        <f>HYPERLINK("http://www.ofsted.gov.uk/inspection-reports/find-inspection-report/provider/ELS/105039 ","Ofsted School Webpage")</f>
        <v>Ofsted School Webpage</v>
      </c>
      <c r="B1265" s="92">
        <v>105039</v>
      </c>
      <c r="C1265" s="92">
        <v>3442252</v>
      </c>
      <c r="D1265" s="92" t="s">
        <v>3274</v>
      </c>
      <c r="E1265" s="92" t="s">
        <v>94</v>
      </c>
      <c r="F1265" s="92" t="s">
        <v>269</v>
      </c>
      <c r="G1265" s="92" t="s">
        <v>270</v>
      </c>
      <c r="H1265" s="92" t="s">
        <v>271</v>
      </c>
      <c r="I1265" s="92" t="s">
        <v>272</v>
      </c>
      <c r="J1265" s="92" t="s">
        <v>273</v>
      </c>
      <c r="K1265" s="92" t="s">
        <v>273</v>
      </c>
      <c r="L1265" s="92" t="s">
        <v>274</v>
      </c>
      <c r="M1265" s="92" t="s">
        <v>168</v>
      </c>
      <c r="N1265" s="92" t="s">
        <v>168</v>
      </c>
      <c r="O1265" s="92" t="s">
        <v>181</v>
      </c>
      <c r="P1265" s="92" t="s">
        <v>1003</v>
      </c>
      <c r="Q1265" s="92" t="s">
        <v>3275</v>
      </c>
      <c r="R1265" s="92">
        <v>5</v>
      </c>
      <c r="S1265" s="92">
        <v>251</v>
      </c>
      <c r="T1265" s="9">
        <v>44175</v>
      </c>
      <c r="U1265" s="9">
        <v>44216</v>
      </c>
    </row>
    <row r="1266" spans="1:21" x14ac:dyDescent="0.2">
      <c r="A1266" s="10" t="str">
        <f>HYPERLINK("http://www.ofsted.gov.uk/inspection-reports/find-inspection-report/provider/ELS/133335 ","Ofsted School Webpage")</f>
        <v>Ofsted School Webpage</v>
      </c>
      <c r="B1266" s="92">
        <v>133335</v>
      </c>
      <c r="C1266" s="92">
        <v>3413023</v>
      </c>
      <c r="D1266" s="92" t="s">
        <v>3276</v>
      </c>
      <c r="E1266" s="92" t="s">
        <v>94</v>
      </c>
      <c r="F1266" s="92" t="s">
        <v>269</v>
      </c>
      <c r="G1266" s="9">
        <v>37500</v>
      </c>
      <c r="H1266" s="92" t="s">
        <v>271</v>
      </c>
      <c r="I1266" s="92" t="s">
        <v>272</v>
      </c>
      <c r="J1266" s="92" t="s">
        <v>273</v>
      </c>
      <c r="K1266" s="92" t="s">
        <v>273</v>
      </c>
      <c r="L1266" s="92" t="s">
        <v>274</v>
      </c>
      <c r="M1266" s="92" t="s">
        <v>168</v>
      </c>
      <c r="N1266" s="92" t="s">
        <v>168</v>
      </c>
      <c r="O1266" s="92" t="s">
        <v>170</v>
      </c>
      <c r="P1266" s="92" t="s">
        <v>1157</v>
      </c>
      <c r="Q1266" s="92" t="s">
        <v>3277</v>
      </c>
      <c r="R1266" s="92">
        <v>5</v>
      </c>
      <c r="S1266" s="92">
        <v>445</v>
      </c>
      <c r="T1266" s="9">
        <v>44175</v>
      </c>
      <c r="U1266" s="9">
        <v>44213</v>
      </c>
    </row>
    <row r="1267" spans="1:21" x14ac:dyDescent="0.2">
      <c r="A1267" s="10" t="str">
        <f>HYPERLINK("http://www.ofsted.gov.uk/inspection-reports/find-inspection-report/provider/ELS/115866 ","Ofsted School Webpage")</f>
        <v>Ofsted School Webpage</v>
      </c>
      <c r="B1267" s="92">
        <v>115866</v>
      </c>
      <c r="C1267" s="92">
        <v>8502023</v>
      </c>
      <c r="D1267" s="92" t="s">
        <v>3278</v>
      </c>
      <c r="E1267" s="92" t="s">
        <v>94</v>
      </c>
      <c r="F1267" s="92" t="s">
        <v>269</v>
      </c>
      <c r="G1267" s="92" t="s">
        <v>270</v>
      </c>
      <c r="H1267" s="92" t="s">
        <v>271</v>
      </c>
      <c r="I1267" s="92" t="s">
        <v>272</v>
      </c>
      <c r="J1267" s="92" t="s">
        <v>273</v>
      </c>
      <c r="K1267" s="92" t="s">
        <v>273</v>
      </c>
      <c r="L1267" s="92" t="s">
        <v>274</v>
      </c>
      <c r="M1267" s="92" t="s">
        <v>192</v>
      </c>
      <c r="N1267" s="92" t="s">
        <v>192</v>
      </c>
      <c r="O1267" s="92" t="s">
        <v>193</v>
      </c>
      <c r="P1267" s="92" t="s">
        <v>759</v>
      </c>
      <c r="Q1267" s="92" t="s">
        <v>3279</v>
      </c>
      <c r="R1267" s="92">
        <v>2</v>
      </c>
      <c r="S1267" s="92">
        <v>100</v>
      </c>
      <c r="T1267" s="9">
        <v>44175</v>
      </c>
      <c r="U1267" s="9">
        <v>44213</v>
      </c>
    </row>
    <row r="1268" spans="1:21" x14ac:dyDescent="0.2">
      <c r="A1268" s="10" t="str">
        <f>HYPERLINK("http://www.ofsted.gov.uk/inspection-reports/find-inspection-report/provider/ELS/103972 ","Ofsted School Webpage")</f>
        <v>Ofsted School Webpage</v>
      </c>
      <c r="B1268" s="92">
        <v>103972</v>
      </c>
      <c r="C1268" s="92">
        <v>3332166</v>
      </c>
      <c r="D1268" s="92" t="s">
        <v>3280</v>
      </c>
      <c r="E1268" s="92" t="s">
        <v>94</v>
      </c>
      <c r="F1268" s="92" t="s">
        <v>269</v>
      </c>
      <c r="G1268" s="92" t="s">
        <v>270</v>
      </c>
      <c r="H1268" s="92" t="s">
        <v>271</v>
      </c>
      <c r="I1268" s="92" t="s">
        <v>272</v>
      </c>
      <c r="J1268" s="92" t="s">
        <v>273</v>
      </c>
      <c r="K1268" s="92" t="s">
        <v>273</v>
      </c>
      <c r="L1268" s="92" t="s">
        <v>274</v>
      </c>
      <c r="M1268" s="92" t="s">
        <v>226</v>
      </c>
      <c r="N1268" s="92" t="s">
        <v>226</v>
      </c>
      <c r="O1268" s="92" t="s">
        <v>228</v>
      </c>
      <c r="P1268" s="92" t="s">
        <v>970</v>
      </c>
      <c r="Q1268" s="92" t="s">
        <v>3281</v>
      </c>
      <c r="R1268" s="92">
        <v>3</v>
      </c>
      <c r="S1268" s="92">
        <v>422</v>
      </c>
      <c r="T1268" s="9">
        <v>44175</v>
      </c>
      <c r="U1268" s="9">
        <v>44213</v>
      </c>
    </row>
    <row r="1269" spans="1:21" x14ac:dyDescent="0.2">
      <c r="A1269" s="10" t="str">
        <f>HYPERLINK("http://www.ofsted.gov.uk/inspection-reports/find-inspection-report/provider/ELS/105915 ","Ofsted School Webpage")</f>
        <v>Ofsted School Webpage</v>
      </c>
      <c r="B1269" s="92">
        <v>105915</v>
      </c>
      <c r="C1269" s="92">
        <v>3552076</v>
      </c>
      <c r="D1269" s="92" t="s">
        <v>3282</v>
      </c>
      <c r="E1269" s="92" t="s">
        <v>94</v>
      </c>
      <c r="F1269" s="92" t="s">
        <v>269</v>
      </c>
      <c r="G1269" s="92" t="s">
        <v>270</v>
      </c>
      <c r="H1269" s="92" t="s">
        <v>271</v>
      </c>
      <c r="I1269" s="92" t="s">
        <v>272</v>
      </c>
      <c r="J1269" s="92" t="s">
        <v>273</v>
      </c>
      <c r="K1269" s="92" t="s">
        <v>273</v>
      </c>
      <c r="L1269" s="92" t="s">
        <v>274</v>
      </c>
      <c r="M1269" s="92" t="s">
        <v>168</v>
      </c>
      <c r="N1269" s="92" t="s">
        <v>168</v>
      </c>
      <c r="O1269" s="92" t="s">
        <v>191</v>
      </c>
      <c r="P1269" s="92" t="s">
        <v>2994</v>
      </c>
      <c r="Q1269" s="92" t="s">
        <v>3283</v>
      </c>
      <c r="R1269" s="92">
        <v>5</v>
      </c>
      <c r="S1269" s="92">
        <v>146</v>
      </c>
      <c r="T1269" s="9">
        <v>44175</v>
      </c>
      <c r="U1269" s="9">
        <v>44213</v>
      </c>
    </row>
    <row r="1270" spans="1:21" x14ac:dyDescent="0.2">
      <c r="A1270" s="10" t="str">
        <f>HYPERLINK("http://www.ofsted.gov.uk/inspection-reports/find-inspection-report/provider/ELS/111135 ","Ofsted School Webpage")</f>
        <v>Ofsted School Webpage</v>
      </c>
      <c r="B1270" s="92">
        <v>111135</v>
      </c>
      <c r="C1270" s="92">
        <v>8772313</v>
      </c>
      <c r="D1270" s="92" t="s">
        <v>3284</v>
      </c>
      <c r="E1270" s="92" t="s">
        <v>94</v>
      </c>
      <c r="F1270" s="92" t="s">
        <v>269</v>
      </c>
      <c r="G1270" s="92" t="s">
        <v>270</v>
      </c>
      <c r="H1270" s="92" t="s">
        <v>271</v>
      </c>
      <c r="I1270" s="92" t="s">
        <v>272</v>
      </c>
      <c r="J1270" s="92" t="s">
        <v>273</v>
      </c>
      <c r="K1270" s="92" t="s">
        <v>273</v>
      </c>
      <c r="L1270" s="92" t="s">
        <v>274</v>
      </c>
      <c r="M1270" s="92" t="s">
        <v>168</v>
      </c>
      <c r="N1270" s="92" t="s">
        <v>168</v>
      </c>
      <c r="O1270" s="92" t="s">
        <v>185</v>
      </c>
      <c r="P1270" s="92" t="s">
        <v>2717</v>
      </c>
      <c r="Q1270" s="92" t="s">
        <v>3285</v>
      </c>
      <c r="R1270" s="92">
        <v>1</v>
      </c>
      <c r="S1270" s="92">
        <v>416</v>
      </c>
      <c r="T1270" s="9">
        <v>44175</v>
      </c>
      <c r="U1270" s="9">
        <v>44220</v>
      </c>
    </row>
    <row r="1271" spans="1:21" x14ac:dyDescent="0.2">
      <c r="A1271" s="10" t="str">
        <f>HYPERLINK("http://www.ofsted.gov.uk/inspection-reports/find-inspection-report/provider/ELS/124565 ","Ofsted School Webpage")</f>
        <v>Ofsted School Webpage</v>
      </c>
      <c r="B1271" s="92">
        <v>124565</v>
      </c>
      <c r="C1271" s="92">
        <v>9352055</v>
      </c>
      <c r="D1271" s="92" t="s">
        <v>3286</v>
      </c>
      <c r="E1271" s="92" t="s">
        <v>94</v>
      </c>
      <c r="F1271" s="92" t="s">
        <v>269</v>
      </c>
      <c r="G1271" s="92" t="s">
        <v>270</v>
      </c>
      <c r="H1271" s="92" t="s">
        <v>271</v>
      </c>
      <c r="I1271" s="92" t="s">
        <v>272</v>
      </c>
      <c r="J1271" s="92" t="s">
        <v>273</v>
      </c>
      <c r="K1271" s="92" t="s">
        <v>273</v>
      </c>
      <c r="L1271" s="92" t="s">
        <v>274</v>
      </c>
      <c r="M1271" s="92" t="s">
        <v>110</v>
      </c>
      <c r="N1271" s="92" t="s">
        <v>110</v>
      </c>
      <c r="O1271" s="92" t="s">
        <v>114</v>
      </c>
      <c r="P1271" s="92" t="s">
        <v>2561</v>
      </c>
      <c r="Q1271" s="92" t="s">
        <v>3287</v>
      </c>
      <c r="R1271" s="92">
        <v>2</v>
      </c>
      <c r="S1271" s="92">
        <v>199</v>
      </c>
      <c r="T1271" s="9">
        <v>44175</v>
      </c>
      <c r="U1271" s="9">
        <v>44213</v>
      </c>
    </row>
    <row r="1272" spans="1:21" x14ac:dyDescent="0.2">
      <c r="A1272" s="10" t="str">
        <f>HYPERLINK("http://www.ofsted.gov.uk/inspection-reports/find-inspection-report/provider/ELS/131851 ","Ofsted School Webpage")</f>
        <v>Ofsted School Webpage</v>
      </c>
      <c r="B1272" s="92">
        <v>131851</v>
      </c>
      <c r="C1272" s="92">
        <v>8212002</v>
      </c>
      <c r="D1272" s="92" t="s">
        <v>3288</v>
      </c>
      <c r="E1272" s="92" t="s">
        <v>94</v>
      </c>
      <c r="F1272" s="92" t="s">
        <v>397</v>
      </c>
      <c r="G1272" s="9">
        <v>36039</v>
      </c>
      <c r="H1272" s="92" t="s">
        <v>271</v>
      </c>
      <c r="I1272" s="92" t="s">
        <v>272</v>
      </c>
      <c r="J1272" s="92" t="s">
        <v>273</v>
      </c>
      <c r="K1272" s="92" t="s">
        <v>273</v>
      </c>
      <c r="L1272" s="92" t="s">
        <v>274</v>
      </c>
      <c r="M1272" s="92" t="s">
        <v>110</v>
      </c>
      <c r="N1272" s="92" t="s">
        <v>110</v>
      </c>
      <c r="O1272" s="92" t="s">
        <v>116</v>
      </c>
      <c r="P1272" s="92" t="s">
        <v>1177</v>
      </c>
      <c r="Q1272" s="92" t="s">
        <v>3289</v>
      </c>
      <c r="R1272" s="92">
        <v>5</v>
      </c>
      <c r="S1272" s="92">
        <v>449</v>
      </c>
      <c r="T1272" s="9">
        <v>44175</v>
      </c>
      <c r="U1272" s="9">
        <v>44213</v>
      </c>
    </row>
    <row r="1273" spans="1:21" x14ac:dyDescent="0.2">
      <c r="A1273" s="10" t="str">
        <f>HYPERLINK("http://www.ofsted.gov.uk/inspection-reports/find-inspection-report/provider/ELS/137310 ","Ofsted School Webpage")</f>
        <v>Ofsted School Webpage</v>
      </c>
      <c r="B1273" s="92">
        <v>137310</v>
      </c>
      <c r="C1273" s="92">
        <v>8825447</v>
      </c>
      <c r="D1273" s="92" t="s">
        <v>3290</v>
      </c>
      <c r="E1273" s="92" t="s">
        <v>95</v>
      </c>
      <c r="F1273" s="92" t="s">
        <v>429</v>
      </c>
      <c r="G1273" s="9">
        <v>40772</v>
      </c>
      <c r="H1273" s="92" t="s">
        <v>299</v>
      </c>
      <c r="I1273" s="92" t="s">
        <v>300</v>
      </c>
      <c r="J1273" s="92" t="s">
        <v>352</v>
      </c>
      <c r="K1273" s="92" t="s">
        <v>273</v>
      </c>
      <c r="L1273" s="92" t="s">
        <v>347</v>
      </c>
      <c r="M1273" s="92" t="s">
        <v>110</v>
      </c>
      <c r="N1273" s="92" t="s">
        <v>110</v>
      </c>
      <c r="O1273" s="92" t="s">
        <v>121</v>
      </c>
      <c r="P1273" s="92" t="s">
        <v>1673</v>
      </c>
      <c r="Q1273" s="92" t="s">
        <v>3291</v>
      </c>
      <c r="R1273" s="92">
        <v>3</v>
      </c>
      <c r="S1273" s="92">
        <v>1074</v>
      </c>
      <c r="T1273" s="9">
        <v>44175</v>
      </c>
      <c r="U1273" s="9">
        <v>44213</v>
      </c>
    </row>
    <row r="1274" spans="1:21" x14ac:dyDescent="0.2">
      <c r="A1274" s="10" t="str">
        <f>HYPERLINK("http://www.ofsted.gov.uk/inspection-reports/find-inspection-report/provider/ELS/140958 ","Ofsted School Webpage")</f>
        <v>Ofsted School Webpage</v>
      </c>
      <c r="B1274" s="92">
        <v>140958</v>
      </c>
      <c r="C1274" s="92">
        <v>3314002</v>
      </c>
      <c r="D1274" s="92" t="s">
        <v>3292</v>
      </c>
      <c r="E1274" s="92" t="s">
        <v>95</v>
      </c>
      <c r="F1274" s="92" t="s">
        <v>491</v>
      </c>
      <c r="G1274" s="9">
        <v>41883</v>
      </c>
      <c r="H1274" s="92" t="s">
        <v>484</v>
      </c>
      <c r="I1274" s="92" t="s">
        <v>300</v>
      </c>
      <c r="J1274" s="92" t="s">
        <v>547</v>
      </c>
      <c r="K1274" s="92" t="s">
        <v>410</v>
      </c>
      <c r="L1274" s="92" t="s">
        <v>547</v>
      </c>
      <c r="M1274" s="92" t="s">
        <v>226</v>
      </c>
      <c r="N1274" s="92" t="s">
        <v>226</v>
      </c>
      <c r="O1274" s="92" t="s">
        <v>233</v>
      </c>
      <c r="P1274" s="92" t="s">
        <v>331</v>
      </c>
      <c r="Q1274" s="92" t="s">
        <v>3293</v>
      </c>
      <c r="R1274" s="92">
        <v>5</v>
      </c>
      <c r="S1274" s="92">
        <v>578</v>
      </c>
      <c r="T1274" s="9">
        <v>44175</v>
      </c>
      <c r="U1274" s="9">
        <v>44216</v>
      </c>
    </row>
    <row r="1275" spans="1:21" x14ac:dyDescent="0.2">
      <c r="A1275" s="10" t="str">
        <f>HYPERLINK("http://www.ofsted.gov.uk/inspection-reports/find-inspection-report/provider/ELS/136185 ","Ofsted School Webpage")</f>
        <v>Ofsted School Webpage</v>
      </c>
      <c r="B1275" s="92">
        <v>136185</v>
      </c>
      <c r="C1275" s="92">
        <v>8766905</v>
      </c>
      <c r="D1275" s="92" t="s">
        <v>3294</v>
      </c>
      <c r="E1275" s="92" t="s">
        <v>95</v>
      </c>
      <c r="F1275" s="92" t="s">
        <v>409</v>
      </c>
      <c r="G1275" s="9">
        <v>40422</v>
      </c>
      <c r="H1275" s="92" t="s">
        <v>299</v>
      </c>
      <c r="I1275" s="92" t="s">
        <v>300</v>
      </c>
      <c r="J1275" s="92" t="s">
        <v>273</v>
      </c>
      <c r="K1275" s="92" t="s">
        <v>410</v>
      </c>
      <c r="L1275" s="92" t="s">
        <v>274</v>
      </c>
      <c r="M1275" s="92" t="s">
        <v>168</v>
      </c>
      <c r="N1275" s="92" t="s">
        <v>168</v>
      </c>
      <c r="O1275" s="92" t="s">
        <v>190</v>
      </c>
      <c r="P1275" s="92" t="s">
        <v>2200</v>
      </c>
      <c r="Q1275" s="92" t="s">
        <v>3295</v>
      </c>
      <c r="R1275" s="92">
        <v>5</v>
      </c>
      <c r="S1275" s="92">
        <v>1164</v>
      </c>
      <c r="T1275" s="9">
        <v>44175</v>
      </c>
      <c r="U1275" s="9">
        <v>44213</v>
      </c>
    </row>
    <row r="1276" spans="1:21" x14ac:dyDescent="0.2">
      <c r="A1276" s="10" t="str">
        <f>HYPERLINK("http://www.ofsted.gov.uk/inspection-reports/find-inspection-report/provider/ELS/137639 ","Ofsted School Webpage")</f>
        <v>Ofsted School Webpage</v>
      </c>
      <c r="B1276" s="92">
        <v>137639</v>
      </c>
      <c r="C1276" s="92">
        <v>8733063</v>
      </c>
      <c r="D1276" s="92" t="s">
        <v>3296</v>
      </c>
      <c r="E1276" s="92" t="s">
        <v>94</v>
      </c>
      <c r="F1276" s="92" t="s">
        <v>429</v>
      </c>
      <c r="G1276" s="9">
        <v>40848</v>
      </c>
      <c r="H1276" s="92" t="s">
        <v>271</v>
      </c>
      <c r="I1276" s="92" t="s">
        <v>271</v>
      </c>
      <c r="J1276" s="92" t="s">
        <v>346</v>
      </c>
      <c r="K1276" s="92" t="s">
        <v>273</v>
      </c>
      <c r="L1276" s="92" t="s">
        <v>347</v>
      </c>
      <c r="M1276" s="92" t="s">
        <v>110</v>
      </c>
      <c r="N1276" s="92" t="s">
        <v>110</v>
      </c>
      <c r="O1276" s="92" t="s">
        <v>112</v>
      </c>
      <c r="P1276" s="92" t="s">
        <v>2030</v>
      </c>
      <c r="Q1276" s="92" t="s">
        <v>3297</v>
      </c>
      <c r="R1276" s="92">
        <v>1</v>
      </c>
      <c r="S1276" s="92">
        <v>311</v>
      </c>
      <c r="T1276" s="9">
        <v>44175</v>
      </c>
      <c r="U1276" s="9">
        <v>44217</v>
      </c>
    </row>
    <row r="1277" spans="1:21" x14ac:dyDescent="0.2">
      <c r="A1277" s="10" t="str">
        <f>HYPERLINK("http://www.ofsted.gov.uk/inspection-reports/find-inspection-report/provider/ELS/109707 ","Ofsted School Webpage")</f>
        <v>Ofsted School Webpage</v>
      </c>
      <c r="B1277" s="92">
        <v>109707</v>
      </c>
      <c r="C1277" s="92">
        <v>8215403</v>
      </c>
      <c r="D1277" s="92" t="s">
        <v>3298</v>
      </c>
      <c r="E1277" s="92" t="s">
        <v>95</v>
      </c>
      <c r="F1277" s="92" t="s">
        <v>397</v>
      </c>
      <c r="G1277" s="92" t="s">
        <v>270</v>
      </c>
      <c r="H1277" s="92" t="s">
        <v>299</v>
      </c>
      <c r="I1277" s="92" t="s">
        <v>272</v>
      </c>
      <c r="J1277" s="92" t="s">
        <v>410</v>
      </c>
      <c r="K1277" s="92" t="s">
        <v>273</v>
      </c>
      <c r="L1277" s="92" t="s">
        <v>274</v>
      </c>
      <c r="M1277" s="92" t="s">
        <v>110</v>
      </c>
      <c r="N1277" s="92" t="s">
        <v>110</v>
      </c>
      <c r="O1277" s="92" t="s">
        <v>116</v>
      </c>
      <c r="P1277" s="92" t="s">
        <v>402</v>
      </c>
      <c r="Q1277" s="92" t="s">
        <v>3299</v>
      </c>
      <c r="R1277" s="92">
        <v>4</v>
      </c>
      <c r="S1277" s="92">
        <v>1175</v>
      </c>
      <c r="T1277" s="9">
        <v>44175</v>
      </c>
      <c r="U1277" s="9">
        <v>44217</v>
      </c>
    </row>
    <row r="1278" spans="1:21" x14ac:dyDescent="0.2">
      <c r="A1278" s="10" t="str">
        <f>HYPERLINK("http://www.ofsted.gov.uk/inspection-reports/find-inspection-report/provider/ELS/112276 ","Ofsted School Webpage")</f>
        <v>Ofsted School Webpage</v>
      </c>
      <c r="B1278" s="92">
        <v>112276</v>
      </c>
      <c r="C1278" s="92">
        <v>9093115</v>
      </c>
      <c r="D1278" s="92" t="s">
        <v>3300</v>
      </c>
      <c r="E1278" s="92" t="s">
        <v>94</v>
      </c>
      <c r="F1278" s="92" t="s">
        <v>345</v>
      </c>
      <c r="G1278" s="92" t="s">
        <v>270</v>
      </c>
      <c r="H1278" s="92" t="s">
        <v>271</v>
      </c>
      <c r="I1278" s="92" t="s">
        <v>272</v>
      </c>
      <c r="J1278" s="92" t="s">
        <v>346</v>
      </c>
      <c r="K1278" s="92" t="s">
        <v>273</v>
      </c>
      <c r="L1278" s="92" t="s">
        <v>347</v>
      </c>
      <c r="M1278" s="92" t="s">
        <v>168</v>
      </c>
      <c r="N1278" s="92" t="s">
        <v>168</v>
      </c>
      <c r="O1278" s="92" t="s">
        <v>176</v>
      </c>
      <c r="P1278" s="92" t="s">
        <v>678</v>
      </c>
      <c r="Q1278" s="92" t="s">
        <v>3301</v>
      </c>
      <c r="R1278" s="92">
        <v>1</v>
      </c>
      <c r="S1278" s="92">
        <v>53</v>
      </c>
      <c r="T1278" s="9">
        <v>44175</v>
      </c>
      <c r="U1278" s="9">
        <v>44220</v>
      </c>
    </row>
    <row r="1279" spans="1:21" x14ac:dyDescent="0.2">
      <c r="A1279" s="10" t="str">
        <f>HYPERLINK("http://www.ofsted.gov.uk/inspection-reports/find-inspection-report/provider/ELS/141392 ","Ofsted School Webpage")</f>
        <v>Ofsted School Webpage</v>
      </c>
      <c r="B1279" s="92">
        <v>141392</v>
      </c>
      <c r="C1279" s="92">
        <v>3524006</v>
      </c>
      <c r="D1279" s="92" t="s">
        <v>3302</v>
      </c>
      <c r="E1279" s="92" t="s">
        <v>95</v>
      </c>
      <c r="F1279" s="92" t="s">
        <v>409</v>
      </c>
      <c r="G1279" s="9">
        <v>42095</v>
      </c>
      <c r="H1279" s="92" t="s">
        <v>299</v>
      </c>
      <c r="I1279" s="92" t="s">
        <v>272</v>
      </c>
      <c r="J1279" s="92" t="s">
        <v>410</v>
      </c>
      <c r="K1279" s="92" t="s">
        <v>410</v>
      </c>
      <c r="L1279" s="92" t="s">
        <v>274</v>
      </c>
      <c r="M1279" s="92" t="s">
        <v>168</v>
      </c>
      <c r="N1279" s="92" t="s">
        <v>168</v>
      </c>
      <c r="O1279" s="92" t="s">
        <v>171</v>
      </c>
      <c r="P1279" s="92" t="s">
        <v>951</v>
      </c>
      <c r="Q1279" s="92" t="s">
        <v>3303</v>
      </c>
      <c r="R1279" s="92">
        <v>5</v>
      </c>
      <c r="S1279" s="92">
        <v>430</v>
      </c>
      <c r="T1279" s="9">
        <v>44175</v>
      </c>
      <c r="U1279" s="9">
        <v>44213</v>
      </c>
    </row>
    <row r="1280" spans="1:21" x14ac:dyDescent="0.2">
      <c r="A1280" s="10" t="str">
        <f>HYPERLINK("http://www.ofsted.gov.uk/inspection-reports/find-inspection-report/provider/ELS/121067 ","Ofsted School Webpage")</f>
        <v>Ofsted School Webpage</v>
      </c>
      <c r="B1280" s="92">
        <v>121067</v>
      </c>
      <c r="C1280" s="92">
        <v>9263096</v>
      </c>
      <c r="D1280" s="92" t="s">
        <v>3304</v>
      </c>
      <c r="E1280" s="92" t="s">
        <v>94</v>
      </c>
      <c r="F1280" s="92" t="s">
        <v>345</v>
      </c>
      <c r="G1280" s="92" t="s">
        <v>270</v>
      </c>
      <c r="H1280" s="92" t="s">
        <v>271</v>
      </c>
      <c r="I1280" s="92" t="s">
        <v>272</v>
      </c>
      <c r="J1280" s="92" t="s">
        <v>410</v>
      </c>
      <c r="K1280" s="92" t="s">
        <v>273</v>
      </c>
      <c r="L1280" s="92" t="s">
        <v>274</v>
      </c>
      <c r="M1280" s="92" t="s">
        <v>110</v>
      </c>
      <c r="N1280" s="92" t="s">
        <v>110</v>
      </c>
      <c r="O1280" s="92" t="s">
        <v>118</v>
      </c>
      <c r="P1280" s="92" t="s">
        <v>2645</v>
      </c>
      <c r="Q1280" s="92" t="s">
        <v>3305</v>
      </c>
      <c r="R1280" s="92">
        <v>2</v>
      </c>
      <c r="S1280" s="92">
        <v>395</v>
      </c>
      <c r="T1280" s="9">
        <v>44175</v>
      </c>
      <c r="U1280" s="9">
        <v>44217</v>
      </c>
    </row>
    <row r="1281" spans="1:21" x14ac:dyDescent="0.2">
      <c r="A1281" s="10" t="str">
        <f>HYPERLINK("http://www.ofsted.gov.uk/inspection-reports/find-inspection-report/provider/ELS/103632 ","Ofsted School Webpage")</f>
        <v>Ofsted School Webpage</v>
      </c>
      <c r="B1281" s="92">
        <v>103632</v>
      </c>
      <c r="C1281" s="92">
        <v>3307062</v>
      </c>
      <c r="D1281" s="92" t="s">
        <v>3306</v>
      </c>
      <c r="E1281" s="92" t="s">
        <v>96</v>
      </c>
      <c r="F1281" s="92" t="s">
        <v>401</v>
      </c>
      <c r="G1281" s="92" t="s">
        <v>270</v>
      </c>
      <c r="H1281" s="92" t="s">
        <v>271</v>
      </c>
      <c r="I1281" s="92" t="s">
        <v>271</v>
      </c>
      <c r="J1281" s="92" t="s">
        <v>273</v>
      </c>
      <c r="K1281" s="92" t="s">
        <v>273</v>
      </c>
      <c r="L1281" s="92" t="s">
        <v>274</v>
      </c>
      <c r="M1281" s="92" t="s">
        <v>226</v>
      </c>
      <c r="N1281" s="92" t="s">
        <v>226</v>
      </c>
      <c r="O1281" s="92" t="s">
        <v>232</v>
      </c>
      <c r="P1281" s="92" t="s">
        <v>2393</v>
      </c>
      <c r="Q1281" s="92" t="s">
        <v>3307</v>
      </c>
      <c r="R1281" s="92">
        <v>5</v>
      </c>
      <c r="S1281" s="92">
        <v>119</v>
      </c>
      <c r="T1281" s="9">
        <v>44175</v>
      </c>
      <c r="U1281" s="9">
        <v>44213</v>
      </c>
    </row>
    <row r="1282" spans="1:21" x14ac:dyDescent="0.2">
      <c r="A1282" s="10" t="str">
        <f>HYPERLINK("http://www.ofsted.gov.uk/inspection-reports/find-inspection-report/provider/ELS/140121 ","Ofsted School Webpage")</f>
        <v>Ofsted School Webpage</v>
      </c>
      <c r="B1282" s="92">
        <v>140121</v>
      </c>
      <c r="C1282" s="92">
        <v>9351113</v>
      </c>
      <c r="D1282" s="92" t="s">
        <v>3308</v>
      </c>
      <c r="E1282" s="92" t="s">
        <v>98</v>
      </c>
      <c r="F1282" s="92" t="s">
        <v>405</v>
      </c>
      <c r="G1282" s="9">
        <v>41518</v>
      </c>
      <c r="H1282" s="92" t="s">
        <v>271</v>
      </c>
      <c r="I1282" s="92" t="s">
        <v>271</v>
      </c>
      <c r="J1282" s="92" t="s">
        <v>273</v>
      </c>
      <c r="K1282" s="92" t="s">
        <v>273</v>
      </c>
      <c r="L1282" s="92" t="s">
        <v>274</v>
      </c>
      <c r="M1282" s="92" t="s">
        <v>110</v>
      </c>
      <c r="N1282" s="92" t="s">
        <v>110</v>
      </c>
      <c r="O1282" s="92" t="s">
        <v>114</v>
      </c>
      <c r="P1282" s="92" t="s">
        <v>1258</v>
      </c>
      <c r="Q1282" s="92" t="s">
        <v>3309</v>
      </c>
      <c r="R1282" s="92">
        <v>3</v>
      </c>
      <c r="S1282" s="92">
        <v>14</v>
      </c>
      <c r="T1282" s="9">
        <v>44175</v>
      </c>
      <c r="U1282" s="9">
        <v>44213</v>
      </c>
    </row>
    <row r="1283" spans="1:21" x14ac:dyDescent="0.2">
      <c r="A1283" s="10"/>
      <c r="B1283" s="92"/>
      <c r="C1283" s="92"/>
      <c r="D1283" s="92"/>
      <c r="E1283" s="92"/>
      <c r="F1283" s="92"/>
      <c r="G1283" s="92"/>
      <c r="H1283" s="92"/>
      <c r="I1283" s="92"/>
      <c r="J1283" s="92"/>
      <c r="K1283" s="92"/>
      <c r="L1283" s="92"/>
      <c r="M1283" s="92"/>
      <c r="N1283" s="92"/>
      <c r="O1283" s="92"/>
      <c r="P1283" s="92"/>
      <c r="Q1283" s="92"/>
      <c r="R1283" s="92"/>
      <c r="S1283" s="92"/>
      <c r="T1283" s="92"/>
      <c r="U1283" s="92"/>
    </row>
    <row r="1284" spans="1:21" x14ac:dyDescent="0.2">
      <c r="A1284" s="10"/>
      <c r="B1284" s="92"/>
      <c r="C1284" s="92"/>
      <c r="D1284" s="92"/>
      <c r="E1284" s="92"/>
      <c r="F1284" s="92"/>
      <c r="G1284" s="92"/>
      <c r="H1284" s="92"/>
      <c r="I1284" s="92"/>
      <c r="J1284" s="92"/>
      <c r="K1284" s="92"/>
      <c r="L1284" s="92"/>
      <c r="M1284" s="92"/>
      <c r="N1284" s="92"/>
      <c r="O1284" s="92"/>
      <c r="P1284" s="92"/>
      <c r="Q1284" s="92"/>
      <c r="R1284" s="92"/>
      <c r="S1284" s="92"/>
      <c r="T1284" s="92"/>
      <c r="U1284" s="92"/>
    </row>
    <row r="1285" spans="1:21" x14ac:dyDescent="0.2">
      <c r="A1285" s="10"/>
      <c r="B1285" s="92"/>
      <c r="C1285" s="92"/>
      <c r="D1285" s="92"/>
      <c r="E1285" s="92"/>
      <c r="F1285" s="92"/>
      <c r="G1285" s="92"/>
      <c r="H1285" s="92"/>
      <c r="I1285" s="92"/>
      <c r="J1285" s="92"/>
      <c r="K1285" s="92"/>
      <c r="L1285" s="92"/>
      <c r="M1285" s="92"/>
      <c r="N1285" s="92"/>
      <c r="O1285" s="92"/>
      <c r="P1285" s="92"/>
      <c r="Q1285" s="92"/>
      <c r="R1285" s="92"/>
      <c r="S1285" s="92"/>
      <c r="T1285" s="92"/>
      <c r="U1285" s="92"/>
    </row>
    <row r="1286" spans="1:21" x14ac:dyDescent="0.2">
      <c r="A1286" s="10"/>
      <c r="B1286" s="92"/>
      <c r="C1286" s="92"/>
      <c r="D1286" s="92"/>
      <c r="E1286" s="92"/>
      <c r="F1286" s="92"/>
      <c r="G1286" s="92"/>
      <c r="H1286" s="92"/>
      <c r="I1286" s="92"/>
      <c r="J1286" s="92"/>
      <c r="K1286" s="92"/>
      <c r="L1286" s="92"/>
      <c r="M1286" s="92"/>
      <c r="N1286" s="92"/>
      <c r="O1286" s="92"/>
      <c r="P1286" s="92"/>
      <c r="Q1286" s="92"/>
      <c r="R1286" s="92"/>
      <c r="S1286" s="92"/>
      <c r="T1286" s="92"/>
      <c r="U1286" s="92"/>
    </row>
    <row r="1287" spans="1:21" x14ac:dyDescent="0.2">
      <c r="A1287" s="10"/>
      <c r="B1287" s="92"/>
      <c r="C1287" s="92"/>
      <c r="D1287" s="92"/>
      <c r="E1287" s="92"/>
      <c r="F1287" s="92"/>
      <c r="G1287" s="92"/>
      <c r="H1287" s="92"/>
      <c r="I1287" s="92"/>
      <c r="J1287" s="92"/>
      <c r="K1287" s="92"/>
      <c r="L1287" s="92"/>
      <c r="M1287" s="92"/>
      <c r="N1287" s="92"/>
      <c r="O1287" s="92"/>
      <c r="P1287" s="92"/>
      <c r="Q1287" s="92"/>
      <c r="R1287" s="92"/>
      <c r="S1287" s="92"/>
      <c r="T1287" s="92"/>
      <c r="U1287" s="92"/>
    </row>
    <row r="1288" spans="1:21" x14ac:dyDescent="0.2">
      <c r="A1288" s="10"/>
      <c r="B1288" s="92"/>
      <c r="C1288" s="92"/>
      <c r="D1288" s="92"/>
      <c r="E1288" s="92"/>
      <c r="F1288" s="92"/>
      <c r="G1288" s="92"/>
      <c r="H1288" s="92"/>
      <c r="I1288" s="92"/>
      <c r="J1288" s="92"/>
      <c r="K1288" s="92"/>
      <c r="L1288" s="92"/>
      <c r="M1288" s="92"/>
      <c r="N1288" s="92"/>
      <c r="O1288" s="92"/>
      <c r="P1288" s="92"/>
      <c r="Q1288" s="92"/>
      <c r="R1288" s="92"/>
      <c r="S1288" s="92"/>
      <c r="T1288" s="92"/>
      <c r="U1288" s="92"/>
    </row>
    <row r="1289" spans="1:21" x14ac:dyDescent="0.2">
      <c r="A1289" s="10"/>
      <c r="B1289" s="92"/>
      <c r="C1289" s="92"/>
      <c r="D1289" s="92"/>
      <c r="E1289" s="92"/>
      <c r="F1289" s="92"/>
      <c r="G1289" s="92"/>
      <c r="H1289" s="92"/>
      <c r="I1289" s="92"/>
      <c r="J1289" s="92"/>
      <c r="K1289" s="92"/>
      <c r="L1289" s="92"/>
      <c r="M1289" s="92"/>
      <c r="N1289" s="92"/>
      <c r="O1289" s="92"/>
      <c r="P1289" s="92"/>
      <c r="Q1289" s="92"/>
      <c r="R1289" s="92"/>
      <c r="S1289" s="92"/>
      <c r="T1289" s="92"/>
      <c r="U1289" s="92"/>
    </row>
    <row r="1290" spans="1:21" x14ac:dyDescent="0.2">
      <c r="A1290" s="10"/>
      <c r="B1290" s="92"/>
      <c r="C1290" s="92"/>
      <c r="D1290" s="92"/>
      <c r="E1290" s="92"/>
      <c r="F1290" s="92"/>
      <c r="G1290" s="92"/>
      <c r="H1290" s="92"/>
      <c r="I1290" s="92"/>
      <c r="J1290" s="92"/>
      <c r="K1290" s="92"/>
      <c r="L1290" s="92"/>
      <c r="M1290" s="92"/>
      <c r="N1290" s="92"/>
      <c r="O1290" s="92"/>
      <c r="P1290" s="92"/>
      <c r="Q1290" s="92"/>
      <c r="R1290" s="92"/>
      <c r="S1290" s="92"/>
      <c r="T1290" s="92"/>
      <c r="U1290" s="92"/>
    </row>
    <row r="1291" spans="1:21" x14ac:dyDescent="0.2">
      <c r="A1291" s="10"/>
      <c r="B1291" s="92"/>
      <c r="C1291" s="92"/>
      <c r="D1291" s="92"/>
      <c r="E1291" s="92"/>
      <c r="F1291" s="92"/>
      <c r="G1291" s="92"/>
      <c r="H1291" s="92"/>
      <c r="I1291" s="92"/>
      <c r="J1291" s="92"/>
      <c r="K1291" s="92"/>
      <c r="L1291" s="92"/>
      <c r="M1291" s="92"/>
      <c r="N1291" s="92"/>
      <c r="O1291" s="92"/>
      <c r="P1291" s="92"/>
      <c r="Q1291" s="92"/>
      <c r="R1291" s="92"/>
      <c r="S1291" s="92"/>
      <c r="T1291" s="92"/>
      <c r="U1291" s="92"/>
    </row>
    <row r="1292" spans="1:21" x14ac:dyDescent="0.2">
      <c r="A1292" s="10"/>
      <c r="B1292" s="92"/>
      <c r="C1292" s="92"/>
      <c r="D1292" s="92"/>
      <c r="E1292" s="92"/>
      <c r="F1292" s="92"/>
      <c r="G1292" s="92"/>
      <c r="H1292" s="92"/>
      <c r="I1292" s="92"/>
      <c r="J1292" s="92"/>
      <c r="K1292" s="92"/>
      <c r="L1292" s="92"/>
      <c r="M1292" s="92"/>
      <c r="N1292" s="92"/>
      <c r="O1292" s="92"/>
      <c r="P1292" s="92"/>
      <c r="Q1292" s="92"/>
      <c r="R1292" s="92"/>
      <c r="S1292" s="92"/>
      <c r="T1292" s="92"/>
      <c r="U1292" s="92"/>
    </row>
    <row r="1293" spans="1:21" x14ac:dyDescent="0.2">
      <c r="A1293" s="10"/>
      <c r="B1293" s="92"/>
      <c r="C1293" s="92"/>
      <c r="D1293" s="92"/>
      <c r="E1293" s="92"/>
      <c r="F1293" s="92"/>
      <c r="G1293" s="92"/>
      <c r="H1293" s="92"/>
      <c r="I1293" s="92"/>
      <c r="J1293" s="92"/>
      <c r="K1293" s="92"/>
      <c r="L1293" s="92"/>
      <c r="M1293" s="92"/>
      <c r="N1293" s="92"/>
      <c r="O1293" s="92"/>
      <c r="P1293" s="92"/>
      <c r="Q1293" s="92"/>
      <c r="R1293" s="92"/>
      <c r="S1293" s="92"/>
      <c r="T1293" s="92"/>
      <c r="U1293" s="92"/>
    </row>
    <row r="1294" spans="1:21" x14ac:dyDescent="0.2">
      <c r="A1294" s="10"/>
      <c r="B1294" s="92"/>
      <c r="C1294" s="92"/>
      <c r="D1294" s="92"/>
      <c r="E1294" s="92"/>
      <c r="F1294" s="92"/>
      <c r="G1294" s="92"/>
      <c r="H1294" s="92"/>
      <c r="I1294" s="92"/>
      <c r="J1294" s="92"/>
      <c r="K1294" s="92"/>
      <c r="L1294" s="92"/>
      <c r="M1294" s="92"/>
      <c r="N1294" s="92"/>
      <c r="O1294" s="92"/>
      <c r="P1294" s="92"/>
      <c r="Q1294" s="92"/>
      <c r="R1294" s="92"/>
      <c r="S1294" s="92"/>
      <c r="T1294" s="92"/>
      <c r="U1294" s="92"/>
    </row>
    <row r="1295" spans="1:21" x14ac:dyDescent="0.2">
      <c r="A1295" s="10"/>
      <c r="B1295" s="92"/>
      <c r="C1295" s="92"/>
      <c r="D1295" s="92"/>
      <c r="E1295" s="92"/>
      <c r="F1295" s="92"/>
      <c r="G1295" s="92"/>
      <c r="H1295" s="92"/>
      <c r="I1295" s="92"/>
      <c r="J1295" s="92"/>
      <c r="K1295" s="92"/>
      <c r="L1295" s="92"/>
      <c r="M1295" s="92"/>
      <c r="N1295" s="92"/>
      <c r="O1295" s="92"/>
      <c r="P1295" s="92"/>
      <c r="Q1295" s="92"/>
      <c r="R1295" s="92"/>
      <c r="S1295" s="92"/>
      <c r="T1295" s="92"/>
      <c r="U1295" s="92"/>
    </row>
    <row r="1296" spans="1:21" x14ac:dyDescent="0.2">
      <c r="A1296" s="10"/>
      <c r="B1296" s="92"/>
      <c r="C1296" s="92"/>
      <c r="D1296" s="92"/>
      <c r="E1296" s="92"/>
      <c r="F1296" s="92"/>
      <c r="G1296" s="92"/>
      <c r="H1296" s="92"/>
      <c r="I1296" s="92"/>
      <c r="J1296" s="92"/>
      <c r="K1296" s="92"/>
      <c r="L1296" s="92"/>
      <c r="M1296" s="92"/>
      <c r="N1296" s="92"/>
      <c r="O1296" s="92"/>
      <c r="P1296" s="92"/>
      <c r="Q1296" s="92"/>
      <c r="R1296" s="92"/>
      <c r="S1296" s="92"/>
      <c r="T1296" s="92"/>
      <c r="U1296" s="92"/>
    </row>
    <row r="1297" spans="1:1" x14ac:dyDescent="0.2">
      <c r="A1297" s="10"/>
    </row>
    <row r="1298" spans="1:1" x14ac:dyDescent="0.2">
      <c r="A1298" s="10"/>
    </row>
    <row r="1299" spans="1:1" x14ac:dyDescent="0.2">
      <c r="A1299" s="10"/>
    </row>
    <row r="1300" spans="1:1" x14ac:dyDescent="0.2">
      <c r="A1300" s="10"/>
    </row>
    <row r="1301" spans="1:1" x14ac:dyDescent="0.2">
      <c r="A1301" s="10"/>
    </row>
    <row r="1302" spans="1:1" x14ac:dyDescent="0.2">
      <c r="A1302" s="10"/>
    </row>
    <row r="1303" spans="1:1" x14ac:dyDescent="0.2">
      <c r="A1303" s="10"/>
    </row>
    <row r="1304" spans="1:1" x14ac:dyDescent="0.2">
      <c r="A1304" s="10"/>
    </row>
    <row r="1305" spans="1:1" x14ac:dyDescent="0.2">
      <c r="A1305" s="10"/>
    </row>
    <row r="1306" spans="1:1" x14ac:dyDescent="0.2">
      <c r="A1306" s="10"/>
    </row>
    <row r="1307" spans="1:1" x14ac:dyDescent="0.2">
      <c r="A1307" s="10"/>
    </row>
    <row r="1308" spans="1:1" x14ac:dyDescent="0.2">
      <c r="A1308" s="10"/>
    </row>
    <row r="1309" spans="1:1" x14ac:dyDescent="0.2">
      <c r="A1309" s="10"/>
    </row>
    <row r="1310" spans="1:1" x14ac:dyDescent="0.2">
      <c r="A1310" s="10"/>
    </row>
    <row r="1311" spans="1:1" x14ac:dyDescent="0.2">
      <c r="A1311" s="10"/>
    </row>
    <row r="1312" spans="1:1" x14ac:dyDescent="0.2">
      <c r="A1312" s="10"/>
    </row>
    <row r="1313" spans="1:1" x14ac:dyDescent="0.2">
      <c r="A1313" s="10"/>
    </row>
    <row r="1314" spans="1:1" x14ac:dyDescent="0.2">
      <c r="A1314" s="10"/>
    </row>
    <row r="1315" spans="1:1" x14ac:dyDescent="0.2">
      <c r="A1315" s="10"/>
    </row>
    <row r="1316" spans="1:1" x14ac:dyDescent="0.2">
      <c r="A1316" s="10"/>
    </row>
    <row r="1317" spans="1:1" x14ac:dyDescent="0.2">
      <c r="A1317" s="10"/>
    </row>
    <row r="1318" spans="1:1" x14ac:dyDescent="0.2">
      <c r="A1318" s="10"/>
    </row>
    <row r="1319" spans="1:1" x14ac:dyDescent="0.2">
      <c r="A1319" s="10"/>
    </row>
    <row r="1320" spans="1:1" x14ac:dyDescent="0.2">
      <c r="A1320" s="10"/>
    </row>
    <row r="1321" spans="1:1" x14ac:dyDescent="0.2">
      <c r="A1321" s="10"/>
    </row>
    <row r="1322" spans="1:1" x14ac:dyDescent="0.2">
      <c r="A1322" s="10"/>
    </row>
    <row r="1323" spans="1:1" x14ac:dyDescent="0.2">
      <c r="A1323" s="10"/>
    </row>
    <row r="1324" spans="1:1" x14ac:dyDescent="0.2">
      <c r="A1324" s="10"/>
    </row>
    <row r="1325" spans="1:1" x14ac:dyDescent="0.2">
      <c r="A1325" s="10"/>
    </row>
    <row r="1326" spans="1:1" x14ac:dyDescent="0.2">
      <c r="A1326" s="10"/>
    </row>
    <row r="1327" spans="1:1" x14ac:dyDescent="0.2">
      <c r="A1327" s="10"/>
    </row>
    <row r="1328" spans="1:1" x14ac:dyDescent="0.2">
      <c r="A1328" s="10"/>
    </row>
    <row r="1329" spans="1:1" x14ac:dyDescent="0.2">
      <c r="A1329" s="10"/>
    </row>
    <row r="1330" spans="1:1" x14ac:dyDescent="0.2">
      <c r="A1330" s="10"/>
    </row>
    <row r="1331" spans="1:1" x14ac:dyDescent="0.2">
      <c r="A1331" s="10"/>
    </row>
    <row r="1332" spans="1:1" x14ac:dyDescent="0.2">
      <c r="A1332" s="10"/>
    </row>
    <row r="1333" spans="1:1" x14ac:dyDescent="0.2">
      <c r="A1333" s="10"/>
    </row>
    <row r="1334" spans="1:1" x14ac:dyDescent="0.2">
      <c r="A1334" s="10"/>
    </row>
    <row r="1335" spans="1:1" x14ac:dyDescent="0.2">
      <c r="A1335" s="10"/>
    </row>
    <row r="1336" spans="1:1" x14ac:dyDescent="0.2">
      <c r="A1336" s="10"/>
    </row>
    <row r="1337" spans="1:1" x14ac:dyDescent="0.2">
      <c r="A1337" s="10"/>
    </row>
    <row r="1338" spans="1:1" x14ac:dyDescent="0.2">
      <c r="A1338" s="10"/>
    </row>
    <row r="1339" spans="1:1" x14ac:dyDescent="0.2">
      <c r="A1339" s="10"/>
    </row>
    <row r="1340" spans="1:1" x14ac:dyDescent="0.2">
      <c r="A1340" s="10"/>
    </row>
    <row r="1341" spans="1:1" x14ac:dyDescent="0.2">
      <c r="A1341" s="10"/>
    </row>
    <row r="1342" spans="1:1" x14ac:dyDescent="0.2">
      <c r="A1342" s="10"/>
    </row>
    <row r="1343" spans="1:1" x14ac:dyDescent="0.2">
      <c r="A1343" s="10"/>
    </row>
    <row r="1344" spans="1:1" x14ac:dyDescent="0.2">
      <c r="A1344" s="10"/>
    </row>
    <row r="1345" spans="1:1" x14ac:dyDescent="0.2">
      <c r="A1345" s="10"/>
    </row>
    <row r="1346" spans="1:1" x14ac:dyDescent="0.2">
      <c r="A1346" s="10"/>
    </row>
    <row r="1347" spans="1:1" x14ac:dyDescent="0.2">
      <c r="A1347" s="10"/>
    </row>
    <row r="1348" spans="1:1" x14ac:dyDescent="0.2">
      <c r="A1348" s="10"/>
    </row>
    <row r="1349" spans="1:1" x14ac:dyDescent="0.2">
      <c r="A1349" s="10"/>
    </row>
    <row r="1350" spans="1:1" x14ac:dyDescent="0.2">
      <c r="A1350" s="10"/>
    </row>
    <row r="1351" spans="1:1" x14ac:dyDescent="0.2">
      <c r="A1351" s="10"/>
    </row>
    <row r="1352" spans="1:1" x14ac:dyDescent="0.2">
      <c r="A1352" s="10"/>
    </row>
    <row r="1353" spans="1:1" x14ac:dyDescent="0.2">
      <c r="A1353" s="10"/>
    </row>
    <row r="1354" spans="1:1" x14ac:dyDescent="0.2">
      <c r="A1354" s="10"/>
    </row>
    <row r="1355" spans="1:1" x14ac:dyDescent="0.2">
      <c r="A1355" s="10"/>
    </row>
    <row r="1356" spans="1:1" x14ac:dyDescent="0.2">
      <c r="A1356" s="10"/>
    </row>
    <row r="1357" spans="1:1" x14ac:dyDescent="0.2">
      <c r="A1357" s="10"/>
    </row>
    <row r="1358" spans="1:1" x14ac:dyDescent="0.2">
      <c r="A1358" s="10"/>
    </row>
    <row r="1359" spans="1:1" x14ac:dyDescent="0.2">
      <c r="A1359" s="10"/>
    </row>
    <row r="1360" spans="1:1" x14ac:dyDescent="0.2">
      <c r="A1360" s="10"/>
    </row>
    <row r="1361" spans="1:1" x14ac:dyDescent="0.2">
      <c r="A1361" s="10"/>
    </row>
    <row r="1362" spans="1:1" x14ac:dyDescent="0.2">
      <c r="A1362" s="10"/>
    </row>
    <row r="1363" spans="1:1" x14ac:dyDescent="0.2">
      <c r="A1363" s="10"/>
    </row>
    <row r="1364" spans="1:1" x14ac:dyDescent="0.2">
      <c r="A1364" s="10"/>
    </row>
    <row r="1365" spans="1:1" x14ac:dyDescent="0.2">
      <c r="A1365" s="10"/>
    </row>
    <row r="1366" spans="1:1" x14ac:dyDescent="0.2">
      <c r="A1366" s="10"/>
    </row>
    <row r="1367" spans="1:1" x14ac:dyDescent="0.2">
      <c r="A1367" s="10"/>
    </row>
    <row r="1368" spans="1:1" x14ac:dyDescent="0.2">
      <c r="A1368" s="10"/>
    </row>
    <row r="1369" spans="1:1" x14ac:dyDescent="0.2">
      <c r="A1369" s="10"/>
    </row>
    <row r="1370" spans="1:1" x14ac:dyDescent="0.2">
      <c r="A1370" s="10"/>
    </row>
    <row r="1371" spans="1:1" x14ac:dyDescent="0.2">
      <c r="A1371" s="10"/>
    </row>
    <row r="1372" spans="1:1" x14ac:dyDescent="0.2">
      <c r="A1372" s="10"/>
    </row>
    <row r="1373" spans="1:1" x14ac:dyDescent="0.2">
      <c r="A1373" s="10"/>
    </row>
    <row r="1374" spans="1:1" x14ac:dyDescent="0.2">
      <c r="A1374" s="10"/>
    </row>
    <row r="1375" spans="1:1" x14ac:dyDescent="0.2">
      <c r="A1375" s="10"/>
    </row>
    <row r="1376" spans="1:1" x14ac:dyDescent="0.2">
      <c r="A1376" s="10"/>
    </row>
    <row r="1377" spans="1:1" x14ac:dyDescent="0.2">
      <c r="A1377" s="10"/>
    </row>
    <row r="1378" spans="1:1" x14ac:dyDescent="0.2">
      <c r="A1378" s="10"/>
    </row>
    <row r="1379" spans="1:1" x14ac:dyDescent="0.2">
      <c r="A1379" s="10"/>
    </row>
    <row r="1380" spans="1:1" x14ac:dyDescent="0.2">
      <c r="A1380" s="10"/>
    </row>
    <row r="1381" spans="1:1" x14ac:dyDescent="0.2">
      <c r="A1381" s="10"/>
    </row>
    <row r="1382" spans="1:1" x14ac:dyDescent="0.2">
      <c r="A1382" s="10"/>
    </row>
    <row r="1383" spans="1:1" x14ac:dyDescent="0.2">
      <c r="A1383" s="10"/>
    </row>
    <row r="1384" spans="1:1" x14ac:dyDescent="0.2">
      <c r="A1384" s="10"/>
    </row>
    <row r="1385" spans="1:1" x14ac:dyDescent="0.2">
      <c r="A1385" s="10"/>
    </row>
    <row r="1386" spans="1:1" x14ac:dyDescent="0.2">
      <c r="A1386" s="10"/>
    </row>
    <row r="1387" spans="1:1" x14ac:dyDescent="0.2">
      <c r="A1387" s="10"/>
    </row>
    <row r="1388" spans="1:1" x14ac:dyDescent="0.2">
      <c r="A1388" s="10"/>
    </row>
    <row r="1389" spans="1:1" x14ac:dyDescent="0.2">
      <c r="A1389" s="10"/>
    </row>
    <row r="1390" spans="1:1" x14ac:dyDescent="0.2">
      <c r="A1390" s="10"/>
    </row>
    <row r="1391" spans="1:1" x14ac:dyDescent="0.2">
      <c r="A1391" s="10"/>
    </row>
    <row r="1392" spans="1:1" x14ac:dyDescent="0.2">
      <c r="A1392" s="10"/>
    </row>
    <row r="1393" spans="1:1" x14ac:dyDescent="0.2">
      <c r="A1393" s="10"/>
    </row>
    <row r="1394" spans="1:1" x14ac:dyDescent="0.2">
      <c r="A1394" s="10"/>
    </row>
    <row r="1395" spans="1:1" x14ac:dyDescent="0.2">
      <c r="A1395" s="10"/>
    </row>
    <row r="1396" spans="1:1" x14ac:dyDescent="0.2">
      <c r="A1396" s="10"/>
    </row>
    <row r="1397" spans="1:1" x14ac:dyDescent="0.2">
      <c r="A1397" s="10"/>
    </row>
    <row r="1398" spans="1:1" x14ac:dyDescent="0.2">
      <c r="A1398" s="10"/>
    </row>
    <row r="1399" spans="1:1" x14ac:dyDescent="0.2">
      <c r="A1399" s="10"/>
    </row>
    <row r="1400" spans="1:1" x14ac:dyDescent="0.2">
      <c r="A1400" s="10"/>
    </row>
    <row r="1401" spans="1:1" x14ac:dyDescent="0.2">
      <c r="A1401" s="10"/>
    </row>
    <row r="1402" spans="1:1" x14ac:dyDescent="0.2">
      <c r="A1402" s="10"/>
    </row>
    <row r="1403" spans="1:1" x14ac:dyDescent="0.2">
      <c r="A1403" s="10"/>
    </row>
    <row r="1404" spans="1:1" x14ac:dyDescent="0.2">
      <c r="A1404" s="10"/>
    </row>
    <row r="1405" spans="1:1" x14ac:dyDescent="0.2">
      <c r="A1405" s="10"/>
    </row>
    <row r="1406" spans="1:1" x14ac:dyDescent="0.2">
      <c r="A1406" s="10"/>
    </row>
    <row r="1407" spans="1:1" x14ac:dyDescent="0.2">
      <c r="A1407" s="10"/>
    </row>
    <row r="1408" spans="1:1" x14ac:dyDescent="0.2">
      <c r="A1408" s="10"/>
    </row>
    <row r="1409" spans="1:1" x14ac:dyDescent="0.2">
      <c r="A1409" s="10"/>
    </row>
    <row r="1410" spans="1:1" x14ac:dyDescent="0.2">
      <c r="A1410" s="10"/>
    </row>
    <row r="1411" spans="1:1" x14ac:dyDescent="0.2">
      <c r="A1411" s="10"/>
    </row>
    <row r="1412" spans="1:1" x14ac:dyDescent="0.2">
      <c r="A1412" s="10"/>
    </row>
    <row r="1413" spans="1:1" x14ac:dyDescent="0.2">
      <c r="A1413" s="10"/>
    </row>
    <row r="1414" spans="1:1" x14ac:dyDescent="0.2">
      <c r="A1414" s="10"/>
    </row>
    <row r="1415" spans="1:1" x14ac:dyDescent="0.2">
      <c r="A1415" s="10"/>
    </row>
    <row r="1416" spans="1:1" x14ac:dyDescent="0.2">
      <c r="A1416" s="10"/>
    </row>
    <row r="1417" spans="1:1" x14ac:dyDescent="0.2">
      <c r="A1417" s="10"/>
    </row>
    <row r="1418" spans="1:1" x14ac:dyDescent="0.2">
      <c r="A1418" s="10"/>
    </row>
    <row r="1419" spans="1:1" x14ac:dyDescent="0.2">
      <c r="A1419" s="10"/>
    </row>
    <row r="1420" spans="1:1" x14ac:dyDescent="0.2">
      <c r="A1420" s="10"/>
    </row>
    <row r="1421" spans="1:1" x14ac:dyDescent="0.2">
      <c r="A1421" s="10"/>
    </row>
    <row r="1422" spans="1:1" x14ac:dyDescent="0.2">
      <c r="A1422" s="10"/>
    </row>
    <row r="1423" spans="1:1" x14ac:dyDescent="0.2">
      <c r="A1423" s="10"/>
    </row>
    <row r="1424" spans="1:1" x14ac:dyDescent="0.2">
      <c r="A1424" s="10"/>
    </row>
    <row r="1425" spans="1:1" x14ac:dyDescent="0.2">
      <c r="A1425" s="10"/>
    </row>
    <row r="1426" spans="1:1" x14ac:dyDescent="0.2">
      <c r="A1426" s="10"/>
    </row>
    <row r="1427" spans="1:1" x14ac:dyDescent="0.2">
      <c r="A1427" s="10"/>
    </row>
    <row r="1428" spans="1:1" x14ac:dyDescent="0.2">
      <c r="A1428" s="10"/>
    </row>
    <row r="1429" spans="1:1" x14ac:dyDescent="0.2">
      <c r="A1429" s="10"/>
    </row>
    <row r="1430" spans="1:1" x14ac:dyDescent="0.2">
      <c r="A1430" s="10"/>
    </row>
    <row r="1431" spans="1:1" x14ac:dyDescent="0.2">
      <c r="A1431" s="10"/>
    </row>
    <row r="1432" spans="1:1" x14ac:dyDescent="0.2">
      <c r="A1432" s="10"/>
    </row>
    <row r="1433" spans="1:1" x14ac:dyDescent="0.2">
      <c r="A1433" s="10"/>
    </row>
    <row r="1434" spans="1:1" x14ac:dyDescent="0.2">
      <c r="A1434" s="10"/>
    </row>
    <row r="1435" spans="1:1" x14ac:dyDescent="0.2">
      <c r="A1435" s="10"/>
    </row>
    <row r="1436" spans="1:1" x14ac:dyDescent="0.2">
      <c r="A1436" s="10"/>
    </row>
    <row r="1437" spans="1:1" x14ac:dyDescent="0.2">
      <c r="A1437" s="10"/>
    </row>
    <row r="1438" spans="1:1" x14ac:dyDescent="0.2">
      <c r="A1438" s="10"/>
    </row>
    <row r="1439" spans="1:1" x14ac:dyDescent="0.2">
      <c r="A1439" s="10"/>
    </row>
    <row r="1440" spans="1:1" x14ac:dyDescent="0.2">
      <c r="A1440" s="10"/>
    </row>
    <row r="1441" spans="1:1" x14ac:dyDescent="0.2">
      <c r="A1441" s="10"/>
    </row>
    <row r="1442" spans="1:1" x14ac:dyDescent="0.2">
      <c r="A1442" s="10"/>
    </row>
    <row r="1443" spans="1:1" x14ac:dyDescent="0.2">
      <c r="A1443" s="10"/>
    </row>
    <row r="1444" spans="1:1" x14ac:dyDescent="0.2">
      <c r="A1444" s="10"/>
    </row>
    <row r="1445" spans="1:1" x14ac:dyDescent="0.2">
      <c r="A1445" s="10"/>
    </row>
    <row r="1446" spans="1:1" x14ac:dyDescent="0.2">
      <c r="A1446" s="10"/>
    </row>
    <row r="1447" spans="1:1" x14ac:dyDescent="0.2">
      <c r="A1447" s="10"/>
    </row>
    <row r="1448" spans="1:1" x14ac:dyDescent="0.2">
      <c r="A1448" s="10"/>
    </row>
    <row r="1449" spans="1:1" x14ac:dyDescent="0.2">
      <c r="A1449" s="10"/>
    </row>
    <row r="1450" spans="1:1" x14ac:dyDescent="0.2">
      <c r="A1450" s="10"/>
    </row>
    <row r="1451" spans="1:1" x14ac:dyDescent="0.2">
      <c r="A1451" s="10"/>
    </row>
    <row r="1452" spans="1:1" x14ac:dyDescent="0.2">
      <c r="A1452" s="10"/>
    </row>
    <row r="1453" spans="1:1" x14ac:dyDescent="0.2">
      <c r="A1453" s="10"/>
    </row>
    <row r="1454" spans="1:1" x14ac:dyDescent="0.2">
      <c r="A1454" s="10"/>
    </row>
    <row r="1455" spans="1:1" x14ac:dyDescent="0.2">
      <c r="A1455" s="10"/>
    </row>
    <row r="1456" spans="1:1" x14ac:dyDescent="0.2">
      <c r="A1456" s="10"/>
    </row>
    <row r="1457" spans="1:1" x14ac:dyDescent="0.2">
      <c r="A1457" s="10"/>
    </row>
    <row r="1458" spans="1:1" x14ac:dyDescent="0.2">
      <c r="A1458" s="10"/>
    </row>
    <row r="1459" spans="1:1" x14ac:dyDescent="0.2">
      <c r="A1459" s="10"/>
    </row>
    <row r="1460" spans="1:1" x14ac:dyDescent="0.2">
      <c r="A1460" s="10"/>
    </row>
    <row r="1461" spans="1:1" x14ac:dyDescent="0.2">
      <c r="A1461" s="10"/>
    </row>
    <row r="1462" spans="1:1" x14ac:dyDescent="0.2">
      <c r="A1462" s="10"/>
    </row>
    <row r="1463" spans="1:1" x14ac:dyDescent="0.2">
      <c r="A1463" s="10"/>
    </row>
    <row r="1464" spans="1:1" x14ac:dyDescent="0.2">
      <c r="A1464" s="10"/>
    </row>
    <row r="1465" spans="1:1" x14ac:dyDescent="0.2">
      <c r="A1465" s="10"/>
    </row>
    <row r="1466" spans="1:1" x14ac:dyDescent="0.2">
      <c r="A1466" s="10"/>
    </row>
    <row r="1467" spans="1:1" x14ac:dyDescent="0.2">
      <c r="A1467" s="10"/>
    </row>
    <row r="1468" spans="1:1" x14ac:dyDescent="0.2">
      <c r="A1468" s="10"/>
    </row>
    <row r="1469" spans="1:1" x14ac:dyDescent="0.2">
      <c r="A1469" s="10"/>
    </row>
    <row r="1470" spans="1:1" x14ac:dyDescent="0.2">
      <c r="A1470" s="10"/>
    </row>
    <row r="1471" spans="1:1" x14ac:dyDescent="0.2">
      <c r="A1471" s="10"/>
    </row>
    <row r="1472" spans="1:1" x14ac:dyDescent="0.2">
      <c r="A1472" s="10"/>
    </row>
    <row r="1473" spans="1:1" x14ac:dyDescent="0.2">
      <c r="A1473" s="10"/>
    </row>
    <row r="1474" spans="1:1" x14ac:dyDescent="0.2">
      <c r="A1474" s="10"/>
    </row>
    <row r="1475" spans="1:1" x14ac:dyDescent="0.2">
      <c r="A1475" s="10"/>
    </row>
    <row r="1476" spans="1:1" x14ac:dyDescent="0.2">
      <c r="A1476" s="10"/>
    </row>
    <row r="1477" spans="1:1" x14ac:dyDescent="0.2">
      <c r="A1477" s="10"/>
    </row>
    <row r="1478" spans="1:1" x14ac:dyDescent="0.2">
      <c r="A1478" s="10"/>
    </row>
    <row r="1479" spans="1:1" x14ac:dyDescent="0.2">
      <c r="A1479" s="10"/>
    </row>
    <row r="1480" spans="1:1" x14ac:dyDescent="0.2">
      <c r="A1480" s="10"/>
    </row>
    <row r="1481" spans="1:1" x14ac:dyDescent="0.2">
      <c r="A1481" s="10"/>
    </row>
    <row r="1482" spans="1:1" x14ac:dyDescent="0.2">
      <c r="A1482" s="10"/>
    </row>
    <row r="1483" spans="1:1" x14ac:dyDescent="0.2">
      <c r="A1483" s="10"/>
    </row>
    <row r="1484" spans="1:1" x14ac:dyDescent="0.2">
      <c r="A1484" s="10"/>
    </row>
    <row r="1485" spans="1:1" x14ac:dyDescent="0.2">
      <c r="A1485" s="10"/>
    </row>
    <row r="1486" spans="1:1" x14ac:dyDescent="0.2">
      <c r="A1486" s="10"/>
    </row>
    <row r="1487" spans="1:1" x14ac:dyDescent="0.2">
      <c r="A1487" s="10"/>
    </row>
    <row r="1488" spans="1:1" x14ac:dyDescent="0.2">
      <c r="A1488" s="10"/>
    </row>
    <row r="1489" spans="1:1" x14ac:dyDescent="0.2">
      <c r="A1489" s="10"/>
    </row>
    <row r="1490" spans="1:1" x14ac:dyDescent="0.2">
      <c r="A1490" s="10"/>
    </row>
    <row r="1491" spans="1:1" x14ac:dyDescent="0.2">
      <c r="A1491" s="10"/>
    </row>
    <row r="1492" spans="1:1" x14ac:dyDescent="0.2">
      <c r="A1492" s="10"/>
    </row>
    <row r="1493" spans="1:1" x14ac:dyDescent="0.2">
      <c r="A1493" s="10"/>
    </row>
    <row r="1494" spans="1:1" x14ac:dyDescent="0.2">
      <c r="A1494" s="10"/>
    </row>
    <row r="1495" spans="1:1" x14ac:dyDescent="0.2">
      <c r="A1495" s="10"/>
    </row>
    <row r="1496" spans="1:1" x14ac:dyDescent="0.2">
      <c r="A1496" s="10"/>
    </row>
    <row r="1497" spans="1:1" x14ac:dyDescent="0.2">
      <c r="A1497" s="10"/>
    </row>
    <row r="1498" spans="1:1" x14ac:dyDescent="0.2">
      <c r="A1498" s="10"/>
    </row>
    <row r="1499" spans="1:1" x14ac:dyDescent="0.2">
      <c r="A1499" s="10"/>
    </row>
    <row r="1500" spans="1:1" x14ac:dyDescent="0.2">
      <c r="A1500" s="10"/>
    </row>
    <row r="1501" spans="1:1" x14ac:dyDescent="0.2">
      <c r="A1501" s="10"/>
    </row>
    <row r="1502" spans="1:1" x14ac:dyDescent="0.2">
      <c r="A1502" s="10"/>
    </row>
    <row r="1503" spans="1:1" x14ac:dyDescent="0.2">
      <c r="A1503" s="10"/>
    </row>
    <row r="1504" spans="1:1" x14ac:dyDescent="0.2">
      <c r="A1504" s="10"/>
    </row>
    <row r="1505" spans="1:1" x14ac:dyDescent="0.2">
      <c r="A1505" s="10"/>
    </row>
    <row r="1506" spans="1:1" x14ac:dyDescent="0.2">
      <c r="A1506" s="10"/>
    </row>
    <row r="1507" spans="1:1" x14ac:dyDescent="0.2">
      <c r="A1507" s="10"/>
    </row>
    <row r="1508" spans="1:1" x14ac:dyDescent="0.2">
      <c r="A1508" s="10"/>
    </row>
    <row r="1509" spans="1:1" x14ac:dyDescent="0.2">
      <c r="A1509" s="10"/>
    </row>
    <row r="1510" spans="1:1" x14ac:dyDescent="0.2">
      <c r="A1510" s="10"/>
    </row>
    <row r="1511" spans="1:1" x14ac:dyDescent="0.2">
      <c r="A1511" s="10"/>
    </row>
    <row r="1512" spans="1:1" x14ac:dyDescent="0.2">
      <c r="A1512" s="10"/>
    </row>
    <row r="1513" spans="1:1" x14ac:dyDescent="0.2">
      <c r="A1513" s="10"/>
    </row>
    <row r="1514" spans="1:1" x14ac:dyDescent="0.2">
      <c r="A1514" s="10"/>
    </row>
    <row r="1515" spans="1:1" x14ac:dyDescent="0.2">
      <c r="A1515" s="10"/>
    </row>
    <row r="1516" spans="1:1" x14ac:dyDescent="0.2">
      <c r="A1516" s="10"/>
    </row>
    <row r="1517" spans="1:1" x14ac:dyDescent="0.2">
      <c r="A1517" s="10"/>
    </row>
    <row r="1518" spans="1:1" x14ac:dyDescent="0.2">
      <c r="A1518" s="10"/>
    </row>
    <row r="1519" spans="1:1" x14ac:dyDescent="0.2">
      <c r="A1519" s="10"/>
    </row>
    <row r="1520" spans="1:1" x14ac:dyDescent="0.2">
      <c r="A1520" s="10"/>
    </row>
    <row r="1521" spans="1:1" x14ac:dyDescent="0.2">
      <c r="A1521" s="10"/>
    </row>
    <row r="1522" spans="1:1" x14ac:dyDescent="0.2">
      <c r="A1522" s="10"/>
    </row>
    <row r="1523" spans="1:1" x14ac:dyDescent="0.2">
      <c r="A1523" s="10"/>
    </row>
    <row r="1524" spans="1:1" x14ac:dyDescent="0.2">
      <c r="A1524" s="10"/>
    </row>
    <row r="1525" spans="1:1" x14ac:dyDescent="0.2">
      <c r="A1525" s="10"/>
    </row>
    <row r="1526" spans="1:1" x14ac:dyDescent="0.2">
      <c r="A1526" s="10"/>
    </row>
    <row r="1527" spans="1:1" x14ac:dyDescent="0.2">
      <c r="A1527" s="10"/>
    </row>
    <row r="1528" spans="1:1" x14ac:dyDescent="0.2">
      <c r="A1528" s="10"/>
    </row>
    <row r="1529" spans="1:1" x14ac:dyDescent="0.2">
      <c r="A1529" s="10"/>
    </row>
    <row r="1530" spans="1:1" x14ac:dyDescent="0.2">
      <c r="A1530" s="10"/>
    </row>
    <row r="1531" spans="1:1" x14ac:dyDescent="0.2">
      <c r="A1531" s="10"/>
    </row>
    <row r="1532" spans="1:1" x14ac:dyDescent="0.2">
      <c r="A1532" s="10"/>
    </row>
    <row r="1533" spans="1:1" x14ac:dyDescent="0.2">
      <c r="A1533" s="10"/>
    </row>
    <row r="1534" spans="1:1" x14ac:dyDescent="0.2">
      <c r="A1534" s="10"/>
    </row>
    <row r="1535" spans="1:1" x14ac:dyDescent="0.2">
      <c r="A1535" s="10"/>
    </row>
    <row r="1536" spans="1:1" x14ac:dyDescent="0.2">
      <c r="A1536" s="10"/>
    </row>
    <row r="1537" spans="1:1" x14ac:dyDescent="0.2">
      <c r="A1537" s="10"/>
    </row>
    <row r="1538" spans="1:1" x14ac:dyDescent="0.2">
      <c r="A1538" s="10"/>
    </row>
    <row r="1539" spans="1:1" x14ac:dyDescent="0.2">
      <c r="A1539" s="10"/>
    </row>
    <row r="1540" spans="1:1" x14ac:dyDescent="0.2">
      <c r="A1540" s="10"/>
    </row>
    <row r="1541" spans="1:1" x14ac:dyDescent="0.2">
      <c r="A1541" s="10"/>
    </row>
    <row r="1542" spans="1:1" x14ac:dyDescent="0.2">
      <c r="A1542" s="10"/>
    </row>
    <row r="1543" spans="1:1" x14ac:dyDescent="0.2">
      <c r="A1543" s="10"/>
    </row>
    <row r="1544" spans="1:1" x14ac:dyDescent="0.2">
      <c r="A1544" s="10"/>
    </row>
    <row r="1545" spans="1:1" x14ac:dyDescent="0.2">
      <c r="A1545" s="10"/>
    </row>
    <row r="1546" spans="1:1" x14ac:dyDescent="0.2">
      <c r="A1546" s="10"/>
    </row>
    <row r="1547" spans="1:1" x14ac:dyDescent="0.2">
      <c r="A1547" s="10"/>
    </row>
    <row r="1548" spans="1:1" x14ac:dyDescent="0.2">
      <c r="A1548" s="10"/>
    </row>
    <row r="1549" spans="1:1" x14ac:dyDescent="0.2">
      <c r="A1549" s="10"/>
    </row>
    <row r="1550" spans="1:1" x14ac:dyDescent="0.2">
      <c r="A1550" s="10"/>
    </row>
    <row r="1551" spans="1:1" x14ac:dyDescent="0.2">
      <c r="A1551" s="10"/>
    </row>
    <row r="1552" spans="1:1" x14ac:dyDescent="0.2">
      <c r="A1552" s="10"/>
    </row>
    <row r="1553" spans="1:1" x14ac:dyDescent="0.2">
      <c r="A1553" s="10"/>
    </row>
    <row r="1554" spans="1:1" x14ac:dyDescent="0.2">
      <c r="A1554" s="10"/>
    </row>
    <row r="1555" spans="1:1" x14ac:dyDescent="0.2">
      <c r="A1555" s="10"/>
    </row>
    <row r="1556" spans="1:1" x14ac:dyDescent="0.2">
      <c r="A1556" s="10"/>
    </row>
    <row r="1557" spans="1:1" x14ac:dyDescent="0.2">
      <c r="A1557" s="10"/>
    </row>
    <row r="1558" spans="1:1" x14ac:dyDescent="0.2">
      <c r="A1558" s="10"/>
    </row>
    <row r="1559" spans="1:1" x14ac:dyDescent="0.2">
      <c r="A1559" s="10"/>
    </row>
    <row r="1560" spans="1:1" x14ac:dyDescent="0.2">
      <c r="A1560" s="10"/>
    </row>
    <row r="1561" spans="1:1" x14ac:dyDescent="0.2">
      <c r="A1561" s="10"/>
    </row>
    <row r="1562" spans="1:1" x14ac:dyDescent="0.2">
      <c r="A1562" s="10"/>
    </row>
    <row r="1563" spans="1:1" x14ac:dyDescent="0.2">
      <c r="A1563" s="10"/>
    </row>
    <row r="1564" spans="1:1" x14ac:dyDescent="0.2">
      <c r="A1564" s="10"/>
    </row>
    <row r="1565" spans="1:1" x14ac:dyDescent="0.2">
      <c r="A1565" s="10"/>
    </row>
    <row r="1566" spans="1:1" x14ac:dyDescent="0.2">
      <c r="A1566" s="10"/>
    </row>
    <row r="1567" spans="1:1" x14ac:dyDescent="0.2">
      <c r="A1567" s="10"/>
    </row>
    <row r="1568" spans="1:1" x14ac:dyDescent="0.2">
      <c r="A1568" s="10"/>
    </row>
    <row r="1569" spans="1:1" x14ac:dyDescent="0.2">
      <c r="A1569" s="10"/>
    </row>
    <row r="1570" spans="1:1" x14ac:dyDescent="0.2">
      <c r="A1570" s="10"/>
    </row>
    <row r="1571" spans="1:1" x14ac:dyDescent="0.2">
      <c r="A1571" s="10"/>
    </row>
    <row r="1572" spans="1:1" x14ac:dyDescent="0.2">
      <c r="A1572" s="10"/>
    </row>
    <row r="1573" spans="1:1" x14ac:dyDescent="0.2">
      <c r="A1573" s="10"/>
    </row>
    <row r="1574" spans="1:1" x14ac:dyDescent="0.2">
      <c r="A1574" s="10"/>
    </row>
    <row r="1575" spans="1:1" x14ac:dyDescent="0.2">
      <c r="A1575" s="10"/>
    </row>
    <row r="1576" spans="1:1" x14ac:dyDescent="0.2">
      <c r="A1576" s="10"/>
    </row>
    <row r="1577" spans="1:1" x14ac:dyDescent="0.2">
      <c r="A1577" s="10"/>
    </row>
    <row r="1578" spans="1:1" x14ac:dyDescent="0.2">
      <c r="A1578" s="10"/>
    </row>
    <row r="1579" spans="1:1" x14ac:dyDescent="0.2">
      <c r="A1579" s="10"/>
    </row>
    <row r="1580" spans="1:1" x14ac:dyDescent="0.2">
      <c r="A1580" s="10"/>
    </row>
    <row r="1581" spans="1:1" x14ac:dyDescent="0.2">
      <c r="A1581" s="10"/>
    </row>
    <row r="1582" spans="1:1" x14ac:dyDescent="0.2">
      <c r="A1582" s="10"/>
    </row>
    <row r="1583" spans="1:1" x14ac:dyDescent="0.2">
      <c r="A1583" s="10"/>
    </row>
    <row r="1584" spans="1:1" x14ac:dyDescent="0.2">
      <c r="A1584" s="10"/>
    </row>
    <row r="1585" spans="1:1" x14ac:dyDescent="0.2">
      <c r="A1585" s="10"/>
    </row>
    <row r="1586" spans="1:1" x14ac:dyDescent="0.2">
      <c r="A1586" s="10"/>
    </row>
    <row r="1587" spans="1:1" x14ac:dyDescent="0.2">
      <c r="A1587" s="10"/>
    </row>
    <row r="1588" spans="1:1" x14ac:dyDescent="0.2">
      <c r="A1588" s="10"/>
    </row>
    <row r="1589" spans="1:1" x14ac:dyDescent="0.2">
      <c r="A1589" s="10"/>
    </row>
    <row r="1590" spans="1:1" x14ac:dyDescent="0.2">
      <c r="A1590" s="10"/>
    </row>
    <row r="1591" spans="1:1" x14ac:dyDescent="0.2">
      <c r="A1591" s="10"/>
    </row>
    <row r="1592" spans="1:1" x14ac:dyDescent="0.2">
      <c r="A1592" s="10"/>
    </row>
    <row r="1593" spans="1:1" x14ac:dyDescent="0.2">
      <c r="A1593" s="10"/>
    </row>
    <row r="1594" spans="1:1" x14ac:dyDescent="0.2">
      <c r="A1594" s="10"/>
    </row>
    <row r="1595" spans="1:1" x14ac:dyDescent="0.2">
      <c r="A1595" s="10"/>
    </row>
    <row r="1596" spans="1:1" x14ac:dyDescent="0.2">
      <c r="A1596" s="10"/>
    </row>
    <row r="1597" spans="1:1" x14ac:dyDescent="0.2">
      <c r="A1597" s="10"/>
    </row>
    <row r="1598" spans="1:1" x14ac:dyDescent="0.2">
      <c r="A1598" s="10"/>
    </row>
    <row r="1599" spans="1:1" x14ac:dyDescent="0.2">
      <c r="A1599" s="10"/>
    </row>
    <row r="1600" spans="1:1" x14ac:dyDescent="0.2">
      <c r="A1600" s="10"/>
    </row>
    <row r="1601" spans="1:1" x14ac:dyDescent="0.2">
      <c r="A1601" s="10"/>
    </row>
    <row r="1602" spans="1:1" x14ac:dyDescent="0.2">
      <c r="A1602" s="10"/>
    </row>
    <row r="1603" spans="1:1" x14ac:dyDescent="0.2">
      <c r="A1603" s="10"/>
    </row>
    <row r="1604" spans="1:1" x14ac:dyDescent="0.2">
      <c r="A1604" s="10"/>
    </row>
    <row r="1605" spans="1:1" x14ac:dyDescent="0.2">
      <c r="A1605" s="10"/>
    </row>
    <row r="1606" spans="1:1" x14ac:dyDescent="0.2">
      <c r="A1606" s="10"/>
    </row>
    <row r="1607" spans="1:1" x14ac:dyDescent="0.2">
      <c r="A1607" s="10"/>
    </row>
    <row r="1608" spans="1:1" x14ac:dyDescent="0.2">
      <c r="A1608" s="10"/>
    </row>
    <row r="1609" spans="1:1" x14ac:dyDescent="0.2">
      <c r="A1609" s="10"/>
    </row>
    <row r="1610" spans="1:1" x14ac:dyDescent="0.2">
      <c r="A1610" s="10"/>
    </row>
    <row r="1611" spans="1:1" x14ac:dyDescent="0.2">
      <c r="A1611" s="10"/>
    </row>
    <row r="1612" spans="1:1" x14ac:dyDescent="0.2">
      <c r="A1612" s="10"/>
    </row>
    <row r="1613" spans="1:1" x14ac:dyDescent="0.2">
      <c r="A1613" s="10"/>
    </row>
    <row r="1614" spans="1:1" x14ac:dyDescent="0.2">
      <c r="A1614" s="10"/>
    </row>
    <row r="1615" spans="1:1" x14ac:dyDescent="0.2">
      <c r="A1615" s="10"/>
    </row>
    <row r="1616" spans="1:1" x14ac:dyDescent="0.2">
      <c r="A1616" s="10"/>
    </row>
    <row r="1617" spans="1:1" x14ac:dyDescent="0.2">
      <c r="A1617" s="10"/>
    </row>
    <row r="1618" spans="1:1" x14ac:dyDescent="0.2">
      <c r="A1618" s="10"/>
    </row>
    <row r="1619" spans="1:1" x14ac:dyDescent="0.2">
      <c r="A1619" s="10"/>
    </row>
    <row r="1620" spans="1:1" x14ac:dyDescent="0.2">
      <c r="A1620" s="10"/>
    </row>
    <row r="1621" spans="1:1" x14ac:dyDescent="0.2">
      <c r="A1621" s="10"/>
    </row>
    <row r="1622" spans="1:1" x14ac:dyDescent="0.2">
      <c r="A1622" s="10"/>
    </row>
    <row r="1623" spans="1:1" x14ac:dyDescent="0.2">
      <c r="A1623" s="10"/>
    </row>
    <row r="1624" spans="1:1" x14ac:dyDescent="0.2">
      <c r="A1624" s="10"/>
    </row>
    <row r="1625" spans="1:1" x14ac:dyDescent="0.2">
      <c r="A1625" s="10"/>
    </row>
    <row r="1626" spans="1:1" x14ac:dyDescent="0.2">
      <c r="A1626" s="10"/>
    </row>
    <row r="1627" spans="1:1" x14ac:dyDescent="0.2">
      <c r="A1627" s="10"/>
    </row>
    <row r="1628" spans="1:1" x14ac:dyDescent="0.2">
      <c r="A1628" s="10"/>
    </row>
    <row r="1629" spans="1:1" x14ac:dyDescent="0.2">
      <c r="A1629" s="10"/>
    </row>
    <row r="1630" spans="1:1" x14ac:dyDescent="0.2">
      <c r="A1630" s="10"/>
    </row>
    <row r="1631" spans="1:1" x14ac:dyDescent="0.2">
      <c r="A1631" s="10"/>
    </row>
    <row r="1632" spans="1:1" x14ac:dyDescent="0.2">
      <c r="A1632" s="10"/>
    </row>
    <row r="1633" spans="1:1" x14ac:dyDescent="0.2">
      <c r="A1633" s="10"/>
    </row>
    <row r="1634" spans="1:1" x14ac:dyDescent="0.2">
      <c r="A1634" s="10"/>
    </row>
    <row r="1635" spans="1:1" x14ac:dyDescent="0.2">
      <c r="A1635" s="10"/>
    </row>
    <row r="1636" spans="1:1" x14ac:dyDescent="0.2">
      <c r="A1636" s="10"/>
    </row>
    <row r="1637" spans="1:1" x14ac:dyDescent="0.2">
      <c r="A1637" s="10"/>
    </row>
    <row r="1638" spans="1:1" x14ac:dyDescent="0.2">
      <c r="A1638" s="10"/>
    </row>
    <row r="1639" spans="1:1" x14ac:dyDescent="0.2">
      <c r="A1639" s="10"/>
    </row>
    <row r="1640" spans="1:1" x14ac:dyDescent="0.2">
      <c r="A1640" s="10"/>
    </row>
    <row r="1641" spans="1:1" x14ac:dyDescent="0.2">
      <c r="A1641" s="10"/>
    </row>
    <row r="1642" spans="1:1" x14ac:dyDescent="0.2">
      <c r="A1642" s="10"/>
    </row>
    <row r="1643" spans="1:1" x14ac:dyDescent="0.2">
      <c r="A1643" s="10"/>
    </row>
    <row r="1644" spans="1:1" x14ac:dyDescent="0.2">
      <c r="A1644" s="10"/>
    </row>
    <row r="1645" spans="1:1" x14ac:dyDescent="0.2">
      <c r="A1645" s="10"/>
    </row>
    <row r="1646" spans="1:1" x14ac:dyDescent="0.2">
      <c r="A1646" s="10"/>
    </row>
    <row r="1647" spans="1:1" x14ac:dyDescent="0.2">
      <c r="A1647" s="10"/>
    </row>
    <row r="1648" spans="1:1" x14ac:dyDescent="0.2">
      <c r="A1648" s="10"/>
    </row>
    <row r="1649" spans="1:1" x14ac:dyDescent="0.2">
      <c r="A1649" s="10"/>
    </row>
    <row r="1650" spans="1:1" x14ac:dyDescent="0.2">
      <c r="A1650" s="10"/>
    </row>
    <row r="1651" spans="1:1" x14ac:dyDescent="0.2">
      <c r="A1651" s="10"/>
    </row>
    <row r="1652" spans="1:1" x14ac:dyDescent="0.2">
      <c r="A1652" s="10"/>
    </row>
    <row r="1653" spans="1:1" x14ac:dyDescent="0.2">
      <c r="A1653" s="10"/>
    </row>
    <row r="1654" spans="1:1" x14ac:dyDescent="0.2">
      <c r="A1654" s="10"/>
    </row>
    <row r="1655" spans="1:1" x14ac:dyDescent="0.2">
      <c r="A1655" s="10"/>
    </row>
    <row r="1656" spans="1:1" x14ac:dyDescent="0.2">
      <c r="A1656" s="10"/>
    </row>
    <row r="1657" spans="1:1" x14ac:dyDescent="0.2">
      <c r="A1657" s="10"/>
    </row>
    <row r="1658" spans="1:1" x14ac:dyDescent="0.2">
      <c r="A1658" s="10"/>
    </row>
    <row r="1659" spans="1:1" x14ac:dyDescent="0.2">
      <c r="A1659" s="10"/>
    </row>
    <row r="1660" spans="1:1" x14ac:dyDescent="0.2">
      <c r="A1660" s="10"/>
    </row>
    <row r="1661" spans="1:1" x14ac:dyDescent="0.2">
      <c r="A1661" s="10"/>
    </row>
    <row r="1662" spans="1:1" x14ac:dyDescent="0.2">
      <c r="A1662" s="10"/>
    </row>
    <row r="1663" spans="1:1" x14ac:dyDescent="0.2">
      <c r="A1663" s="10"/>
    </row>
    <row r="1664" spans="1:1" x14ac:dyDescent="0.2">
      <c r="A1664" s="10"/>
    </row>
    <row r="1665" spans="1:1" x14ac:dyDescent="0.2">
      <c r="A1665" s="10"/>
    </row>
    <row r="1666" spans="1:1" x14ac:dyDescent="0.2">
      <c r="A1666" s="10"/>
    </row>
    <row r="1667" spans="1:1" x14ac:dyDescent="0.2">
      <c r="A1667" s="10"/>
    </row>
    <row r="1668" spans="1:1" x14ac:dyDescent="0.2">
      <c r="A1668" s="10"/>
    </row>
    <row r="1669" spans="1:1" x14ac:dyDescent="0.2">
      <c r="A1669" s="10"/>
    </row>
    <row r="1670" spans="1:1" x14ac:dyDescent="0.2">
      <c r="A1670" s="10"/>
    </row>
    <row r="1671" spans="1:1" x14ac:dyDescent="0.2">
      <c r="A1671" s="10"/>
    </row>
    <row r="1672" spans="1:1" x14ac:dyDescent="0.2">
      <c r="A1672" s="10"/>
    </row>
    <row r="1673" spans="1:1" x14ac:dyDescent="0.2">
      <c r="A1673" s="10"/>
    </row>
    <row r="1674" spans="1:1" x14ac:dyDescent="0.2">
      <c r="A1674" s="10"/>
    </row>
    <row r="1675" spans="1:1" x14ac:dyDescent="0.2">
      <c r="A1675" s="10"/>
    </row>
    <row r="1676" spans="1:1" x14ac:dyDescent="0.2">
      <c r="A1676" s="10"/>
    </row>
    <row r="1677" spans="1:1" x14ac:dyDescent="0.2">
      <c r="A1677" s="10"/>
    </row>
    <row r="1678" spans="1:1" x14ac:dyDescent="0.2">
      <c r="A1678" s="10"/>
    </row>
    <row r="1679" spans="1:1" x14ac:dyDescent="0.2">
      <c r="A1679" s="10"/>
    </row>
    <row r="1680" spans="1:1" x14ac:dyDescent="0.2">
      <c r="A1680" s="10"/>
    </row>
    <row r="1681" spans="1:1" x14ac:dyDescent="0.2">
      <c r="A1681" s="10"/>
    </row>
    <row r="1682" spans="1:1" x14ac:dyDescent="0.2">
      <c r="A1682" s="10"/>
    </row>
    <row r="1683" spans="1:1" x14ac:dyDescent="0.2">
      <c r="A1683" s="10"/>
    </row>
    <row r="1684" spans="1:1" x14ac:dyDescent="0.2">
      <c r="A1684" s="10"/>
    </row>
    <row r="1685" spans="1:1" x14ac:dyDescent="0.2">
      <c r="A1685" s="10"/>
    </row>
    <row r="1686" spans="1:1" x14ac:dyDescent="0.2">
      <c r="A1686" s="10"/>
    </row>
    <row r="1687" spans="1:1" x14ac:dyDescent="0.2">
      <c r="A1687" s="10"/>
    </row>
    <row r="1688" spans="1:1" x14ac:dyDescent="0.2">
      <c r="A1688" s="10"/>
    </row>
    <row r="1689" spans="1:1" x14ac:dyDescent="0.2">
      <c r="A1689" s="10"/>
    </row>
    <row r="1690" spans="1:1" x14ac:dyDescent="0.2">
      <c r="A1690" s="10"/>
    </row>
    <row r="1691" spans="1:1" x14ac:dyDescent="0.2">
      <c r="A1691" s="10"/>
    </row>
    <row r="1692" spans="1:1" x14ac:dyDescent="0.2">
      <c r="A1692" s="10"/>
    </row>
    <row r="1693" spans="1:1" x14ac:dyDescent="0.2">
      <c r="A1693" s="10"/>
    </row>
    <row r="1694" spans="1:1" x14ac:dyDescent="0.2">
      <c r="A1694" s="10"/>
    </row>
    <row r="1695" spans="1:1" x14ac:dyDescent="0.2">
      <c r="A1695" s="10"/>
    </row>
    <row r="1696" spans="1:1" x14ac:dyDescent="0.2">
      <c r="A1696" s="10"/>
    </row>
    <row r="1697" spans="1:1" x14ac:dyDescent="0.2">
      <c r="A1697" s="10"/>
    </row>
    <row r="1698" spans="1:1" x14ac:dyDescent="0.2">
      <c r="A1698" s="10"/>
    </row>
    <row r="1699" spans="1:1" x14ac:dyDescent="0.2">
      <c r="A1699" s="10"/>
    </row>
    <row r="1700" spans="1:1" x14ac:dyDescent="0.2">
      <c r="A1700" s="10"/>
    </row>
    <row r="1701" spans="1:1" x14ac:dyDescent="0.2">
      <c r="A1701" s="10"/>
    </row>
    <row r="1702" spans="1:1" x14ac:dyDescent="0.2">
      <c r="A1702" s="10"/>
    </row>
    <row r="1703" spans="1:1" x14ac:dyDescent="0.2">
      <c r="A1703" s="10"/>
    </row>
    <row r="1704" spans="1:1" x14ac:dyDescent="0.2">
      <c r="A1704" s="10"/>
    </row>
    <row r="1705" spans="1:1" x14ac:dyDescent="0.2">
      <c r="A1705" s="10"/>
    </row>
    <row r="1706" spans="1:1" x14ac:dyDescent="0.2">
      <c r="A1706" s="10"/>
    </row>
    <row r="1707" spans="1:1" x14ac:dyDescent="0.2">
      <c r="A1707" s="10"/>
    </row>
    <row r="1708" spans="1:1" x14ac:dyDescent="0.2">
      <c r="A1708" s="10"/>
    </row>
    <row r="1709" spans="1:1" x14ac:dyDescent="0.2">
      <c r="A1709" s="10"/>
    </row>
    <row r="1710" spans="1:1" x14ac:dyDescent="0.2">
      <c r="A1710" s="10"/>
    </row>
    <row r="1711" spans="1:1" x14ac:dyDescent="0.2">
      <c r="A1711" s="10"/>
    </row>
    <row r="1712" spans="1:1" x14ac:dyDescent="0.2">
      <c r="A1712" s="10"/>
    </row>
    <row r="1713" spans="1:1" x14ac:dyDescent="0.2">
      <c r="A1713" s="10"/>
    </row>
    <row r="1714" spans="1:1" x14ac:dyDescent="0.2">
      <c r="A1714" s="10"/>
    </row>
    <row r="1715" spans="1:1" x14ac:dyDescent="0.2">
      <c r="A1715" s="10"/>
    </row>
    <row r="1716" spans="1:1" x14ac:dyDescent="0.2">
      <c r="A1716" s="10"/>
    </row>
    <row r="1717" spans="1:1" x14ac:dyDescent="0.2">
      <c r="A1717" s="10"/>
    </row>
    <row r="1718" spans="1:1" x14ac:dyDescent="0.2">
      <c r="A1718" s="10"/>
    </row>
    <row r="1719" spans="1:1" x14ac:dyDescent="0.2">
      <c r="A1719" s="10"/>
    </row>
    <row r="1720" spans="1:1" x14ac:dyDescent="0.2">
      <c r="A1720" s="10"/>
    </row>
    <row r="1721" spans="1:1" x14ac:dyDescent="0.2">
      <c r="A1721" s="10"/>
    </row>
    <row r="1722" spans="1:1" x14ac:dyDescent="0.2">
      <c r="A1722" s="10"/>
    </row>
    <row r="1723" spans="1:1" x14ac:dyDescent="0.2">
      <c r="A1723" s="10"/>
    </row>
    <row r="1724" spans="1:1" x14ac:dyDescent="0.2">
      <c r="A1724" s="10"/>
    </row>
    <row r="1725" spans="1:1" x14ac:dyDescent="0.2">
      <c r="A1725" s="10"/>
    </row>
    <row r="1726" spans="1:1" x14ac:dyDescent="0.2">
      <c r="A1726" s="10"/>
    </row>
    <row r="1727" spans="1:1" x14ac:dyDescent="0.2">
      <c r="A1727" s="10"/>
    </row>
    <row r="1728" spans="1:1" x14ac:dyDescent="0.2">
      <c r="A1728" s="10"/>
    </row>
    <row r="1729" spans="1:1" x14ac:dyDescent="0.2">
      <c r="A1729" s="10"/>
    </row>
    <row r="1730" spans="1:1" x14ac:dyDescent="0.2">
      <c r="A1730" s="10"/>
    </row>
    <row r="1731" spans="1:1" x14ac:dyDescent="0.2">
      <c r="A1731" s="10"/>
    </row>
    <row r="1732" spans="1:1" x14ac:dyDescent="0.2">
      <c r="A1732" s="10"/>
    </row>
    <row r="1733" spans="1:1" x14ac:dyDescent="0.2">
      <c r="A1733" s="10"/>
    </row>
    <row r="1734" spans="1:1" x14ac:dyDescent="0.2">
      <c r="A1734" s="10"/>
    </row>
    <row r="1735" spans="1:1" x14ac:dyDescent="0.2">
      <c r="A1735" s="10"/>
    </row>
    <row r="1736" spans="1:1" x14ac:dyDescent="0.2">
      <c r="A1736" s="10"/>
    </row>
    <row r="1737" spans="1:1" x14ac:dyDescent="0.2">
      <c r="A1737" s="10"/>
    </row>
    <row r="1738" spans="1:1" x14ac:dyDescent="0.2">
      <c r="A1738" s="10"/>
    </row>
    <row r="1739" spans="1:1" x14ac:dyDescent="0.2">
      <c r="A1739" s="10"/>
    </row>
    <row r="1740" spans="1:1" x14ac:dyDescent="0.2">
      <c r="A1740" s="10"/>
    </row>
    <row r="1741" spans="1:1" x14ac:dyDescent="0.2">
      <c r="A1741" s="10"/>
    </row>
    <row r="1742" spans="1:1" x14ac:dyDescent="0.2">
      <c r="A1742" s="10"/>
    </row>
    <row r="1743" spans="1:1" x14ac:dyDescent="0.2">
      <c r="A1743" s="10"/>
    </row>
    <row r="1744" spans="1:1" x14ac:dyDescent="0.2">
      <c r="A1744" s="10"/>
    </row>
    <row r="1745" spans="1:1" x14ac:dyDescent="0.2">
      <c r="A1745" s="10"/>
    </row>
    <row r="1746" spans="1:1" x14ac:dyDescent="0.2">
      <c r="A1746" s="10"/>
    </row>
    <row r="1747" spans="1:1" x14ac:dyDescent="0.2">
      <c r="A1747" s="10"/>
    </row>
    <row r="1748" spans="1:1" x14ac:dyDescent="0.2">
      <c r="A1748" s="10"/>
    </row>
    <row r="1749" spans="1:1" x14ac:dyDescent="0.2">
      <c r="A1749" s="10"/>
    </row>
    <row r="1750" spans="1:1" x14ac:dyDescent="0.2">
      <c r="A1750" s="10"/>
    </row>
    <row r="1751" spans="1:1" x14ac:dyDescent="0.2">
      <c r="A1751" s="10"/>
    </row>
    <row r="1752" spans="1:1" x14ac:dyDescent="0.2">
      <c r="A1752" s="10"/>
    </row>
    <row r="1753" spans="1:1" x14ac:dyDescent="0.2">
      <c r="A1753" s="10"/>
    </row>
    <row r="1754" spans="1:1" x14ac:dyDescent="0.2">
      <c r="A1754" s="10"/>
    </row>
    <row r="1755" spans="1:1" x14ac:dyDescent="0.2">
      <c r="A1755" s="10"/>
    </row>
    <row r="1756" spans="1:1" x14ac:dyDescent="0.2">
      <c r="A1756" s="10"/>
    </row>
    <row r="1757" spans="1:1" x14ac:dyDescent="0.2">
      <c r="A1757" s="10"/>
    </row>
    <row r="1758" spans="1:1" x14ac:dyDescent="0.2">
      <c r="A1758" s="10"/>
    </row>
    <row r="1759" spans="1:1" x14ac:dyDescent="0.2">
      <c r="A1759" s="10"/>
    </row>
    <row r="1760" spans="1:1" x14ac:dyDescent="0.2">
      <c r="A1760" s="10"/>
    </row>
    <row r="1761" spans="1:1" x14ac:dyDescent="0.2">
      <c r="A1761" s="10"/>
    </row>
    <row r="1762" spans="1:1" x14ac:dyDescent="0.2">
      <c r="A1762" s="10"/>
    </row>
    <row r="1763" spans="1:1" x14ac:dyDescent="0.2">
      <c r="A1763" s="10"/>
    </row>
    <row r="1764" spans="1:1" x14ac:dyDescent="0.2">
      <c r="A1764" s="10"/>
    </row>
    <row r="1765" spans="1:1" x14ac:dyDescent="0.2">
      <c r="A1765" s="10"/>
    </row>
    <row r="1766" spans="1:1" x14ac:dyDescent="0.2">
      <c r="A1766" s="10"/>
    </row>
    <row r="1767" spans="1:1" x14ac:dyDescent="0.2">
      <c r="A1767" s="10"/>
    </row>
    <row r="1768" spans="1:1" x14ac:dyDescent="0.2">
      <c r="A1768" s="10"/>
    </row>
    <row r="1769" spans="1:1" x14ac:dyDescent="0.2">
      <c r="A1769" s="10"/>
    </row>
    <row r="1770" spans="1:1" x14ac:dyDescent="0.2">
      <c r="A1770" s="10"/>
    </row>
    <row r="1771" spans="1:1" x14ac:dyDescent="0.2">
      <c r="A1771" s="10"/>
    </row>
    <row r="1772" spans="1:1" x14ac:dyDescent="0.2">
      <c r="A1772" s="10"/>
    </row>
    <row r="1773" spans="1:1" x14ac:dyDescent="0.2">
      <c r="A1773" s="10"/>
    </row>
    <row r="1774" spans="1:1" x14ac:dyDescent="0.2">
      <c r="A1774" s="10"/>
    </row>
    <row r="1775" spans="1:1" x14ac:dyDescent="0.2">
      <c r="A1775" s="10"/>
    </row>
    <row r="1776" spans="1:1" x14ac:dyDescent="0.2">
      <c r="A1776" s="10"/>
    </row>
    <row r="1777" spans="1:1" x14ac:dyDescent="0.2">
      <c r="A1777" s="10"/>
    </row>
    <row r="1778" spans="1:1" x14ac:dyDescent="0.2">
      <c r="A1778" s="10"/>
    </row>
    <row r="1779" spans="1:1" x14ac:dyDescent="0.2">
      <c r="A1779" s="10"/>
    </row>
    <row r="1780" spans="1:1" x14ac:dyDescent="0.2">
      <c r="A1780" s="10"/>
    </row>
    <row r="1781" spans="1:1" x14ac:dyDescent="0.2">
      <c r="A1781" s="10"/>
    </row>
    <row r="1782" spans="1:1" x14ac:dyDescent="0.2">
      <c r="A1782" s="10"/>
    </row>
    <row r="1783" spans="1:1" x14ac:dyDescent="0.2">
      <c r="A1783" s="10"/>
    </row>
    <row r="1784" spans="1:1" x14ac:dyDescent="0.2">
      <c r="A1784" s="10"/>
    </row>
    <row r="1785" spans="1:1" x14ac:dyDescent="0.2">
      <c r="A1785" s="10"/>
    </row>
    <row r="1786" spans="1:1" x14ac:dyDescent="0.2">
      <c r="A1786" s="10"/>
    </row>
    <row r="1787" spans="1:1" x14ac:dyDescent="0.2">
      <c r="A1787" s="10"/>
    </row>
    <row r="1788" spans="1:1" x14ac:dyDescent="0.2">
      <c r="A1788" s="10"/>
    </row>
    <row r="1789" spans="1:1" x14ac:dyDescent="0.2">
      <c r="A1789" s="10"/>
    </row>
    <row r="1790" spans="1:1" x14ac:dyDescent="0.2">
      <c r="A1790" s="10"/>
    </row>
    <row r="1791" spans="1:1" x14ac:dyDescent="0.2">
      <c r="A1791" s="10"/>
    </row>
    <row r="1792" spans="1:1" x14ac:dyDescent="0.2">
      <c r="A1792" s="10"/>
    </row>
    <row r="1793" spans="1:1" x14ac:dyDescent="0.2">
      <c r="A1793" s="10"/>
    </row>
    <row r="1794" spans="1:1" x14ac:dyDescent="0.2">
      <c r="A1794" s="10"/>
    </row>
    <row r="1795" spans="1:1" x14ac:dyDescent="0.2">
      <c r="A1795" s="10"/>
    </row>
    <row r="1796" spans="1:1" x14ac:dyDescent="0.2">
      <c r="A1796" s="10"/>
    </row>
    <row r="1797" spans="1:1" x14ac:dyDescent="0.2">
      <c r="A1797" s="10"/>
    </row>
    <row r="1798" spans="1:1" x14ac:dyDescent="0.2">
      <c r="A1798" s="10"/>
    </row>
    <row r="1799" spans="1:1" x14ac:dyDescent="0.2">
      <c r="A1799" s="10"/>
    </row>
    <row r="1800" spans="1:1" x14ac:dyDescent="0.2">
      <c r="A1800" s="10"/>
    </row>
    <row r="1801" spans="1:1" x14ac:dyDescent="0.2">
      <c r="A1801" s="10"/>
    </row>
    <row r="1802" spans="1:1" x14ac:dyDescent="0.2">
      <c r="A1802" s="10"/>
    </row>
    <row r="1803" spans="1:1" x14ac:dyDescent="0.2">
      <c r="A1803" s="10"/>
    </row>
    <row r="1804" spans="1:1" x14ac:dyDescent="0.2">
      <c r="A1804" s="10"/>
    </row>
    <row r="1805" spans="1:1" x14ac:dyDescent="0.2">
      <c r="A1805" s="10"/>
    </row>
    <row r="1806" spans="1:1" x14ac:dyDescent="0.2">
      <c r="A1806" s="10"/>
    </row>
    <row r="1807" spans="1:1" x14ac:dyDescent="0.2">
      <c r="A1807" s="10"/>
    </row>
    <row r="1808" spans="1:1" x14ac:dyDescent="0.2">
      <c r="A1808" s="10"/>
    </row>
    <row r="1809" spans="1:1" x14ac:dyDescent="0.2">
      <c r="A1809" s="10"/>
    </row>
    <row r="1810" spans="1:1" x14ac:dyDescent="0.2">
      <c r="A1810" s="10"/>
    </row>
    <row r="1811" spans="1:1" x14ac:dyDescent="0.2">
      <c r="A1811" s="10"/>
    </row>
    <row r="1812" spans="1:1" x14ac:dyDescent="0.2">
      <c r="A1812" s="10"/>
    </row>
    <row r="1813" spans="1:1" x14ac:dyDescent="0.2">
      <c r="A1813" s="10"/>
    </row>
    <row r="1814" spans="1:1" x14ac:dyDescent="0.2">
      <c r="A1814" s="10"/>
    </row>
    <row r="1815" spans="1:1" x14ac:dyDescent="0.2">
      <c r="A1815" s="10"/>
    </row>
    <row r="1816" spans="1:1" x14ac:dyDescent="0.2">
      <c r="A1816" s="10"/>
    </row>
    <row r="1817" spans="1:1" x14ac:dyDescent="0.2">
      <c r="A1817" s="10"/>
    </row>
    <row r="1818" spans="1:1" x14ac:dyDescent="0.2">
      <c r="A1818" s="10"/>
    </row>
    <row r="1819" spans="1:1" x14ac:dyDescent="0.2">
      <c r="A1819" s="10"/>
    </row>
    <row r="1820" spans="1:1" x14ac:dyDescent="0.2">
      <c r="A1820" s="10"/>
    </row>
    <row r="1821" spans="1:1" x14ac:dyDescent="0.2">
      <c r="A1821" s="10"/>
    </row>
    <row r="1822" spans="1:1" x14ac:dyDescent="0.2">
      <c r="A1822" s="10"/>
    </row>
    <row r="1823" spans="1:1" x14ac:dyDescent="0.2">
      <c r="A1823" s="10"/>
    </row>
    <row r="1824" spans="1:1" x14ac:dyDescent="0.2">
      <c r="A1824" s="10"/>
    </row>
    <row r="1825" spans="1:1" x14ac:dyDescent="0.2">
      <c r="A1825" s="10"/>
    </row>
    <row r="1826" spans="1:1" x14ac:dyDescent="0.2">
      <c r="A1826" s="10"/>
    </row>
    <row r="1827" spans="1:1" x14ac:dyDescent="0.2">
      <c r="A1827" s="10"/>
    </row>
    <row r="1828" spans="1:1" x14ac:dyDescent="0.2">
      <c r="A1828" s="10"/>
    </row>
    <row r="1829" spans="1:1" x14ac:dyDescent="0.2">
      <c r="A1829" s="10"/>
    </row>
    <row r="1830" spans="1:1" x14ac:dyDescent="0.2">
      <c r="A1830" s="10"/>
    </row>
    <row r="1831" spans="1:1" x14ac:dyDescent="0.2">
      <c r="A1831" s="10"/>
    </row>
    <row r="1832" spans="1:1" x14ac:dyDescent="0.2">
      <c r="A1832" s="10"/>
    </row>
    <row r="1833" spans="1:1" x14ac:dyDescent="0.2">
      <c r="A1833" s="10"/>
    </row>
    <row r="1834" spans="1:1" x14ac:dyDescent="0.2">
      <c r="A1834" s="10"/>
    </row>
    <row r="1835" spans="1:1" x14ac:dyDescent="0.2">
      <c r="A1835" s="10"/>
    </row>
    <row r="1836" spans="1:1" x14ac:dyDescent="0.2">
      <c r="A1836" s="10"/>
    </row>
    <row r="1837" spans="1:1" x14ac:dyDescent="0.2">
      <c r="A1837" s="10"/>
    </row>
    <row r="1838" spans="1:1" x14ac:dyDescent="0.2">
      <c r="A1838" s="10"/>
    </row>
    <row r="1839" spans="1:1" x14ac:dyDescent="0.2">
      <c r="A1839" s="10"/>
    </row>
    <row r="1840" spans="1:1" x14ac:dyDescent="0.2">
      <c r="A1840" s="10"/>
    </row>
    <row r="1841" spans="1:1" x14ac:dyDescent="0.2">
      <c r="A1841" s="10"/>
    </row>
    <row r="1842" spans="1:1" x14ac:dyDescent="0.2">
      <c r="A1842" s="10"/>
    </row>
    <row r="1843" spans="1:1" x14ac:dyDescent="0.2">
      <c r="A1843" s="10"/>
    </row>
    <row r="1844" spans="1:1" x14ac:dyDescent="0.2">
      <c r="A1844" s="10"/>
    </row>
    <row r="1845" spans="1:1" x14ac:dyDescent="0.2">
      <c r="A1845" s="10"/>
    </row>
    <row r="1846" spans="1:1" x14ac:dyDescent="0.2">
      <c r="A1846" s="10"/>
    </row>
    <row r="1847" spans="1:1" x14ac:dyDescent="0.2">
      <c r="A1847" s="10"/>
    </row>
    <row r="1848" spans="1:1" x14ac:dyDescent="0.2">
      <c r="A1848" s="10"/>
    </row>
    <row r="1849" spans="1:1" x14ac:dyDescent="0.2">
      <c r="A1849" s="10"/>
    </row>
    <row r="1850" spans="1:1" x14ac:dyDescent="0.2">
      <c r="A1850" s="10"/>
    </row>
    <row r="1851" spans="1:1" x14ac:dyDescent="0.2">
      <c r="A1851" s="10"/>
    </row>
    <row r="1852" spans="1:1" x14ac:dyDescent="0.2">
      <c r="A1852" s="10"/>
    </row>
    <row r="1853" spans="1:1" x14ac:dyDescent="0.2">
      <c r="A1853" s="10"/>
    </row>
    <row r="1854" spans="1:1" x14ac:dyDescent="0.2">
      <c r="A1854" s="10"/>
    </row>
    <row r="1855" spans="1:1" x14ac:dyDescent="0.2">
      <c r="A1855" s="10"/>
    </row>
    <row r="1856" spans="1:1" x14ac:dyDescent="0.2">
      <c r="A1856" s="10"/>
    </row>
    <row r="1857" spans="1:1" x14ac:dyDescent="0.2">
      <c r="A1857" s="10"/>
    </row>
    <row r="1858" spans="1:1" x14ac:dyDescent="0.2">
      <c r="A1858" s="10"/>
    </row>
    <row r="1859" spans="1:1" x14ac:dyDescent="0.2">
      <c r="A1859" s="10"/>
    </row>
    <row r="1860" spans="1:1" x14ac:dyDescent="0.2">
      <c r="A1860" s="10"/>
    </row>
    <row r="1861" spans="1:1" x14ac:dyDescent="0.2">
      <c r="A1861" s="10"/>
    </row>
    <row r="1862" spans="1:1" x14ac:dyDescent="0.2">
      <c r="A1862" s="10"/>
    </row>
    <row r="1863" spans="1:1" x14ac:dyDescent="0.2">
      <c r="A1863" s="10"/>
    </row>
    <row r="1864" spans="1:1" x14ac:dyDescent="0.2">
      <c r="A1864" s="10"/>
    </row>
    <row r="1865" spans="1:1" x14ac:dyDescent="0.2">
      <c r="A1865" s="10"/>
    </row>
    <row r="1866" spans="1:1" x14ac:dyDescent="0.2">
      <c r="A1866" s="10"/>
    </row>
    <row r="1867" spans="1:1" x14ac:dyDescent="0.2">
      <c r="A1867" s="10"/>
    </row>
    <row r="1868" spans="1:1" x14ac:dyDescent="0.2">
      <c r="A1868" s="10"/>
    </row>
    <row r="1869" spans="1:1" x14ac:dyDescent="0.2">
      <c r="A1869" s="10"/>
    </row>
    <row r="1870" spans="1:1" x14ac:dyDescent="0.2">
      <c r="A1870" s="10"/>
    </row>
    <row r="1871" spans="1:1" x14ac:dyDescent="0.2">
      <c r="A1871" s="10"/>
    </row>
    <row r="1872" spans="1:1" x14ac:dyDescent="0.2">
      <c r="A1872" s="10"/>
    </row>
    <row r="1873" spans="1:1" x14ac:dyDescent="0.2">
      <c r="A1873" s="10"/>
    </row>
    <row r="1874" spans="1:1" x14ac:dyDescent="0.2">
      <c r="A1874" s="10"/>
    </row>
    <row r="1875" spans="1:1" x14ac:dyDescent="0.2">
      <c r="A1875" s="10"/>
    </row>
    <row r="1876" spans="1:1" x14ac:dyDescent="0.2">
      <c r="A1876" s="10"/>
    </row>
    <row r="1877" spans="1:1" x14ac:dyDescent="0.2">
      <c r="A1877" s="10"/>
    </row>
    <row r="1878" spans="1:1" x14ac:dyDescent="0.2">
      <c r="A1878" s="10"/>
    </row>
    <row r="1879" spans="1:1" x14ac:dyDescent="0.2">
      <c r="A1879" s="10"/>
    </row>
    <row r="1880" spans="1:1" x14ac:dyDescent="0.2">
      <c r="A1880" s="10"/>
    </row>
    <row r="1881" spans="1:1" x14ac:dyDescent="0.2">
      <c r="A1881" s="10"/>
    </row>
    <row r="1882" spans="1:1" x14ac:dyDescent="0.2">
      <c r="A1882" s="10"/>
    </row>
    <row r="1883" spans="1:1" x14ac:dyDescent="0.2">
      <c r="A1883" s="10"/>
    </row>
    <row r="1884" spans="1:1" x14ac:dyDescent="0.2">
      <c r="A1884" s="10"/>
    </row>
    <row r="1885" spans="1:1" x14ac:dyDescent="0.2">
      <c r="A1885" s="10"/>
    </row>
    <row r="1886" spans="1:1" x14ac:dyDescent="0.2">
      <c r="A1886" s="10"/>
    </row>
    <row r="1887" spans="1:1" x14ac:dyDescent="0.2">
      <c r="A1887" s="10"/>
    </row>
    <row r="1888" spans="1:1" x14ac:dyDescent="0.2">
      <c r="A1888" s="10"/>
    </row>
    <row r="1889" spans="1:1" x14ac:dyDescent="0.2">
      <c r="A1889" s="10"/>
    </row>
    <row r="1890" spans="1:1" x14ac:dyDescent="0.2">
      <c r="A1890" s="10"/>
    </row>
    <row r="1891" spans="1:1" x14ac:dyDescent="0.2">
      <c r="A1891" s="10"/>
    </row>
    <row r="1892" spans="1:1" x14ac:dyDescent="0.2">
      <c r="A1892" s="10"/>
    </row>
    <row r="1893" spans="1:1" x14ac:dyDescent="0.2">
      <c r="A1893" s="10"/>
    </row>
    <row r="1894" spans="1:1" x14ac:dyDescent="0.2">
      <c r="A1894" s="10"/>
    </row>
    <row r="1895" spans="1:1" x14ac:dyDescent="0.2">
      <c r="A1895" s="10"/>
    </row>
    <row r="1896" spans="1:1" x14ac:dyDescent="0.2">
      <c r="A1896" s="10"/>
    </row>
    <row r="1897" spans="1:1" x14ac:dyDescent="0.2">
      <c r="A1897" s="10"/>
    </row>
    <row r="1898" spans="1:1" x14ac:dyDescent="0.2">
      <c r="A1898" s="10"/>
    </row>
    <row r="1899" spans="1:1" x14ac:dyDescent="0.2">
      <c r="A1899" s="10"/>
    </row>
    <row r="1900" spans="1:1" x14ac:dyDescent="0.2">
      <c r="A1900" s="10"/>
    </row>
    <row r="1901" spans="1:1" x14ac:dyDescent="0.2">
      <c r="A1901" s="10"/>
    </row>
    <row r="1902" spans="1:1" x14ac:dyDescent="0.2">
      <c r="A1902" s="10"/>
    </row>
    <row r="1903" spans="1:1" x14ac:dyDescent="0.2">
      <c r="A1903" s="10"/>
    </row>
    <row r="1904" spans="1:1" x14ac:dyDescent="0.2">
      <c r="A1904" s="10"/>
    </row>
    <row r="1905" spans="1:1" x14ac:dyDescent="0.2">
      <c r="A1905" s="10"/>
    </row>
    <row r="1906" spans="1:1" x14ac:dyDescent="0.2">
      <c r="A1906" s="10"/>
    </row>
    <row r="1907" spans="1:1" x14ac:dyDescent="0.2">
      <c r="A1907" s="10"/>
    </row>
    <row r="1908" spans="1:1" x14ac:dyDescent="0.2">
      <c r="A1908" s="10"/>
    </row>
    <row r="1909" spans="1:1" x14ac:dyDescent="0.2">
      <c r="A1909" s="10"/>
    </row>
    <row r="1910" spans="1:1" x14ac:dyDescent="0.2">
      <c r="A1910" s="10"/>
    </row>
    <row r="1911" spans="1:1" x14ac:dyDescent="0.2">
      <c r="A1911" s="10"/>
    </row>
    <row r="1912" spans="1:1" x14ac:dyDescent="0.2">
      <c r="A1912" s="10"/>
    </row>
    <row r="1913" spans="1:1" x14ac:dyDescent="0.2">
      <c r="A1913" s="10"/>
    </row>
    <row r="1914" spans="1:1" x14ac:dyDescent="0.2">
      <c r="A1914" s="10"/>
    </row>
    <row r="1915" spans="1:1" x14ac:dyDescent="0.2">
      <c r="A1915" s="10"/>
    </row>
    <row r="1916" spans="1:1" x14ac:dyDescent="0.2">
      <c r="A1916" s="10"/>
    </row>
    <row r="1917" spans="1:1" x14ac:dyDescent="0.2">
      <c r="A1917" s="10"/>
    </row>
    <row r="1918" spans="1:1" x14ac:dyDescent="0.2">
      <c r="A1918" s="10"/>
    </row>
    <row r="1919" spans="1:1" x14ac:dyDescent="0.2">
      <c r="A1919" s="10"/>
    </row>
    <row r="1920" spans="1:1" x14ac:dyDescent="0.2">
      <c r="A1920" s="10"/>
    </row>
    <row r="1921" spans="1:1" x14ac:dyDescent="0.2">
      <c r="A1921" s="10"/>
    </row>
    <row r="1922" spans="1:1" x14ac:dyDescent="0.2">
      <c r="A1922" s="10"/>
    </row>
    <row r="1923" spans="1:1" x14ac:dyDescent="0.2">
      <c r="A1923" s="10"/>
    </row>
    <row r="1924" spans="1:1" x14ac:dyDescent="0.2">
      <c r="A1924" s="10"/>
    </row>
    <row r="1925" spans="1:1" x14ac:dyDescent="0.2">
      <c r="A1925" s="10"/>
    </row>
    <row r="1926" spans="1:1" x14ac:dyDescent="0.2">
      <c r="A1926" s="10"/>
    </row>
    <row r="1927" spans="1:1" x14ac:dyDescent="0.2">
      <c r="A1927" s="10"/>
    </row>
    <row r="1928" spans="1:1" x14ac:dyDescent="0.2">
      <c r="A1928" s="10"/>
    </row>
    <row r="1929" spans="1:1" x14ac:dyDescent="0.2">
      <c r="A1929" s="10"/>
    </row>
    <row r="1930" spans="1:1" x14ac:dyDescent="0.2">
      <c r="A1930" s="10"/>
    </row>
    <row r="1931" spans="1:1" x14ac:dyDescent="0.2">
      <c r="A1931" s="10"/>
    </row>
    <row r="1932" spans="1:1" x14ac:dyDescent="0.2">
      <c r="A1932" s="10"/>
    </row>
    <row r="1933" spans="1:1" x14ac:dyDescent="0.2">
      <c r="A1933" s="10"/>
    </row>
    <row r="1934" spans="1:1" x14ac:dyDescent="0.2">
      <c r="A1934" s="10"/>
    </row>
    <row r="1935" spans="1:1" x14ac:dyDescent="0.2">
      <c r="A1935" s="10"/>
    </row>
    <row r="1936" spans="1:1" x14ac:dyDescent="0.2">
      <c r="A1936" s="10"/>
    </row>
    <row r="1937" spans="1:1" x14ac:dyDescent="0.2">
      <c r="A1937" s="10"/>
    </row>
    <row r="1938" spans="1:1" x14ac:dyDescent="0.2">
      <c r="A1938" s="10"/>
    </row>
    <row r="1939" spans="1:1" x14ac:dyDescent="0.2">
      <c r="A1939" s="10"/>
    </row>
    <row r="1940" spans="1:1" x14ac:dyDescent="0.2">
      <c r="A1940" s="10"/>
    </row>
    <row r="1941" spans="1:1" x14ac:dyDescent="0.2">
      <c r="A1941" s="10"/>
    </row>
    <row r="1942" spans="1:1" x14ac:dyDescent="0.2">
      <c r="A1942" s="10"/>
    </row>
    <row r="1943" spans="1:1" x14ac:dyDescent="0.2">
      <c r="A1943" s="10"/>
    </row>
    <row r="1944" spans="1:1" x14ac:dyDescent="0.2">
      <c r="A1944" s="10"/>
    </row>
    <row r="1945" spans="1:1" x14ac:dyDescent="0.2">
      <c r="A1945" s="10"/>
    </row>
    <row r="1946" spans="1:1" x14ac:dyDescent="0.2">
      <c r="A1946" s="10"/>
    </row>
    <row r="1947" spans="1:1" x14ac:dyDescent="0.2">
      <c r="A1947" s="10"/>
    </row>
    <row r="1948" spans="1:1" x14ac:dyDescent="0.2">
      <c r="A1948" s="10"/>
    </row>
    <row r="1949" spans="1:1" x14ac:dyDescent="0.2">
      <c r="A1949" s="10"/>
    </row>
    <row r="1950" spans="1:1" x14ac:dyDescent="0.2">
      <c r="A1950" s="10"/>
    </row>
    <row r="1951" spans="1:1" x14ac:dyDescent="0.2">
      <c r="A1951" s="10"/>
    </row>
    <row r="1952" spans="1:1" x14ac:dyDescent="0.2">
      <c r="A1952" s="10"/>
    </row>
    <row r="1953" spans="1:1" x14ac:dyDescent="0.2">
      <c r="A1953" s="10"/>
    </row>
    <row r="1954" spans="1:1" x14ac:dyDescent="0.2">
      <c r="A1954" s="10"/>
    </row>
    <row r="1955" spans="1:1" x14ac:dyDescent="0.2">
      <c r="A1955" s="10"/>
    </row>
    <row r="1956" spans="1:1" x14ac:dyDescent="0.2">
      <c r="A1956" s="10"/>
    </row>
    <row r="1957" spans="1:1" x14ac:dyDescent="0.2">
      <c r="A1957" s="10"/>
    </row>
    <row r="1958" spans="1:1" x14ac:dyDescent="0.2">
      <c r="A1958" s="10"/>
    </row>
    <row r="1959" spans="1:1" x14ac:dyDescent="0.2">
      <c r="A1959" s="10"/>
    </row>
    <row r="1960" spans="1:1" x14ac:dyDescent="0.2">
      <c r="A1960" s="10"/>
    </row>
    <row r="1961" spans="1:1" x14ac:dyDescent="0.2">
      <c r="A1961" s="10"/>
    </row>
    <row r="1962" spans="1:1" x14ac:dyDescent="0.2">
      <c r="A1962" s="10"/>
    </row>
    <row r="1963" spans="1:1" x14ac:dyDescent="0.2">
      <c r="A1963" s="10"/>
    </row>
    <row r="1964" spans="1:1" x14ac:dyDescent="0.2">
      <c r="A1964" s="10"/>
    </row>
    <row r="1965" spans="1:1" x14ac:dyDescent="0.2">
      <c r="A1965" s="10"/>
    </row>
    <row r="1966" spans="1:1" x14ac:dyDescent="0.2">
      <c r="A1966" s="10"/>
    </row>
    <row r="1967" spans="1:1" x14ac:dyDescent="0.2">
      <c r="A1967" s="10"/>
    </row>
    <row r="1968" spans="1:1" x14ac:dyDescent="0.2">
      <c r="A1968" s="10"/>
    </row>
    <row r="1969" spans="1:1" x14ac:dyDescent="0.2">
      <c r="A1969" s="10"/>
    </row>
    <row r="1970" spans="1:1" x14ac:dyDescent="0.2">
      <c r="A1970" s="10"/>
    </row>
    <row r="1971" spans="1:1" x14ac:dyDescent="0.2">
      <c r="A1971" s="10"/>
    </row>
    <row r="1972" spans="1:1" x14ac:dyDescent="0.2">
      <c r="A1972" s="10"/>
    </row>
    <row r="1973" spans="1:1" x14ac:dyDescent="0.2">
      <c r="A1973" s="10"/>
    </row>
    <row r="1974" spans="1:1" x14ac:dyDescent="0.2">
      <c r="A1974" s="10"/>
    </row>
    <row r="1975" spans="1:1" x14ac:dyDescent="0.2">
      <c r="A1975" s="10"/>
    </row>
    <row r="1976" spans="1:1" x14ac:dyDescent="0.2">
      <c r="A1976" s="10"/>
    </row>
    <row r="1977" spans="1:1" x14ac:dyDescent="0.2">
      <c r="A1977" s="10"/>
    </row>
    <row r="1978" spans="1:1" x14ac:dyDescent="0.2">
      <c r="A1978" s="10"/>
    </row>
    <row r="1979" spans="1:1" x14ac:dyDescent="0.2">
      <c r="A1979" s="10"/>
    </row>
    <row r="1980" spans="1:1" x14ac:dyDescent="0.2">
      <c r="A1980" s="10"/>
    </row>
    <row r="1981" spans="1:1" x14ac:dyDescent="0.2">
      <c r="A1981" s="10"/>
    </row>
    <row r="1982" spans="1:1" x14ac:dyDescent="0.2">
      <c r="A1982" s="10"/>
    </row>
    <row r="1983" spans="1:1" x14ac:dyDescent="0.2">
      <c r="A1983" s="10"/>
    </row>
    <row r="1984" spans="1:1" x14ac:dyDescent="0.2">
      <c r="A1984" s="10"/>
    </row>
    <row r="1985" spans="1:1" x14ac:dyDescent="0.2">
      <c r="A1985" s="10"/>
    </row>
    <row r="1986" spans="1:1" x14ac:dyDescent="0.2">
      <c r="A1986" s="10"/>
    </row>
    <row r="1987" spans="1:1" x14ac:dyDescent="0.2">
      <c r="A1987" s="10"/>
    </row>
    <row r="1988" spans="1:1" x14ac:dyDescent="0.2">
      <c r="A1988" s="10"/>
    </row>
    <row r="1989" spans="1:1" x14ac:dyDescent="0.2">
      <c r="A1989" s="10"/>
    </row>
    <row r="1990" spans="1:1" x14ac:dyDescent="0.2">
      <c r="A1990" s="10"/>
    </row>
    <row r="1991" spans="1:1" x14ac:dyDescent="0.2">
      <c r="A1991" s="10"/>
    </row>
    <row r="1992" spans="1:1" x14ac:dyDescent="0.2">
      <c r="A1992" s="10"/>
    </row>
    <row r="1993" spans="1:1" x14ac:dyDescent="0.2">
      <c r="A1993" s="10"/>
    </row>
    <row r="1994" spans="1:1" x14ac:dyDescent="0.2">
      <c r="A1994" s="10"/>
    </row>
    <row r="1995" spans="1:1" x14ac:dyDescent="0.2">
      <c r="A1995" s="10"/>
    </row>
    <row r="1996" spans="1:1" x14ac:dyDescent="0.2">
      <c r="A1996" s="10"/>
    </row>
    <row r="1997" spans="1:1" x14ac:dyDescent="0.2">
      <c r="A1997" s="10"/>
    </row>
    <row r="1998" spans="1:1" x14ac:dyDescent="0.2">
      <c r="A1998" s="10"/>
    </row>
    <row r="1999" spans="1:1" x14ac:dyDescent="0.2">
      <c r="A1999" s="10"/>
    </row>
    <row r="2000" spans="1:1" x14ac:dyDescent="0.2">
      <c r="A2000" s="10"/>
    </row>
    <row r="2001" spans="1:1" x14ac:dyDescent="0.2">
      <c r="A2001" s="10"/>
    </row>
    <row r="2002" spans="1:1" x14ac:dyDescent="0.2">
      <c r="A2002" s="10"/>
    </row>
    <row r="2003" spans="1:1" x14ac:dyDescent="0.2">
      <c r="A2003" s="10"/>
    </row>
    <row r="2004" spans="1:1" x14ac:dyDescent="0.2">
      <c r="A2004" s="10"/>
    </row>
    <row r="2005" spans="1:1" x14ac:dyDescent="0.2">
      <c r="A2005" s="10"/>
    </row>
    <row r="2006" spans="1:1" x14ac:dyDescent="0.2">
      <c r="A2006" s="10"/>
    </row>
    <row r="2007" spans="1:1" x14ac:dyDescent="0.2">
      <c r="A2007" s="10"/>
    </row>
    <row r="2008" spans="1:1" x14ac:dyDescent="0.2">
      <c r="A2008" s="10"/>
    </row>
    <row r="2009" spans="1:1" x14ac:dyDescent="0.2">
      <c r="A2009" s="10"/>
    </row>
    <row r="2010" spans="1:1" x14ac:dyDescent="0.2">
      <c r="A2010" s="10"/>
    </row>
    <row r="2011" spans="1:1" x14ac:dyDescent="0.2">
      <c r="A2011" s="10"/>
    </row>
    <row r="2012" spans="1:1" x14ac:dyDescent="0.2">
      <c r="A2012" s="10"/>
    </row>
    <row r="2013" spans="1:1" x14ac:dyDescent="0.2">
      <c r="A2013" s="10"/>
    </row>
    <row r="2014" spans="1:1" x14ac:dyDescent="0.2">
      <c r="A2014" s="10"/>
    </row>
    <row r="2015" spans="1:1" x14ac:dyDescent="0.2">
      <c r="A2015" s="10"/>
    </row>
    <row r="2016" spans="1:1" x14ac:dyDescent="0.2">
      <c r="A2016" s="10"/>
    </row>
    <row r="2017" spans="1:1" x14ac:dyDescent="0.2">
      <c r="A2017" s="10"/>
    </row>
    <row r="2018" spans="1:1" x14ac:dyDescent="0.2">
      <c r="A2018" s="10"/>
    </row>
    <row r="2019" spans="1:1" x14ac:dyDescent="0.2">
      <c r="A2019" s="10"/>
    </row>
    <row r="2020" spans="1:1" x14ac:dyDescent="0.2">
      <c r="A2020" s="10"/>
    </row>
    <row r="2021" spans="1:1" x14ac:dyDescent="0.2">
      <c r="A2021" s="10"/>
    </row>
    <row r="2022" spans="1:1" x14ac:dyDescent="0.2">
      <c r="A2022" s="10"/>
    </row>
    <row r="2023" spans="1:1" x14ac:dyDescent="0.2">
      <c r="A2023" s="10"/>
    </row>
    <row r="2024" spans="1:1" x14ac:dyDescent="0.2">
      <c r="A2024" s="10"/>
    </row>
    <row r="2025" spans="1:1" x14ac:dyDescent="0.2">
      <c r="A2025" s="10"/>
    </row>
    <row r="2026" spans="1:1" x14ac:dyDescent="0.2">
      <c r="A2026" s="10"/>
    </row>
    <row r="2027" spans="1:1" x14ac:dyDescent="0.2">
      <c r="A2027" s="10"/>
    </row>
    <row r="2028" spans="1:1" x14ac:dyDescent="0.2">
      <c r="A2028" s="10"/>
    </row>
    <row r="2029" spans="1:1" x14ac:dyDescent="0.2">
      <c r="A2029" s="10"/>
    </row>
    <row r="2030" spans="1:1" x14ac:dyDescent="0.2">
      <c r="A2030" s="10"/>
    </row>
    <row r="2031" spans="1:1" x14ac:dyDescent="0.2">
      <c r="A2031" s="10"/>
    </row>
    <row r="2032" spans="1:1" x14ac:dyDescent="0.2">
      <c r="A2032" s="10"/>
    </row>
    <row r="2033" spans="1:1" x14ac:dyDescent="0.2">
      <c r="A2033" s="10"/>
    </row>
    <row r="2034" spans="1:1" x14ac:dyDescent="0.2">
      <c r="A2034" s="10"/>
    </row>
    <row r="2035" spans="1:1" x14ac:dyDescent="0.2">
      <c r="A2035" s="10"/>
    </row>
    <row r="2036" spans="1:1" x14ac:dyDescent="0.2">
      <c r="A2036" s="10"/>
    </row>
    <row r="2037" spans="1:1" x14ac:dyDescent="0.2">
      <c r="A2037" s="10"/>
    </row>
    <row r="2038" spans="1:1" x14ac:dyDescent="0.2">
      <c r="A2038" s="10"/>
    </row>
    <row r="2039" spans="1:1" x14ac:dyDescent="0.2">
      <c r="A2039" s="10"/>
    </row>
    <row r="2040" spans="1:1" x14ac:dyDescent="0.2">
      <c r="A2040" s="10"/>
    </row>
  </sheetData>
  <sheetProtection sheet="1" objects="1" scenarios="1" sort="0" autoFilter="0" pivotTables="0"/>
  <autoFilter ref="A1:U1282" xr:uid="{0EFB5699-6583-4025-A7DC-33FB6878FDE4}"/>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8c84b0b-38f5-4dd8-a8cb-100050dddae4">
      <UserInfo>
        <DisplayName>Clair Simpson</DisplayName>
        <AccountId>46</AccountId>
        <AccountType/>
      </UserInfo>
      <UserInfo>
        <DisplayName>Lucy Conway</DisplayName>
        <AccountId>42</AccountId>
        <AccountType/>
      </UserInfo>
      <UserInfo>
        <DisplayName>Louise Butler</DisplayName>
        <AccountId>96</AccountId>
        <AccountType/>
      </UserInfo>
      <UserInfo>
        <DisplayName>Chris Foley</DisplayName>
        <AccountId>152</AccountId>
        <AccountType/>
      </UserInfo>
      <UserInfo>
        <DisplayName>James Jordan</DisplayName>
        <AccountId>18</AccountId>
        <AccountType/>
      </UserInfo>
      <UserInfo>
        <DisplayName>Joanne McGettigan</DisplayName>
        <AccountId>29</AccountId>
        <AccountType/>
      </UserInfo>
    </SharedWithUsers>
    <Document_x0020_Type xmlns="ce59f7e5-8197-4253-a1b7-da56e7a4258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FC06BBD2918F4B89B6CB069944425B" ma:contentTypeVersion="11" ma:contentTypeDescription="Create a new document." ma:contentTypeScope="" ma:versionID="c06289bf0b91be0c3f5c930ab7a6ad73">
  <xsd:schema xmlns:xsd="http://www.w3.org/2001/XMLSchema" xmlns:xs="http://www.w3.org/2001/XMLSchema" xmlns:p="http://schemas.microsoft.com/office/2006/metadata/properties" xmlns:ns2="ce59f7e5-8197-4253-a1b7-da56e7a42580" xmlns:ns3="e8c84b0b-38f5-4dd8-a8cb-100050dddae4" targetNamespace="http://schemas.microsoft.com/office/2006/metadata/properties" ma:root="true" ma:fieldsID="0301060a00431a98512ba7ef5ee21a82" ns2:_="" ns3:_="">
    <xsd:import namespace="ce59f7e5-8197-4253-a1b7-da56e7a42580"/>
    <xsd:import namespace="e8c84b0b-38f5-4dd8-a8cb-100050dddae4"/>
    <xsd:element name="properties">
      <xsd:complexType>
        <xsd:sequence>
          <xsd:element name="documentManagement">
            <xsd:complexType>
              <xsd:all>
                <xsd:element ref="ns2:Document_x0020_Typ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59f7e5-8197-4253-a1b7-da56e7a42580" elementFormDefault="qualified">
    <xsd:import namespace="http://schemas.microsoft.com/office/2006/documentManagement/types"/>
    <xsd:import namespace="http://schemas.microsoft.com/office/infopath/2007/PartnerControls"/>
    <xsd:element name="Document_x0020_Type" ma:index="8" nillable="true" ma:displayName="Document Type" ma:list="{f0e4af39-03ad-4587-b8e2-2b27ad1b206e}" ma:internalName="Document_x0020_Type" ma:showField="Title">
      <xsd:simpleType>
        <xsd:restriction base="dms:Lookup"/>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c84b0b-38f5-4dd8-a8cb-100050dddae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2A45AD-7FB9-43FD-84B9-BAE99C883434}">
  <ds:schemaRefs>
    <ds:schemaRef ds:uri="http://schemas.microsoft.com/office/2006/metadata/properties"/>
    <ds:schemaRef ds:uri="http://schemas.microsoft.com/office/infopath/2007/PartnerControls"/>
    <ds:schemaRef ds:uri="e8c84b0b-38f5-4dd8-a8cb-100050dddae4"/>
    <ds:schemaRef ds:uri="ce59f7e5-8197-4253-a1b7-da56e7a42580"/>
  </ds:schemaRefs>
</ds:datastoreItem>
</file>

<file path=customXml/itemProps2.xml><?xml version="1.0" encoding="utf-8"?>
<ds:datastoreItem xmlns:ds="http://schemas.openxmlformats.org/officeDocument/2006/customXml" ds:itemID="{AF9CCDF9-22EC-414D-ACF4-4A06C396A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59f7e5-8197-4253-a1b7-da56e7a42580"/>
    <ds:schemaRef ds:uri="e8c84b0b-38f5-4dd8-a8cb-100050ddd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F88805-5EAC-4E6C-8AA8-99D5310E00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Guidance</vt:lpstr>
      <vt:lpstr>Date</vt:lpstr>
      <vt:lpstr>Pivot </vt:lpstr>
      <vt:lpstr>Table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visits to state-funded schools - 1 September 2020 to 31 December 2020</dc:title>
  <dc:subject/>
  <dc:creator>Ofsted</dc:creator>
  <cp:keywords/>
  <dc:description/>
  <cp:lastModifiedBy>Chris Foley</cp:lastModifiedBy>
  <cp:revision/>
  <dcterms:created xsi:type="dcterms:W3CDTF">2020-07-09T11:49:31Z</dcterms:created>
  <dcterms:modified xsi:type="dcterms:W3CDTF">2021-02-17T15:10:09Z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0x010100D1FC06BBD2918F4B89B6CB069944425B</vt:lpwstr>
  </property>
  <property fmtid="{D5CDD505-2E9C-101B-9397-08002B2CF9AE}" pid="3" name="xd_ProgID">
    <vt:lpwstr/>
  </property>
  <property fmtid="{D5CDD505-2E9C-101B-9397-08002B2CF9AE}" pid="4" name="OfstedDepartment">
    <vt:lpwstr/>
  </property>
  <property fmtid="{D5CDD505-2E9C-101B-9397-08002B2CF9AE}" pid="5" name="Directorate">
    <vt:lpwstr/>
  </property>
  <property fmtid="{D5CDD505-2E9C-101B-9397-08002B2CF9AE}" pid="6" name="OfstedTeam">
    <vt:lpwstr/>
  </property>
  <property fmtid="{D5CDD505-2E9C-101B-9397-08002B2CF9AE}" pid="7" name="ComplianceAssetId">
    <vt:lpwstr/>
  </property>
  <property fmtid="{D5CDD505-2E9C-101B-9397-08002B2CF9AE}" pid="8" name="TemplateUrl">
    <vt:lpwstr/>
  </property>
  <property fmtid="{D5CDD505-2E9C-101B-9397-08002B2CF9AE}" pid="9" name="DocumentType">
    <vt:lpwstr/>
  </property>
  <property fmtid="{D5CDD505-2E9C-101B-9397-08002B2CF9AE}" pid="10" name="xd_Signature">
    <vt:bool>false</vt:bool>
  </property>
  <property fmtid="{D5CDD505-2E9C-101B-9397-08002B2CF9AE}" pid="11" name="SharedWithUsers">
    <vt:lpwstr>46;#Clair Simpson;#42;#Lucy Conway;#96;#Louise Butler</vt:lpwstr>
  </property>
</Properties>
</file>