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5HQ\RestrictedSocialCare$\SFRs and published MI\Assurance visits transparency\2021 Feb\"/>
    </mc:Choice>
  </mc:AlternateContent>
  <xr:revisionPtr revIDLastSave="0" documentId="13_ncr:1_{A898DF4D-F9D0-454D-A7D9-0916F2303480}" xr6:coauthVersionLast="45" xr6:coauthVersionMax="45" xr10:uidLastSave="{00000000-0000-0000-0000-000000000000}"/>
  <bookViews>
    <workbookView xWindow="-108" yWindow="-108" windowWidth="23256" windowHeight="12576" xr2:uid="{63806E34-C118-44E1-84F5-EEEB183347A2}"/>
  </bookViews>
  <sheets>
    <sheet name="Cover Page" sheetId="3" r:id="rId1"/>
    <sheet name="Date" sheetId="7" state="hidden" r:id="rId2"/>
    <sheet name="Guidance" sheetId="9" r:id="rId3"/>
    <sheet name="Table" sheetId="8" r:id="rId4"/>
    <sheet name="Pivot" sheetId="6" state="hidden" r:id="rId5"/>
    <sheet name="Data" sheetId="4" r:id="rId6"/>
    <sheet name="Notes to be used in dev" sheetId="5" state="hidden" r:id="rId7"/>
  </sheets>
  <definedNames>
    <definedName name="_xlnm._FilterDatabase" localSheetId="5" hidden="1">Data!$A$1:$N$911</definedName>
  </definedNames>
  <calcPr calcId="191029"/>
  <pivotCaches>
    <pivotCache cacheId="3" r:id="rId8"/>
    <pivotCache cacheId="4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4" l="1"/>
  <c r="A3" i="4"/>
  <c r="A4" i="4"/>
  <c r="A5" i="4"/>
  <c r="A6" i="4"/>
  <c r="A7" i="4"/>
  <c r="A8" i="4"/>
  <c r="A9" i="4"/>
  <c r="A10" i="4"/>
  <c r="A11" i="4"/>
  <c r="A12" i="4"/>
  <c r="A13" i="4"/>
  <c r="A342" i="4"/>
  <c r="A343" i="4"/>
  <c r="A344" i="4"/>
  <c r="A345" i="4"/>
  <c r="A346" i="4"/>
  <c r="A347" i="4"/>
  <c r="A715" i="4"/>
  <c r="A716" i="4"/>
  <c r="A717" i="4"/>
  <c r="A718" i="4"/>
  <c r="A719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643" i="4"/>
  <c r="A644" i="4"/>
  <c r="A645" i="4"/>
  <c r="A646" i="4"/>
  <c r="A647" i="4"/>
  <c r="A648" i="4"/>
  <c r="A649" i="4"/>
  <c r="A650" i="4"/>
  <c r="A651" i="4"/>
  <c r="A652" i="4"/>
  <c r="A653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42" i="4"/>
  <c r="A43" i="4"/>
  <c r="A44" i="4"/>
  <c r="A45" i="4"/>
  <c r="A46" i="4"/>
  <c r="A47" i="4"/>
  <c r="A48" i="4"/>
  <c r="A49" i="4"/>
  <c r="A50" i="4"/>
  <c r="A51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757" i="4"/>
  <c r="A758" i="4"/>
  <c r="A759" i="4"/>
  <c r="A760" i="4"/>
  <c r="A761" i="4"/>
  <c r="A762" i="4"/>
  <c r="A763" i="4"/>
  <c r="A764" i="4"/>
  <c r="A765" i="4"/>
  <c r="A766" i="4"/>
  <c r="A767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768" i="4"/>
  <c r="A769" i="4"/>
  <c r="A7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417" i="4"/>
  <c r="A418" i="4"/>
  <c r="A419" i="4"/>
  <c r="A420" i="4"/>
  <c r="A421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697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120" i="4"/>
  <c r="A121" i="4"/>
  <c r="A122" i="4"/>
  <c r="A123" i="4"/>
  <c r="A124" i="4"/>
  <c r="A828" i="4"/>
  <c r="A829" i="4"/>
  <c r="A830" i="4"/>
  <c r="A831" i="4"/>
  <c r="A832" i="4"/>
  <c r="A833" i="4"/>
  <c r="A834" i="4"/>
  <c r="A835" i="4"/>
  <c r="A836" i="4"/>
  <c r="A837" i="4"/>
  <c r="A698" i="4"/>
  <c r="A838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839" i="4"/>
  <c r="A840" i="4"/>
  <c r="A841" i="4"/>
  <c r="A842" i="4"/>
  <c r="A843" i="4"/>
  <c r="A844" i="4"/>
  <c r="A845" i="4"/>
  <c r="A846" i="4"/>
  <c r="A847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495" i="4"/>
  <c r="A496" i="4"/>
  <c r="A497" i="4"/>
  <c r="A498" i="4"/>
  <c r="A499" i="4"/>
  <c r="A500" i="4"/>
  <c r="A501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502" i="4"/>
  <c r="A699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205" i="4"/>
  <c r="A206" i="4"/>
  <c r="A207" i="4"/>
  <c r="A208" i="4"/>
  <c r="A700" i="4"/>
  <c r="A701" i="4"/>
  <c r="A702" i="4"/>
  <c r="A899" i="4"/>
  <c r="A900" i="4"/>
  <c r="A901" i="4"/>
  <c r="A902" i="4"/>
  <c r="A903" i="4"/>
  <c r="A904" i="4"/>
  <c r="A905" i="4"/>
  <c r="A906" i="4"/>
  <c r="A907" i="4"/>
  <c r="A908" i="4"/>
  <c r="A703" i="4"/>
  <c r="A704" i="4"/>
  <c r="A705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909" i="4"/>
  <c r="A910" i="4"/>
  <c r="A911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582" i="4"/>
  <c r="A583" i="4"/>
  <c r="A584" i="4"/>
  <c r="A585" i="4"/>
  <c r="A586" i="4"/>
  <c r="A587" i="4"/>
  <c r="A588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706" i="4"/>
  <c r="A707" i="4"/>
  <c r="A708" i="4"/>
  <c r="A709" i="4"/>
  <c r="A710" i="4"/>
  <c r="A711" i="4"/>
  <c r="A712" i="4"/>
  <c r="A713" i="4"/>
  <c r="A714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636" i="4"/>
  <c r="A637" i="4"/>
  <c r="A638" i="4"/>
  <c r="A639" i="4"/>
  <c r="A640" i="4"/>
  <c r="A641" i="4"/>
  <c r="A642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B3" i="9" l="1"/>
  <c r="C13" i="9" l="1"/>
  <c r="F6" i="8" l="1"/>
  <c r="G6" i="8"/>
  <c r="H6" i="8"/>
  <c r="I6" i="8"/>
  <c r="J6" i="8"/>
  <c r="K6" i="8"/>
  <c r="L6" i="8"/>
  <c r="M6" i="8"/>
  <c r="F7" i="8"/>
  <c r="G7" i="8"/>
  <c r="H7" i="8"/>
  <c r="I7" i="8"/>
  <c r="J7" i="8"/>
  <c r="K7" i="8"/>
  <c r="L7" i="8"/>
  <c r="M7" i="8"/>
  <c r="F8" i="8"/>
  <c r="G8" i="8"/>
  <c r="H8" i="8"/>
  <c r="I8" i="8"/>
  <c r="J8" i="8"/>
  <c r="K8" i="8"/>
  <c r="L8" i="8"/>
  <c r="M8" i="8"/>
  <c r="F9" i="8"/>
  <c r="G9" i="8"/>
  <c r="H9" i="8"/>
  <c r="I9" i="8"/>
  <c r="J9" i="8"/>
  <c r="K9" i="8"/>
  <c r="L9" i="8"/>
  <c r="M9" i="8"/>
  <c r="F10" i="8"/>
  <c r="G10" i="8"/>
  <c r="H10" i="8"/>
  <c r="I10" i="8"/>
  <c r="J10" i="8"/>
  <c r="K10" i="8"/>
  <c r="L10" i="8"/>
  <c r="M10" i="8"/>
  <c r="F11" i="8"/>
  <c r="G11" i="8"/>
  <c r="H11" i="8"/>
  <c r="I11" i="8"/>
  <c r="J11" i="8"/>
  <c r="K11" i="8"/>
  <c r="L11" i="8"/>
  <c r="M11" i="8"/>
  <c r="F12" i="8"/>
  <c r="G12" i="8"/>
  <c r="H12" i="8"/>
  <c r="I12" i="8"/>
  <c r="J12" i="8"/>
  <c r="K12" i="8"/>
  <c r="L12" i="8"/>
  <c r="M12" i="8"/>
  <c r="F13" i="8"/>
  <c r="G13" i="8"/>
  <c r="H13" i="8"/>
  <c r="I13" i="8"/>
  <c r="J13" i="8"/>
  <c r="K13" i="8"/>
  <c r="L13" i="8"/>
  <c r="M13" i="8"/>
  <c r="F14" i="8"/>
  <c r="G14" i="8"/>
  <c r="H14" i="8"/>
  <c r="I14" i="8"/>
  <c r="J14" i="8"/>
  <c r="K14" i="8"/>
  <c r="L14" i="8"/>
  <c r="M14" i="8"/>
  <c r="F16" i="8"/>
  <c r="G16" i="8"/>
  <c r="H16" i="8"/>
  <c r="I16" i="8"/>
  <c r="J16" i="8"/>
  <c r="K16" i="8"/>
  <c r="L16" i="8"/>
  <c r="M16" i="8"/>
  <c r="F17" i="8"/>
  <c r="G17" i="8"/>
  <c r="H17" i="8"/>
  <c r="I17" i="8"/>
  <c r="J17" i="8"/>
  <c r="K17" i="8"/>
  <c r="L17" i="8"/>
  <c r="M17" i="8"/>
  <c r="F18" i="8"/>
  <c r="G18" i="8"/>
  <c r="H18" i="8"/>
  <c r="I18" i="8"/>
  <c r="J18" i="8"/>
  <c r="K18" i="8"/>
  <c r="L18" i="8"/>
  <c r="M18" i="8"/>
  <c r="F19" i="8"/>
  <c r="G19" i="8"/>
  <c r="H19" i="8"/>
  <c r="I19" i="8"/>
  <c r="J19" i="8"/>
  <c r="K19" i="8"/>
  <c r="L19" i="8"/>
  <c r="M19" i="8"/>
  <c r="F20" i="8"/>
  <c r="G20" i="8"/>
  <c r="H20" i="8"/>
  <c r="I20" i="8"/>
  <c r="J20" i="8"/>
  <c r="K20" i="8"/>
  <c r="L20" i="8"/>
  <c r="M20" i="8"/>
  <c r="F21" i="8"/>
  <c r="G21" i="8"/>
  <c r="H21" i="8"/>
  <c r="I21" i="8"/>
  <c r="J21" i="8"/>
  <c r="K21" i="8"/>
  <c r="L21" i="8"/>
  <c r="M21" i="8"/>
  <c r="F22" i="8"/>
  <c r="G22" i="8"/>
  <c r="H22" i="8"/>
  <c r="I22" i="8"/>
  <c r="J22" i="8"/>
  <c r="K22" i="8"/>
  <c r="L22" i="8"/>
  <c r="M22" i="8"/>
  <c r="F23" i="8"/>
  <c r="G23" i="8"/>
  <c r="H23" i="8"/>
  <c r="I23" i="8"/>
  <c r="J23" i="8"/>
  <c r="K23" i="8"/>
  <c r="L23" i="8"/>
  <c r="M23" i="8"/>
  <c r="F24" i="8"/>
  <c r="G24" i="8"/>
  <c r="H24" i="8"/>
  <c r="I24" i="8"/>
  <c r="J24" i="8"/>
  <c r="K24" i="8"/>
  <c r="L24" i="8"/>
  <c r="M24" i="8"/>
  <c r="F25" i="8"/>
  <c r="G25" i="8"/>
  <c r="H25" i="8"/>
  <c r="I25" i="8"/>
  <c r="J25" i="8"/>
  <c r="K25" i="8"/>
  <c r="L25" i="8"/>
  <c r="M25" i="8"/>
  <c r="F26" i="8"/>
  <c r="G26" i="8"/>
  <c r="H26" i="8"/>
  <c r="I26" i="8"/>
  <c r="J26" i="8"/>
  <c r="K26" i="8"/>
  <c r="L26" i="8"/>
  <c r="M26" i="8"/>
  <c r="F28" i="8"/>
  <c r="G28" i="8"/>
  <c r="H28" i="8"/>
  <c r="I28" i="8"/>
  <c r="J28" i="8"/>
  <c r="K28" i="8"/>
  <c r="L28" i="8"/>
  <c r="M28" i="8"/>
  <c r="F29" i="8"/>
  <c r="G29" i="8"/>
  <c r="H29" i="8"/>
  <c r="I29" i="8"/>
  <c r="J29" i="8"/>
  <c r="K29" i="8"/>
  <c r="L29" i="8"/>
  <c r="M29" i="8"/>
  <c r="F30" i="8"/>
  <c r="G30" i="8"/>
  <c r="H30" i="8"/>
  <c r="I30" i="8"/>
  <c r="J30" i="8"/>
  <c r="K30" i="8"/>
  <c r="L30" i="8"/>
  <c r="M30" i="8"/>
  <c r="F31" i="8"/>
  <c r="G31" i="8"/>
  <c r="H31" i="8"/>
  <c r="I31" i="8"/>
  <c r="J31" i="8"/>
  <c r="K31" i="8"/>
  <c r="L31" i="8"/>
  <c r="M31" i="8"/>
  <c r="F32" i="8"/>
  <c r="G32" i="8"/>
  <c r="H32" i="8"/>
  <c r="I32" i="8"/>
  <c r="J32" i="8"/>
  <c r="K32" i="8"/>
  <c r="L32" i="8"/>
  <c r="M32" i="8"/>
  <c r="F33" i="8"/>
  <c r="G33" i="8"/>
  <c r="H33" i="8"/>
  <c r="I33" i="8"/>
  <c r="J33" i="8"/>
  <c r="K33" i="8"/>
  <c r="L33" i="8"/>
  <c r="M33" i="8"/>
  <c r="F34" i="8"/>
  <c r="G34" i="8"/>
  <c r="H34" i="8"/>
  <c r="I34" i="8"/>
  <c r="J34" i="8"/>
  <c r="K34" i="8"/>
  <c r="L34" i="8"/>
  <c r="M34" i="8"/>
  <c r="F35" i="8"/>
  <c r="G35" i="8"/>
  <c r="H35" i="8"/>
  <c r="I35" i="8"/>
  <c r="J35" i="8"/>
  <c r="K35" i="8"/>
  <c r="L35" i="8"/>
  <c r="M35" i="8"/>
  <c r="F36" i="8"/>
  <c r="G36" i="8"/>
  <c r="H36" i="8"/>
  <c r="I36" i="8"/>
  <c r="J36" i="8"/>
  <c r="K36" i="8"/>
  <c r="L36" i="8"/>
  <c r="M36" i="8"/>
  <c r="F37" i="8"/>
  <c r="G37" i="8"/>
  <c r="H37" i="8"/>
  <c r="I37" i="8"/>
  <c r="J37" i="8"/>
  <c r="K37" i="8"/>
  <c r="L37" i="8"/>
  <c r="M37" i="8"/>
  <c r="F38" i="8"/>
  <c r="G38" i="8"/>
  <c r="H38" i="8"/>
  <c r="I38" i="8"/>
  <c r="J38" i="8"/>
  <c r="K38" i="8"/>
  <c r="L38" i="8"/>
  <c r="M38" i="8"/>
  <c r="F39" i="8"/>
  <c r="G39" i="8"/>
  <c r="H39" i="8"/>
  <c r="I39" i="8"/>
  <c r="J39" i="8"/>
  <c r="K39" i="8"/>
  <c r="L39" i="8"/>
  <c r="M39" i="8"/>
  <c r="F40" i="8"/>
  <c r="G40" i="8"/>
  <c r="H40" i="8"/>
  <c r="I40" i="8"/>
  <c r="J40" i="8"/>
  <c r="K40" i="8"/>
  <c r="L40" i="8"/>
  <c r="M40" i="8"/>
  <c r="F41" i="8"/>
  <c r="G41" i="8"/>
  <c r="H41" i="8"/>
  <c r="I41" i="8"/>
  <c r="J41" i="8"/>
  <c r="K41" i="8"/>
  <c r="L41" i="8"/>
  <c r="M41" i="8"/>
  <c r="F42" i="8"/>
  <c r="G42" i="8"/>
  <c r="H42" i="8"/>
  <c r="I42" i="8"/>
  <c r="J42" i="8"/>
  <c r="K42" i="8"/>
  <c r="L42" i="8"/>
  <c r="M42" i="8"/>
  <c r="F43" i="8"/>
  <c r="G43" i="8"/>
  <c r="H43" i="8"/>
  <c r="I43" i="8"/>
  <c r="J43" i="8"/>
  <c r="K43" i="8"/>
  <c r="L43" i="8"/>
  <c r="M43" i="8"/>
  <c r="F44" i="8"/>
  <c r="G44" i="8"/>
  <c r="H44" i="8"/>
  <c r="I44" i="8"/>
  <c r="J44" i="8"/>
  <c r="K44" i="8"/>
  <c r="L44" i="8"/>
  <c r="M44" i="8"/>
  <c r="F45" i="8"/>
  <c r="G45" i="8"/>
  <c r="H45" i="8"/>
  <c r="I45" i="8"/>
  <c r="J45" i="8"/>
  <c r="K45" i="8"/>
  <c r="L45" i="8"/>
  <c r="M45" i="8"/>
  <c r="F46" i="8"/>
  <c r="G46" i="8"/>
  <c r="H46" i="8"/>
  <c r="I46" i="8"/>
  <c r="J46" i="8"/>
  <c r="K46" i="8"/>
  <c r="L46" i="8"/>
  <c r="M46" i="8"/>
  <c r="F47" i="8"/>
  <c r="G47" i="8"/>
  <c r="H47" i="8"/>
  <c r="I47" i="8"/>
  <c r="J47" i="8"/>
  <c r="K47" i="8"/>
  <c r="L47" i="8"/>
  <c r="M47" i="8"/>
  <c r="F48" i="8"/>
  <c r="G48" i="8"/>
  <c r="H48" i="8"/>
  <c r="I48" i="8"/>
  <c r="J48" i="8"/>
  <c r="K48" i="8"/>
  <c r="L48" i="8"/>
  <c r="M48" i="8"/>
  <c r="F49" i="8"/>
  <c r="G49" i="8"/>
  <c r="H49" i="8"/>
  <c r="I49" i="8"/>
  <c r="J49" i="8"/>
  <c r="K49" i="8"/>
  <c r="L49" i="8"/>
  <c r="M49" i="8"/>
  <c r="F50" i="8"/>
  <c r="G50" i="8"/>
  <c r="H50" i="8"/>
  <c r="I50" i="8"/>
  <c r="J50" i="8"/>
  <c r="K50" i="8"/>
  <c r="L50" i="8"/>
  <c r="M50" i="8"/>
  <c r="F51" i="8"/>
  <c r="G51" i="8"/>
  <c r="H51" i="8"/>
  <c r="I51" i="8"/>
  <c r="J51" i="8"/>
  <c r="K51" i="8"/>
  <c r="L51" i="8"/>
  <c r="M51" i="8"/>
  <c r="F52" i="8"/>
  <c r="G52" i="8"/>
  <c r="H52" i="8"/>
  <c r="I52" i="8"/>
  <c r="J52" i="8"/>
  <c r="K52" i="8"/>
  <c r="L52" i="8"/>
  <c r="M52" i="8"/>
  <c r="F53" i="8"/>
  <c r="G53" i="8"/>
  <c r="H53" i="8"/>
  <c r="I53" i="8"/>
  <c r="J53" i="8"/>
  <c r="K53" i="8"/>
  <c r="L53" i="8"/>
  <c r="M53" i="8"/>
  <c r="F54" i="8"/>
  <c r="G54" i="8"/>
  <c r="H54" i="8"/>
  <c r="I54" i="8"/>
  <c r="J54" i="8"/>
  <c r="K54" i="8"/>
  <c r="L54" i="8"/>
  <c r="M54" i="8"/>
  <c r="F55" i="8"/>
  <c r="G55" i="8"/>
  <c r="H55" i="8"/>
  <c r="I55" i="8"/>
  <c r="J55" i="8"/>
  <c r="K55" i="8"/>
  <c r="L55" i="8"/>
  <c r="M55" i="8"/>
  <c r="F56" i="8"/>
  <c r="G56" i="8"/>
  <c r="H56" i="8"/>
  <c r="I56" i="8"/>
  <c r="J56" i="8"/>
  <c r="K56" i="8"/>
  <c r="L56" i="8"/>
  <c r="M56" i="8"/>
  <c r="F57" i="8"/>
  <c r="G57" i="8"/>
  <c r="H57" i="8"/>
  <c r="I57" i="8"/>
  <c r="J57" i="8"/>
  <c r="K57" i="8"/>
  <c r="L57" i="8"/>
  <c r="M57" i="8"/>
  <c r="F58" i="8"/>
  <c r="G58" i="8"/>
  <c r="H58" i="8"/>
  <c r="I58" i="8"/>
  <c r="J58" i="8"/>
  <c r="K58" i="8"/>
  <c r="L58" i="8"/>
  <c r="M58" i="8"/>
  <c r="F59" i="8"/>
  <c r="G59" i="8"/>
  <c r="H59" i="8"/>
  <c r="I59" i="8"/>
  <c r="J59" i="8"/>
  <c r="K59" i="8"/>
  <c r="L59" i="8"/>
  <c r="M59" i="8"/>
  <c r="F60" i="8"/>
  <c r="G60" i="8"/>
  <c r="H60" i="8"/>
  <c r="I60" i="8"/>
  <c r="J60" i="8"/>
  <c r="K60" i="8"/>
  <c r="L60" i="8"/>
  <c r="M60" i="8"/>
  <c r="F62" i="8"/>
  <c r="G62" i="8"/>
  <c r="H62" i="8"/>
  <c r="I62" i="8"/>
  <c r="J62" i="8"/>
  <c r="K62" i="8"/>
  <c r="L62" i="8"/>
  <c r="M62" i="8"/>
  <c r="F63" i="8"/>
  <c r="G63" i="8"/>
  <c r="H63" i="8"/>
  <c r="I63" i="8"/>
  <c r="J63" i="8"/>
  <c r="K63" i="8"/>
  <c r="L63" i="8"/>
  <c r="M63" i="8"/>
  <c r="F64" i="8"/>
  <c r="G64" i="8"/>
  <c r="H64" i="8"/>
  <c r="I64" i="8"/>
  <c r="J64" i="8"/>
  <c r="K64" i="8"/>
  <c r="L64" i="8"/>
  <c r="M64" i="8"/>
  <c r="F65" i="8"/>
  <c r="G65" i="8"/>
  <c r="H65" i="8"/>
  <c r="I65" i="8"/>
  <c r="J65" i="8"/>
  <c r="K65" i="8"/>
  <c r="L65" i="8"/>
  <c r="M65" i="8"/>
  <c r="F66" i="8"/>
  <c r="G66" i="8"/>
  <c r="H66" i="8"/>
  <c r="I66" i="8"/>
  <c r="J66" i="8"/>
  <c r="K66" i="8"/>
  <c r="L66" i="8"/>
  <c r="M66" i="8"/>
  <c r="F67" i="8"/>
  <c r="G67" i="8"/>
  <c r="H67" i="8"/>
  <c r="I67" i="8"/>
  <c r="J67" i="8"/>
  <c r="K67" i="8"/>
  <c r="L67" i="8"/>
  <c r="M67" i="8"/>
  <c r="F68" i="8"/>
  <c r="G68" i="8"/>
  <c r="H68" i="8"/>
  <c r="I68" i="8"/>
  <c r="J68" i="8"/>
  <c r="K68" i="8"/>
  <c r="L68" i="8"/>
  <c r="M68" i="8"/>
  <c r="F69" i="8"/>
  <c r="G69" i="8"/>
  <c r="H69" i="8"/>
  <c r="I69" i="8"/>
  <c r="J69" i="8"/>
  <c r="K69" i="8"/>
  <c r="L69" i="8"/>
  <c r="M69" i="8"/>
  <c r="F70" i="8"/>
  <c r="G70" i="8"/>
  <c r="H70" i="8"/>
  <c r="I70" i="8"/>
  <c r="J70" i="8"/>
  <c r="K70" i="8"/>
  <c r="L70" i="8"/>
  <c r="M70" i="8"/>
  <c r="F71" i="8"/>
  <c r="G71" i="8"/>
  <c r="H71" i="8"/>
  <c r="I71" i="8"/>
  <c r="J71" i="8"/>
  <c r="K71" i="8"/>
  <c r="L71" i="8"/>
  <c r="M71" i="8"/>
  <c r="F72" i="8"/>
  <c r="G72" i="8"/>
  <c r="H72" i="8"/>
  <c r="I72" i="8"/>
  <c r="J72" i="8"/>
  <c r="K72" i="8"/>
  <c r="L72" i="8"/>
  <c r="M72" i="8"/>
  <c r="F73" i="8"/>
  <c r="G73" i="8"/>
  <c r="H73" i="8"/>
  <c r="I73" i="8"/>
  <c r="J73" i="8"/>
  <c r="K73" i="8"/>
  <c r="L73" i="8"/>
  <c r="M73" i="8"/>
  <c r="F74" i="8"/>
  <c r="G74" i="8"/>
  <c r="H74" i="8"/>
  <c r="I74" i="8"/>
  <c r="J74" i="8"/>
  <c r="K74" i="8"/>
  <c r="L74" i="8"/>
  <c r="M74" i="8"/>
  <c r="F75" i="8"/>
  <c r="G75" i="8"/>
  <c r="H75" i="8"/>
  <c r="I75" i="8"/>
  <c r="J75" i="8"/>
  <c r="K75" i="8"/>
  <c r="L75" i="8"/>
  <c r="M75" i="8"/>
  <c r="F76" i="8"/>
  <c r="G76" i="8"/>
  <c r="H76" i="8"/>
  <c r="I76" i="8"/>
  <c r="J76" i="8"/>
  <c r="K76" i="8"/>
  <c r="L76" i="8"/>
  <c r="M76" i="8"/>
  <c r="F77" i="8"/>
  <c r="G77" i="8"/>
  <c r="H77" i="8"/>
  <c r="I77" i="8"/>
  <c r="J77" i="8"/>
  <c r="K77" i="8"/>
  <c r="L77" i="8"/>
  <c r="M77" i="8"/>
  <c r="F78" i="8"/>
  <c r="G78" i="8"/>
  <c r="H78" i="8"/>
  <c r="I78" i="8"/>
  <c r="J78" i="8"/>
  <c r="K78" i="8"/>
  <c r="L78" i="8"/>
  <c r="M78" i="8"/>
  <c r="F79" i="8"/>
  <c r="G79" i="8"/>
  <c r="H79" i="8"/>
  <c r="I79" i="8"/>
  <c r="J79" i="8"/>
  <c r="K79" i="8"/>
  <c r="L79" i="8"/>
  <c r="M79" i="8"/>
  <c r="F80" i="8"/>
  <c r="G80" i="8"/>
  <c r="H80" i="8"/>
  <c r="I80" i="8"/>
  <c r="J80" i="8"/>
  <c r="K80" i="8"/>
  <c r="L80" i="8"/>
  <c r="M80" i="8"/>
  <c r="F81" i="8"/>
  <c r="G81" i="8"/>
  <c r="H81" i="8"/>
  <c r="I81" i="8"/>
  <c r="J81" i="8"/>
  <c r="K81" i="8"/>
  <c r="L81" i="8"/>
  <c r="M81" i="8"/>
  <c r="F82" i="8"/>
  <c r="G82" i="8"/>
  <c r="H82" i="8"/>
  <c r="I82" i="8"/>
  <c r="J82" i="8"/>
  <c r="K82" i="8"/>
  <c r="L82" i="8"/>
  <c r="M82" i="8"/>
  <c r="F83" i="8"/>
  <c r="G83" i="8"/>
  <c r="H83" i="8"/>
  <c r="I83" i="8"/>
  <c r="J83" i="8"/>
  <c r="K83" i="8"/>
  <c r="L83" i="8"/>
  <c r="M83" i="8"/>
  <c r="F84" i="8"/>
  <c r="G84" i="8"/>
  <c r="H84" i="8"/>
  <c r="I84" i="8"/>
  <c r="J84" i="8"/>
  <c r="K84" i="8"/>
  <c r="L84" i="8"/>
  <c r="M84" i="8"/>
  <c r="F85" i="8"/>
  <c r="G85" i="8"/>
  <c r="H85" i="8"/>
  <c r="I85" i="8"/>
  <c r="J85" i="8"/>
  <c r="K85" i="8"/>
  <c r="L85" i="8"/>
  <c r="M85" i="8"/>
  <c r="F86" i="8"/>
  <c r="G86" i="8"/>
  <c r="H86" i="8"/>
  <c r="I86" i="8"/>
  <c r="J86" i="8"/>
  <c r="K86" i="8"/>
  <c r="L86" i="8"/>
  <c r="M86" i="8"/>
  <c r="F87" i="8"/>
  <c r="G87" i="8"/>
  <c r="H87" i="8"/>
  <c r="I87" i="8"/>
  <c r="J87" i="8"/>
  <c r="K87" i="8"/>
  <c r="L87" i="8"/>
  <c r="M87" i="8"/>
  <c r="F88" i="8"/>
  <c r="G88" i="8"/>
  <c r="H88" i="8"/>
  <c r="I88" i="8"/>
  <c r="J88" i="8"/>
  <c r="K88" i="8"/>
  <c r="L88" i="8"/>
  <c r="M88" i="8"/>
  <c r="F90" i="8"/>
  <c r="G90" i="8"/>
  <c r="H90" i="8"/>
  <c r="I90" i="8"/>
  <c r="J90" i="8"/>
  <c r="K90" i="8"/>
  <c r="L90" i="8"/>
  <c r="M90" i="8"/>
  <c r="F91" i="8"/>
  <c r="G91" i="8"/>
  <c r="H91" i="8"/>
  <c r="I91" i="8"/>
  <c r="J91" i="8"/>
  <c r="K91" i="8"/>
  <c r="L91" i="8"/>
  <c r="M91" i="8"/>
  <c r="F92" i="8"/>
  <c r="G92" i="8"/>
  <c r="H92" i="8"/>
  <c r="I92" i="8"/>
  <c r="J92" i="8"/>
  <c r="K92" i="8"/>
  <c r="L92" i="8"/>
  <c r="M92" i="8"/>
  <c r="F93" i="8"/>
  <c r="G93" i="8"/>
  <c r="H93" i="8"/>
  <c r="I93" i="8"/>
  <c r="J93" i="8"/>
  <c r="K93" i="8"/>
  <c r="L93" i="8"/>
  <c r="M93" i="8"/>
  <c r="F94" i="8"/>
  <c r="G94" i="8"/>
  <c r="H94" i="8"/>
  <c r="I94" i="8"/>
  <c r="J94" i="8"/>
  <c r="K94" i="8"/>
  <c r="L94" i="8"/>
  <c r="M94" i="8"/>
  <c r="F95" i="8"/>
  <c r="G95" i="8"/>
  <c r="H95" i="8"/>
  <c r="I95" i="8"/>
  <c r="J95" i="8"/>
  <c r="K95" i="8"/>
  <c r="L95" i="8"/>
  <c r="M95" i="8"/>
  <c r="F96" i="8"/>
  <c r="G96" i="8"/>
  <c r="H96" i="8"/>
  <c r="I96" i="8"/>
  <c r="J96" i="8"/>
  <c r="K96" i="8"/>
  <c r="L96" i="8"/>
  <c r="M96" i="8"/>
  <c r="F97" i="8"/>
  <c r="G97" i="8"/>
  <c r="H97" i="8"/>
  <c r="I97" i="8"/>
  <c r="J97" i="8"/>
  <c r="K97" i="8"/>
  <c r="L97" i="8"/>
  <c r="M97" i="8"/>
  <c r="F98" i="8"/>
  <c r="G98" i="8"/>
  <c r="H98" i="8"/>
  <c r="I98" i="8"/>
  <c r="J98" i="8"/>
  <c r="K98" i="8"/>
  <c r="L98" i="8"/>
  <c r="M98" i="8"/>
  <c r="F99" i="8"/>
  <c r="G99" i="8"/>
  <c r="H99" i="8"/>
  <c r="I99" i="8"/>
  <c r="J99" i="8"/>
  <c r="K99" i="8"/>
  <c r="L99" i="8"/>
  <c r="M99" i="8"/>
  <c r="F100" i="8"/>
  <c r="G100" i="8"/>
  <c r="H100" i="8"/>
  <c r="I100" i="8"/>
  <c r="J100" i="8"/>
  <c r="K100" i="8"/>
  <c r="L100" i="8"/>
  <c r="M100" i="8"/>
  <c r="F101" i="8"/>
  <c r="G101" i="8"/>
  <c r="H101" i="8"/>
  <c r="I101" i="8"/>
  <c r="J101" i="8"/>
  <c r="K101" i="8"/>
  <c r="L101" i="8"/>
  <c r="M101" i="8"/>
  <c r="F102" i="8"/>
  <c r="G102" i="8"/>
  <c r="H102" i="8"/>
  <c r="I102" i="8"/>
  <c r="J102" i="8"/>
  <c r="K102" i="8"/>
  <c r="L102" i="8"/>
  <c r="M102" i="8"/>
  <c r="F103" i="8"/>
  <c r="G103" i="8"/>
  <c r="H103" i="8"/>
  <c r="I103" i="8"/>
  <c r="J103" i="8"/>
  <c r="K103" i="8"/>
  <c r="L103" i="8"/>
  <c r="M103" i="8"/>
  <c r="F104" i="8"/>
  <c r="G104" i="8"/>
  <c r="H104" i="8"/>
  <c r="I104" i="8"/>
  <c r="J104" i="8"/>
  <c r="K104" i="8"/>
  <c r="L104" i="8"/>
  <c r="M104" i="8"/>
  <c r="F105" i="8"/>
  <c r="G105" i="8"/>
  <c r="H105" i="8"/>
  <c r="I105" i="8"/>
  <c r="J105" i="8"/>
  <c r="K105" i="8"/>
  <c r="L105" i="8"/>
  <c r="M105" i="8"/>
  <c r="F106" i="8"/>
  <c r="G106" i="8"/>
  <c r="H106" i="8"/>
  <c r="I106" i="8"/>
  <c r="J106" i="8"/>
  <c r="K106" i="8"/>
  <c r="L106" i="8"/>
  <c r="M106" i="8"/>
  <c r="F107" i="8"/>
  <c r="G107" i="8"/>
  <c r="H107" i="8"/>
  <c r="I107" i="8"/>
  <c r="J107" i="8"/>
  <c r="K107" i="8"/>
  <c r="L107" i="8"/>
  <c r="M107" i="8"/>
  <c r="F108" i="8"/>
  <c r="G108" i="8"/>
  <c r="H108" i="8"/>
  <c r="I108" i="8"/>
  <c r="J108" i="8"/>
  <c r="K108" i="8"/>
  <c r="L108" i="8"/>
  <c r="M108" i="8"/>
  <c r="F109" i="8"/>
  <c r="G109" i="8"/>
  <c r="H109" i="8"/>
  <c r="I109" i="8"/>
  <c r="J109" i="8"/>
  <c r="K109" i="8"/>
  <c r="L109" i="8"/>
  <c r="M109" i="8"/>
  <c r="F110" i="8"/>
  <c r="G110" i="8"/>
  <c r="H110" i="8"/>
  <c r="I110" i="8"/>
  <c r="J110" i="8"/>
  <c r="K110" i="8"/>
  <c r="L110" i="8"/>
  <c r="M110" i="8"/>
  <c r="F111" i="8"/>
  <c r="G111" i="8"/>
  <c r="H111" i="8"/>
  <c r="I111" i="8"/>
  <c r="J111" i="8"/>
  <c r="K111" i="8"/>
  <c r="L111" i="8"/>
  <c r="M111" i="8"/>
  <c r="F112" i="8"/>
  <c r="G112" i="8"/>
  <c r="H112" i="8"/>
  <c r="I112" i="8"/>
  <c r="J112" i="8"/>
  <c r="K112" i="8"/>
  <c r="L112" i="8"/>
  <c r="M112" i="8"/>
  <c r="F114" i="8"/>
  <c r="G114" i="8"/>
  <c r="H114" i="8"/>
  <c r="I114" i="8"/>
  <c r="J114" i="8"/>
  <c r="K114" i="8"/>
  <c r="L114" i="8"/>
  <c r="M114" i="8"/>
  <c r="F115" i="8"/>
  <c r="G115" i="8"/>
  <c r="H115" i="8"/>
  <c r="I115" i="8"/>
  <c r="J115" i="8"/>
  <c r="K115" i="8"/>
  <c r="L115" i="8"/>
  <c r="M115" i="8"/>
  <c r="F116" i="8"/>
  <c r="G116" i="8"/>
  <c r="H116" i="8"/>
  <c r="I116" i="8"/>
  <c r="J116" i="8"/>
  <c r="K116" i="8"/>
  <c r="L116" i="8"/>
  <c r="M116" i="8"/>
  <c r="F117" i="8"/>
  <c r="G117" i="8"/>
  <c r="H117" i="8"/>
  <c r="I117" i="8"/>
  <c r="J117" i="8"/>
  <c r="K117" i="8"/>
  <c r="L117" i="8"/>
  <c r="M117" i="8"/>
  <c r="F118" i="8"/>
  <c r="G118" i="8"/>
  <c r="H118" i="8"/>
  <c r="I118" i="8"/>
  <c r="J118" i="8"/>
  <c r="K118" i="8"/>
  <c r="L118" i="8"/>
  <c r="M118" i="8"/>
  <c r="F119" i="8"/>
  <c r="G119" i="8"/>
  <c r="H119" i="8"/>
  <c r="I119" i="8"/>
  <c r="J119" i="8"/>
  <c r="K119" i="8"/>
  <c r="L119" i="8"/>
  <c r="M119" i="8"/>
  <c r="F120" i="8"/>
  <c r="G120" i="8"/>
  <c r="H120" i="8"/>
  <c r="I120" i="8"/>
  <c r="J120" i="8"/>
  <c r="K120" i="8"/>
  <c r="L120" i="8"/>
  <c r="M120" i="8"/>
  <c r="F121" i="8"/>
  <c r="G121" i="8"/>
  <c r="H121" i="8"/>
  <c r="I121" i="8"/>
  <c r="J121" i="8"/>
  <c r="K121" i="8"/>
  <c r="L121" i="8"/>
  <c r="M121" i="8"/>
  <c r="F122" i="8"/>
  <c r="G122" i="8"/>
  <c r="H122" i="8"/>
  <c r="I122" i="8"/>
  <c r="J122" i="8"/>
  <c r="K122" i="8"/>
  <c r="L122" i="8"/>
  <c r="M122" i="8"/>
  <c r="F123" i="8"/>
  <c r="G123" i="8"/>
  <c r="H123" i="8"/>
  <c r="I123" i="8"/>
  <c r="J123" i="8"/>
  <c r="K123" i="8"/>
  <c r="L123" i="8"/>
  <c r="M123" i="8"/>
  <c r="F124" i="8"/>
  <c r="G124" i="8"/>
  <c r="H124" i="8"/>
  <c r="I124" i="8"/>
  <c r="J124" i="8"/>
  <c r="K124" i="8"/>
  <c r="L124" i="8"/>
  <c r="M124" i="8"/>
  <c r="F125" i="8"/>
  <c r="G125" i="8"/>
  <c r="H125" i="8"/>
  <c r="I125" i="8"/>
  <c r="J125" i="8"/>
  <c r="K125" i="8"/>
  <c r="L125" i="8"/>
  <c r="M125" i="8"/>
  <c r="F126" i="8"/>
  <c r="G126" i="8"/>
  <c r="H126" i="8"/>
  <c r="I126" i="8"/>
  <c r="J126" i="8"/>
  <c r="K126" i="8"/>
  <c r="L126" i="8"/>
  <c r="M126" i="8"/>
  <c r="F127" i="8"/>
  <c r="G127" i="8"/>
  <c r="H127" i="8"/>
  <c r="I127" i="8"/>
  <c r="J127" i="8"/>
  <c r="K127" i="8"/>
  <c r="L127" i="8"/>
  <c r="M127" i="8"/>
  <c r="F128" i="8"/>
  <c r="G128" i="8"/>
  <c r="H128" i="8"/>
  <c r="I128" i="8"/>
  <c r="J128" i="8"/>
  <c r="K128" i="8"/>
  <c r="L128" i="8"/>
  <c r="M128" i="8"/>
  <c r="F129" i="8"/>
  <c r="G129" i="8"/>
  <c r="H129" i="8"/>
  <c r="I129" i="8"/>
  <c r="J129" i="8"/>
  <c r="K129" i="8"/>
  <c r="L129" i="8"/>
  <c r="M129" i="8"/>
  <c r="F130" i="8"/>
  <c r="G130" i="8"/>
  <c r="H130" i="8"/>
  <c r="I130" i="8"/>
  <c r="J130" i="8"/>
  <c r="K130" i="8"/>
  <c r="L130" i="8"/>
  <c r="M130" i="8"/>
  <c r="F131" i="8"/>
  <c r="G131" i="8"/>
  <c r="H131" i="8"/>
  <c r="I131" i="8"/>
  <c r="J131" i="8"/>
  <c r="K131" i="8"/>
  <c r="L131" i="8"/>
  <c r="M131" i="8"/>
  <c r="F132" i="8"/>
  <c r="G132" i="8"/>
  <c r="H132" i="8"/>
  <c r="I132" i="8"/>
  <c r="J132" i="8"/>
  <c r="K132" i="8"/>
  <c r="L132" i="8"/>
  <c r="M132" i="8"/>
  <c r="F134" i="8"/>
  <c r="G134" i="8"/>
  <c r="H134" i="8"/>
  <c r="I134" i="8"/>
  <c r="J134" i="8"/>
  <c r="K134" i="8"/>
  <c r="L134" i="8"/>
  <c r="M134" i="8"/>
  <c r="F135" i="8"/>
  <c r="G135" i="8"/>
  <c r="H135" i="8"/>
  <c r="I135" i="8"/>
  <c r="J135" i="8"/>
  <c r="K135" i="8"/>
  <c r="L135" i="8"/>
  <c r="M135" i="8"/>
  <c r="F136" i="8"/>
  <c r="G136" i="8"/>
  <c r="H136" i="8"/>
  <c r="I136" i="8"/>
  <c r="J136" i="8"/>
  <c r="K136" i="8"/>
  <c r="L136" i="8"/>
  <c r="M136" i="8"/>
  <c r="F137" i="8"/>
  <c r="G137" i="8"/>
  <c r="H137" i="8"/>
  <c r="I137" i="8"/>
  <c r="J137" i="8"/>
  <c r="K137" i="8"/>
  <c r="L137" i="8"/>
  <c r="M137" i="8"/>
  <c r="F138" i="8"/>
  <c r="G138" i="8"/>
  <c r="H138" i="8"/>
  <c r="I138" i="8"/>
  <c r="J138" i="8"/>
  <c r="K138" i="8"/>
  <c r="L138" i="8"/>
  <c r="M138" i="8"/>
  <c r="F139" i="8"/>
  <c r="G139" i="8"/>
  <c r="H139" i="8"/>
  <c r="I139" i="8"/>
  <c r="J139" i="8"/>
  <c r="K139" i="8"/>
  <c r="L139" i="8"/>
  <c r="M139" i="8"/>
  <c r="F140" i="8"/>
  <c r="G140" i="8"/>
  <c r="H140" i="8"/>
  <c r="I140" i="8"/>
  <c r="J140" i="8"/>
  <c r="K140" i="8"/>
  <c r="L140" i="8"/>
  <c r="M140" i="8"/>
  <c r="F141" i="8"/>
  <c r="G141" i="8"/>
  <c r="H141" i="8"/>
  <c r="I141" i="8"/>
  <c r="J141" i="8"/>
  <c r="K141" i="8"/>
  <c r="L141" i="8"/>
  <c r="M141" i="8"/>
  <c r="F142" i="8"/>
  <c r="G142" i="8"/>
  <c r="H142" i="8"/>
  <c r="I142" i="8"/>
  <c r="J142" i="8"/>
  <c r="K142" i="8"/>
  <c r="L142" i="8"/>
  <c r="M142" i="8"/>
  <c r="F143" i="8"/>
  <c r="G143" i="8"/>
  <c r="H143" i="8"/>
  <c r="I143" i="8"/>
  <c r="J143" i="8"/>
  <c r="K143" i="8"/>
  <c r="L143" i="8"/>
  <c r="M143" i="8"/>
  <c r="F144" i="8"/>
  <c r="G144" i="8"/>
  <c r="H144" i="8"/>
  <c r="I144" i="8"/>
  <c r="J144" i="8"/>
  <c r="K144" i="8"/>
  <c r="L144" i="8"/>
  <c r="M144" i="8"/>
  <c r="F145" i="8"/>
  <c r="G145" i="8"/>
  <c r="H145" i="8"/>
  <c r="I145" i="8"/>
  <c r="J145" i="8"/>
  <c r="K145" i="8"/>
  <c r="L145" i="8"/>
  <c r="M145" i="8"/>
  <c r="F146" i="8"/>
  <c r="G146" i="8"/>
  <c r="H146" i="8"/>
  <c r="I146" i="8"/>
  <c r="J146" i="8"/>
  <c r="K146" i="8"/>
  <c r="L146" i="8"/>
  <c r="M146" i="8"/>
  <c r="F147" i="8"/>
  <c r="G147" i="8"/>
  <c r="H147" i="8"/>
  <c r="I147" i="8"/>
  <c r="J147" i="8"/>
  <c r="K147" i="8"/>
  <c r="L147" i="8"/>
  <c r="M147" i="8"/>
  <c r="F148" i="8"/>
  <c r="G148" i="8"/>
  <c r="H148" i="8"/>
  <c r="I148" i="8"/>
  <c r="J148" i="8"/>
  <c r="K148" i="8"/>
  <c r="L148" i="8"/>
  <c r="M148" i="8"/>
  <c r="F150" i="8"/>
  <c r="G150" i="8"/>
  <c r="H150" i="8"/>
  <c r="I150" i="8"/>
  <c r="J150" i="8"/>
  <c r="K150" i="8"/>
  <c r="L150" i="8"/>
  <c r="M150" i="8"/>
  <c r="F151" i="8"/>
  <c r="G151" i="8"/>
  <c r="H151" i="8"/>
  <c r="I151" i="8"/>
  <c r="J151" i="8"/>
  <c r="K151" i="8"/>
  <c r="L151" i="8"/>
  <c r="M151" i="8"/>
  <c r="F152" i="8"/>
  <c r="G152" i="8"/>
  <c r="H152" i="8"/>
  <c r="I152" i="8"/>
  <c r="J152" i="8"/>
  <c r="K152" i="8"/>
  <c r="L152" i="8"/>
  <c r="M152" i="8"/>
  <c r="F153" i="8"/>
  <c r="G153" i="8"/>
  <c r="H153" i="8"/>
  <c r="I153" i="8"/>
  <c r="J153" i="8"/>
  <c r="K153" i="8"/>
  <c r="L153" i="8"/>
  <c r="M153" i="8"/>
  <c r="F154" i="8"/>
  <c r="G154" i="8"/>
  <c r="H154" i="8"/>
  <c r="I154" i="8"/>
  <c r="J154" i="8"/>
  <c r="K154" i="8"/>
  <c r="L154" i="8"/>
  <c r="M154" i="8"/>
  <c r="F155" i="8"/>
  <c r="G155" i="8"/>
  <c r="H155" i="8"/>
  <c r="I155" i="8"/>
  <c r="J155" i="8"/>
  <c r="K155" i="8"/>
  <c r="L155" i="8"/>
  <c r="M155" i="8"/>
  <c r="F156" i="8"/>
  <c r="G156" i="8"/>
  <c r="H156" i="8"/>
  <c r="I156" i="8"/>
  <c r="J156" i="8"/>
  <c r="K156" i="8"/>
  <c r="L156" i="8"/>
  <c r="M156" i="8"/>
  <c r="F157" i="8"/>
  <c r="G157" i="8"/>
  <c r="H157" i="8"/>
  <c r="I157" i="8"/>
  <c r="J157" i="8"/>
  <c r="K157" i="8"/>
  <c r="L157" i="8"/>
  <c r="M157" i="8"/>
  <c r="F158" i="8"/>
  <c r="G158" i="8"/>
  <c r="H158" i="8"/>
  <c r="I158" i="8"/>
  <c r="J158" i="8"/>
  <c r="K158" i="8"/>
  <c r="L158" i="8"/>
  <c r="M158" i="8"/>
  <c r="F159" i="8"/>
  <c r="G159" i="8"/>
  <c r="H159" i="8"/>
  <c r="I159" i="8"/>
  <c r="J159" i="8"/>
  <c r="K159" i="8"/>
  <c r="L159" i="8"/>
  <c r="M159" i="8"/>
  <c r="F160" i="8"/>
  <c r="G160" i="8"/>
  <c r="H160" i="8"/>
  <c r="I160" i="8"/>
  <c r="J160" i="8"/>
  <c r="K160" i="8"/>
  <c r="L160" i="8"/>
  <c r="M160" i="8"/>
  <c r="F161" i="8"/>
  <c r="G161" i="8"/>
  <c r="H161" i="8"/>
  <c r="I161" i="8"/>
  <c r="J161" i="8"/>
  <c r="K161" i="8"/>
  <c r="L161" i="8"/>
  <c r="M161" i="8"/>
  <c r="F162" i="8"/>
  <c r="G162" i="8"/>
  <c r="H162" i="8"/>
  <c r="I162" i="8"/>
  <c r="J162" i="8"/>
  <c r="K162" i="8"/>
  <c r="L162" i="8"/>
  <c r="M162" i="8"/>
  <c r="F163" i="8"/>
  <c r="G163" i="8"/>
  <c r="H163" i="8"/>
  <c r="I163" i="8"/>
  <c r="J163" i="8"/>
  <c r="K163" i="8"/>
  <c r="L163" i="8"/>
  <c r="M163" i="8"/>
  <c r="E163" i="8"/>
  <c r="D163" i="8"/>
  <c r="C163" i="8"/>
  <c r="B163" i="8"/>
  <c r="E162" i="8"/>
  <c r="D162" i="8"/>
  <c r="C162" i="8"/>
  <c r="B162" i="8"/>
  <c r="E161" i="8"/>
  <c r="D161" i="8"/>
  <c r="C161" i="8"/>
  <c r="B161" i="8"/>
  <c r="E160" i="8"/>
  <c r="D160" i="8"/>
  <c r="C160" i="8"/>
  <c r="B160" i="8"/>
  <c r="E159" i="8"/>
  <c r="D159" i="8"/>
  <c r="C159" i="8"/>
  <c r="B159" i="8"/>
  <c r="E158" i="8"/>
  <c r="D158" i="8"/>
  <c r="C158" i="8"/>
  <c r="B158" i="8"/>
  <c r="E157" i="8"/>
  <c r="D157" i="8"/>
  <c r="C157" i="8"/>
  <c r="B157" i="8"/>
  <c r="E156" i="8"/>
  <c r="D156" i="8"/>
  <c r="C156" i="8"/>
  <c r="B156" i="8"/>
  <c r="E155" i="8"/>
  <c r="D155" i="8"/>
  <c r="C155" i="8"/>
  <c r="B155" i="8"/>
  <c r="E154" i="8"/>
  <c r="D154" i="8"/>
  <c r="C154" i="8"/>
  <c r="B154" i="8"/>
  <c r="E153" i="8"/>
  <c r="D153" i="8"/>
  <c r="C153" i="8"/>
  <c r="B153" i="8"/>
  <c r="E152" i="8"/>
  <c r="D152" i="8"/>
  <c r="C152" i="8"/>
  <c r="B152" i="8"/>
  <c r="E151" i="8"/>
  <c r="D151" i="8"/>
  <c r="C151" i="8"/>
  <c r="B151" i="8"/>
  <c r="E150" i="8"/>
  <c r="D150" i="8"/>
  <c r="C150" i="8"/>
  <c r="B150" i="8"/>
  <c r="B149" i="8" s="1"/>
  <c r="E148" i="8"/>
  <c r="D148" i="8"/>
  <c r="C148" i="8"/>
  <c r="B148" i="8"/>
  <c r="E147" i="8"/>
  <c r="D147" i="8"/>
  <c r="C147" i="8"/>
  <c r="B147" i="8"/>
  <c r="E146" i="8"/>
  <c r="D146" i="8"/>
  <c r="C146" i="8"/>
  <c r="B146" i="8"/>
  <c r="E145" i="8"/>
  <c r="D145" i="8"/>
  <c r="C145" i="8"/>
  <c r="B145" i="8"/>
  <c r="E144" i="8"/>
  <c r="D144" i="8"/>
  <c r="C144" i="8"/>
  <c r="B144" i="8"/>
  <c r="E143" i="8"/>
  <c r="D143" i="8"/>
  <c r="C143" i="8"/>
  <c r="B143" i="8"/>
  <c r="E142" i="8"/>
  <c r="D142" i="8"/>
  <c r="C142" i="8"/>
  <c r="B142" i="8"/>
  <c r="E141" i="8"/>
  <c r="D141" i="8"/>
  <c r="C141" i="8"/>
  <c r="B141" i="8"/>
  <c r="E140" i="8"/>
  <c r="D140" i="8"/>
  <c r="C140" i="8"/>
  <c r="B140" i="8"/>
  <c r="E139" i="8"/>
  <c r="D139" i="8"/>
  <c r="C139" i="8"/>
  <c r="B139" i="8"/>
  <c r="E138" i="8"/>
  <c r="D138" i="8"/>
  <c r="C138" i="8"/>
  <c r="B138" i="8"/>
  <c r="E137" i="8"/>
  <c r="D137" i="8"/>
  <c r="C137" i="8"/>
  <c r="B137" i="8"/>
  <c r="E136" i="8"/>
  <c r="D136" i="8"/>
  <c r="C136" i="8"/>
  <c r="B136" i="8"/>
  <c r="E135" i="8"/>
  <c r="D135" i="8"/>
  <c r="C135" i="8"/>
  <c r="B135" i="8"/>
  <c r="E134" i="8"/>
  <c r="D134" i="8"/>
  <c r="C134" i="8"/>
  <c r="B134" i="8"/>
  <c r="E132" i="8"/>
  <c r="D132" i="8"/>
  <c r="C132" i="8"/>
  <c r="B132" i="8"/>
  <c r="E131" i="8"/>
  <c r="D131" i="8"/>
  <c r="C131" i="8"/>
  <c r="B131" i="8"/>
  <c r="E130" i="8"/>
  <c r="D130" i="8"/>
  <c r="C130" i="8"/>
  <c r="B130" i="8"/>
  <c r="E129" i="8"/>
  <c r="D129" i="8"/>
  <c r="C129" i="8"/>
  <c r="B129" i="8"/>
  <c r="E128" i="8"/>
  <c r="D128" i="8"/>
  <c r="C128" i="8"/>
  <c r="B128" i="8"/>
  <c r="E127" i="8"/>
  <c r="D127" i="8"/>
  <c r="C127" i="8"/>
  <c r="B127" i="8"/>
  <c r="E126" i="8"/>
  <c r="D126" i="8"/>
  <c r="C126" i="8"/>
  <c r="B126" i="8"/>
  <c r="E125" i="8"/>
  <c r="D125" i="8"/>
  <c r="C125" i="8"/>
  <c r="B125" i="8"/>
  <c r="E124" i="8"/>
  <c r="D124" i="8"/>
  <c r="C124" i="8"/>
  <c r="B124" i="8"/>
  <c r="E123" i="8"/>
  <c r="D123" i="8"/>
  <c r="C123" i="8"/>
  <c r="B123" i="8"/>
  <c r="E122" i="8"/>
  <c r="D122" i="8"/>
  <c r="C122" i="8"/>
  <c r="B122" i="8"/>
  <c r="E121" i="8"/>
  <c r="D121" i="8"/>
  <c r="C121" i="8"/>
  <c r="B121" i="8"/>
  <c r="E120" i="8"/>
  <c r="D120" i="8"/>
  <c r="C120" i="8"/>
  <c r="B120" i="8"/>
  <c r="E119" i="8"/>
  <c r="D119" i="8"/>
  <c r="C119" i="8"/>
  <c r="B119" i="8"/>
  <c r="E118" i="8"/>
  <c r="D118" i="8"/>
  <c r="C118" i="8"/>
  <c r="B118" i="8"/>
  <c r="E117" i="8"/>
  <c r="D117" i="8"/>
  <c r="C117" i="8"/>
  <c r="B117" i="8"/>
  <c r="E116" i="8"/>
  <c r="D116" i="8"/>
  <c r="C116" i="8"/>
  <c r="B116" i="8"/>
  <c r="E115" i="8"/>
  <c r="D115" i="8"/>
  <c r="C115" i="8"/>
  <c r="B115" i="8"/>
  <c r="E114" i="8"/>
  <c r="D114" i="8"/>
  <c r="C114" i="8"/>
  <c r="B114" i="8"/>
  <c r="E112" i="8"/>
  <c r="D112" i="8"/>
  <c r="C112" i="8"/>
  <c r="B112" i="8"/>
  <c r="E111" i="8"/>
  <c r="D111" i="8"/>
  <c r="C111" i="8"/>
  <c r="B111" i="8"/>
  <c r="E110" i="8"/>
  <c r="D110" i="8"/>
  <c r="C110" i="8"/>
  <c r="B110" i="8"/>
  <c r="E109" i="8"/>
  <c r="D109" i="8"/>
  <c r="C109" i="8"/>
  <c r="B109" i="8"/>
  <c r="E108" i="8"/>
  <c r="D108" i="8"/>
  <c r="C108" i="8"/>
  <c r="B108" i="8"/>
  <c r="E107" i="8"/>
  <c r="D107" i="8"/>
  <c r="C107" i="8"/>
  <c r="B107" i="8"/>
  <c r="E106" i="8"/>
  <c r="D106" i="8"/>
  <c r="C106" i="8"/>
  <c r="B106" i="8"/>
  <c r="E105" i="8"/>
  <c r="D105" i="8"/>
  <c r="C105" i="8"/>
  <c r="B105" i="8"/>
  <c r="E104" i="8"/>
  <c r="D104" i="8"/>
  <c r="C104" i="8"/>
  <c r="B104" i="8"/>
  <c r="E103" i="8"/>
  <c r="D103" i="8"/>
  <c r="C103" i="8"/>
  <c r="B103" i="8"/>
  <c r="E102" i="8"/>
  <c r="D102" i="8"/>
  <c r="C102" i="8"/>
  <c r="B102" i="8"/>
  <c r="E101" i="8"/>
  <c r="D101" i="8"/>
  <c r="C101" i="8"/>
  <c r="B101" i="8"/>
  <c r="E100" i="8"/>
  <c r="D100" i="8"/>
  <c r="C100" i="8"/>
  <c r="B100" i="8"/>
  <c r="E99" i="8"/>
  <c r="D99" i="8"/>
  <c r="C99" i="8"/>
  <c r="B99" i="8"/>
  <c r="E98" i="8"/>
  <c r="D98" i="8"/>
  <c r="C98" i="8"/>
  <c r="B98" i="8"/>
  <c r="E97" i="8"/>
  <c r="D97" i="8"/>
  <c r="C97" i="8"/>
  <c r="B97" i="8"/>
  <c r="E96" i="8"/>
  <c r="D96" i="8"/>
  <c r="C96" i="8"/>
  <c r="B96" i="8"/>
  <c r="E95" i="8"/>
  <c r="D95" i="8"/>
  <c r="C95" i="8"/>
  <c r="B95" i="8"/>
  <c r="E94" i="8"/>
  <c r="D94" i="8"/>
  <c r="C94" i="8"/>
  <c r="B94" i="8"/>
  <c r="E93" i="8"/>
  <c r="D93" i="8"/>
  <c r="C93" i="8"/>
  <c r="B93" i="8"/>
  <c r="E92" i="8"/>
  <c r="D92" i="8"/>
  <c r="C92" i="8"/>
  <c r="B92" i="8"/>
  <c r="E91" i="8"/>
  <c r="D91" i="8"/>
  <c r="C91" i="8"/>
  <c r="B91" i="8"/>
  <c r="E90" i="8"/>
  <c r="D90" i="8"/>
  <c r="C90" i="8"/>
  <c r="B90" i="8"/>
  <c r="E88" i="8"/>
  <c r="D88" i="8"/>
  <c r="C88" i="8"/>
  <c r="B88" i="8"/>
  <c r="E87" i="8"/>
  <c r="D87" i="8"/>
  <c r="C87" i="8"/>
  <c r="B87" i="8"/>
  <c r="E86" i="8"/>
  <c r="D86" i="8"/>
  <c r="C86" i="8"/>
  <c r="B86" i="8"/>
  <c r="E85" i="8"/>
  <c r="D85" i="8"/>
  <c r="C85" i="8"/>
  <c r="B85" i="8"/>
  <c r="E84" i="8"/>
  <c r="D84" i="8"/>
  <c r="C84" i="8"/>
  <c r="B84" i="8"/>
  <c r="E83" i="8"/>
  <c r="D83" i="8"/>
  <c r="C83" i="8"/>
  <c r="B83" i="8"/>
  <c r="E82" i="8"/>
  <c r="D82" i="8"/>
  <c r="C82" i="8"/>
  <c r="B82" i="8"/>
  <c r="E81" i="8"/>
  <c r="D81" i="8"/>
  <c r="C81" i="8"/>
  <c r="B81" i="8"/>
  <c r="E80" i="8"/>
  <c r="D80" i="8"/>
  <c r="C80" i="8"/>
  <c r="B80" i="8"/>
  <c r="E79" i="8"/>
  <c r="D79" i="8"/>
  <c r="C79" i="8"/>
  <c r="B79" i="8"/>
  <c r="E78" i="8"/>
  <c r="D78" i="8"/>
  <c r="C78" i="8"/>
  <c r="B78" i="8"/>
  <c r="E77" i="8"/>
  <c r="D77" i="8"/>
  <c r="C77" i="8"/>
  <c r="B77" i="8"/>
  <c r="E76" i="8"/>
  <c r="D76" i="8"/>
  <c r="C76" i="8"/>
  <c r="B76" i="8"/>
  <c r="E75" i="8"/>
  <c r="D75" i="8"/>
  <c r="C75" i="8"/>
  <c r="B75" i="8"/>
  <c r="E74" i="8"/>
  <c r="D74" i="8"/>
  <c r="C74" i="8"/>
  <c r="B74" i="8"/>
  <c r="E73" i="8"/>
  <c r="D73" i="8"/>
  <c r="C73" i="8"/>
  <c r="B73" i="8"/>
  <c r="E72" i="8"/>
  <c r="D72" i="8"/>
  <c r="C72" i="8"/>
  <c r="B72" i="8"/>
  <c r="E71" i="8"/>
  <c r="D71" i="8"/>
  <c r="C71" i="8"/>
  <c r="B71" i="8"/>
  <c r="E70" i="8"/>
  <c r="D70" i="8"/>
  <c r="C70" i="8"/>
  <c r="B70" i="8"/>
  <c r="E69" i="8"/>
  <c r="D69" i="8"/>
  <c r="C69" i="8"/>
  <c r="B69" i="8"/>
  <c r="E68" i="8"/>
  <c r="D68" i="8"/>
  <c r="C68" i="8"/>
  <c r="B68" i="8"/>
  <c r="E67" i="8"/>
  <c r="D67" i="8"/>
  <c r="C67" i="8"/>
  <c r="B67" i="8"/>
  <c r="E66" i="8"/>
  <c r="D66" i="8"/>
  <c r="C66" i="8"/>
  <c r="B66" i="8"/>
  <c r="E65" i="8"/>
  <c r="D65" i="8"/>
  <c r="C65" i="8"/>
  <c r="B65" i="8"/>
  <c r="E64" i="8"/>
  <c r="D64" i="8"/>
  <c r="C64" i="8"/>
  <c r="B64" i="8"/>
  <c r="E63" i="8"/>
  <c r="D63" i="8"/>
  <c r="C63" i="8"/>
  <c r="B63" i="8"/>
  <c r="E62" i="8"/>
  <c r="D62" i="8"/>
  <c r="C62" i="8"/>
  <c r="B62" i="8"/>
  <c r="E60" i="8"/>
  <c r="D60" i="8"/>
  <c r="C60" i="8"/>
  <c r="B60" i="8"/>
  <c r="E59" i="8"/>
  <c r="D59" i="8"/>
  <c r="C59" i="8"/>
  <c r="B59" i="8"/>
  <c r="E58" i="8"/>
  <c r="D58" i="8"/>
  <c r="C58" i="8"/>
  <c r="B58" i="8"/>
  <c r="E57" i="8"/>
  <c r="D57" i="8"/>
  <c r="C57" i="8"/>
  <c r="B57" i="8"/>
  <c r="E56" i="8"/>
  <c r="D56" i="8"/>
  <c r="C56" i="8"/>
  <c r="B56" i="8"/>
  <c r="E55" i="8"/>
  <c r="D55" i="8"/>
  <c r="C55" i="8"/>
  <c r="B55" i="8"/>
  <c r="E54" i="8"/>
  <c r="D54" i="8"/>
  <c r="C54" i="8"/>
  <c r="B54" i="8"/>
  <c r="E53" i="8"/>
  <c r="D53" i="8"/>
  <c r="C53" i="8"/>
  <c r="B53" i="8"/>
  <c r="E52" i="8"/>
  <c r="D52" i="8"/>
  <c r="C52" i="8"/>
  <c r="B52" i="8"/>
  <c r="E51" i="8"/>
  <c r="D51" i="8"/>
  <c r="C51" i="8"/>
  <c r="B51" i="8"/>
  <c r="E50" i="8"/>
  <c r="D50" i="8"/>
  <c r="C50" i="8"/>
  <c r="B50" i="8"/>
  <c r="E49" i="8"/>
  <c r="D49" i="8"/>
  <c r="C49" i="8"/>
  <c r="B49" i="8"/>
  <c r="E48" i="8"/>
  <c r="D48" i="8"/>
  <c r="C48" i="8"/>
  <c r="B48" i="8"/>
  <c r="E47" i="8"/>
  <c r="D47" i="8"/>
  <c r="C47" i="8"/>
  <c r="B47" i="8"/>
  <c r="E46" i="8"/>
  <c r="D46" i="8"/>
  <c r="C46" i="8"/>
  <c r="B46" i="8"/>
  <c r="E45" i="8"/>
  <c r="D45" i="8"/>
  <c r="C45" i="8"/>
  <c r="B45" i="8"/>
  <c r="E44" i="8"/>
  <c r="D44" i="8"/>
  <c r="C44" i="8"/>
  <c r="B44" i="8"/>
  <c r="E43" i="8"/>
  <c r="D43" i="8"/>
  <c r="C43" i="8"/>
  <c r="B43" i="8"/>
  <c r="E42" i="8"/>
  <c r="D42" i="8"/>
  <c r="C42" i="8"/>
  <c r="B42" i="8"/>
  <c r="E41" i="8"/>
  <c r="D41" i="8"/>
  <c r="C41" i="8"/>
  <c r="B41" i="8"/>
  <c r="E40" i="8"/>
  <c r="D40" i="8"/>
  <c r="C40" i="8"/>
  <c r="B40" i="8"/>
  <c r="E39" i="8"/>
  <c r="D39" i="8"/>
  <c r="C39" i="8"/>
  <c r="B39" i="8"/>
  <c r="E38" i="8"/>
  <c r="D38" i="8"/>
  <c r="C38" i="8"/>
  <c r="B38" i="8"/>
  <c r="E37" i="8"/>
  <c r="D37" i="8"/>
  <c r="C37" i="8"/>
  <c r="B37" i="8"/>
  <c r="E36" i="8"/>
  <c r="D36" i="8"/>
  <c r="C36" i="8"/>
  <c r="B36" i="8"/>
  <c r="E35" i="8"/>
  <c r="D35" i="8"/>
  <c r="C35" i="8"/>
  <c r="B35" i="8"/>
  <c r="E34" i="8"/>
  <c r="D34" i="8"/>
  <c r="C34" i="8"/>
  <c r="B34" i="8"/>
  <c r="E33" i="8"/>
  <c r="D33" i="8"/>
  <c r="C33" i="8"/>
  <c r="B33" i="8"/>
  <c r="E32" i="8"/>
  <c r="D32" i="8"/>
  <c r="C32" i="8"/>
  <c r="B32" i="8"/>
  <c r="E31" i="8"/>
  <c r="D31" i="8"/>
  <c r="C31" i="8"/>
  <c r="B31" i="8"/>
  <c r="E30" i="8"/>
  <c r="D30" i="8"/>
  <c r="C30" i="8"/>
  <c r="B30" i="8"/>
  <c r="E29" i="8"/>
  <c r="D29" i="8"/>
  <c r="C29" i="8"/>
  <c r="B29" i="8"/>
  <c r="E28" i="8"/>
  <c r="D28" i="8"/>
  <c r="C28" i="8"/>
  <c r="B28" i="8"/>
  <c r="E26" i="8"/>
  <c r="D26" i="8"/>
  <c r="C26" i="8"/>
  <c r="B26" i="8"/>
  <c r="E25" i="8"/>
  <c r="D25" i="8"/>
  <c r="C25" i="8"/>
  <c r="B25" i="8"/>
  <c r="E24" i="8"/>
  <c r="D24" i="8"/>
  <c r="C24" i="8"/>
  <c r="B24" i="8"/>
  <c r="E23" i="8"/>
  <c r="D23" i="8"/>
  <c r="C23" i="8"/>
  <c r="B23" i="8"/>
  <c r="E22" i="8"/>
  <c r="D22" i="8"/>
  <c r="C22" i="8"/>
  <c r="B22" i="8"/>
  <c r="E21" i="8"/>
  <c r="D21" i="8"/>
  <c r="C21" i="8"/>
  <c r="B21" i="8"/>
  <c r="E20" i="8"/>
  <c r="D20" i="8"/>
  <c r="C20" i="8"/>
  <c r="B20" i="8"/>
  <c r="E19" i="8"/>
  <c r="D19" i="8"/>
  <c r="C19" i="8"/>
  <c r="B19" i="8"/>
  <c r="E18" i="8"/>
  <c r="D18" i="8"/>
  <c r="C18" i="8"/>
  <c r="B18" i="8"/>
  <c r="E17" i="8"/>
  <c r="D17" i="8"/>
  <c r="C17" i="8"/>
  <c r="B17" i="8"/>
  <c r="E16" i="8"/>
  <c r="D16" i="8"/>
  <c r="C16" i="8"/>
  <c r="B16" i="8"/>
  <c r="E14" i="8"/>
  <c r="D14" i="8"/>
  <c r="C14" i="8"/>
  <c r="B14" i="8"/>
  <c r="E13" i="8"/>
  <c r="D13" i="8"/>
  <c r="C13" i="8"/>
  <c r="B13" i="8"/>
  <c r="E12" i="8"/>
  <c r="D12" i="8"/>
  <c r="C12" i="8"/>
  <c r="B12" i="8"/>
  <c r="E11" i="8"/>
  <c r="D11" i="8"/>
  <c r="C11" i="8"/>
  <c r="B11" i="8"/>
  <c r="E10" i="8"/>
  <c r="D10" i="8"/>
  <c r="C10" i="8"/>
  <c r="B10" i="8"/>
  <c r="E9" i="8"/>
  <c r="D9" i="8"/>
  <c r="C9" i="8"/>
  <c r="B9" i="8"/>
  <c r="E8" i="8"/>
  <c r="D8" i="8"/>
  <c r="C8" i="8"/>
  <c r="B8" i="8"/>
  <c r="E7" i="8"/>
  <c r="D7" i="8"/>
  <c r="C7" i="8"/>
  <c r="B7" i="8"/>
  <c r="E6" i="8"/>
  <c r="D6" i="8"/>
  <c r="C6" i="8"/>
  <c r="B6" i="8"/>
  <c r="E149" i="8"/>
  <c r="M15" i="8" l="1"/>
  <c r="I15" i="8"/>
  <c r="M5" i="8"/>
  <c r="I5" i="8"/>
  <c r="L149" i="8"/>
  <c r="H149" i="8"/>
  <c r="L133" i="8"/>
  <c r="H133" i="8"/>
  <c r="L113" i="8"/>
  <c r="H113" i="8"/>
  <c r="L89" i="8"/>
  <c r="H89" i="8"/>
  <c r="L61" i="8"/>
  <c r="H61" i="8"/>
  <c r="L27" i="8"/>
  <c r="H27" i="8"/>
  <c r="L15" i="8"/>
  <c r="H15" i="8"/>
  <c r="L5" i="8"/>
  <c r="H5" i="8"/>
  <c r="H4" i="8" s="1"/>
  <c r="I149" i="8"/>
  <c r="M133" i="8"/>
  <c r="I133" i="8"/>
  <c r="I113" i="8"/>
  <c r="M89" i="8"/>
  <c r="K5" i="8"/>
  <c r="G5" i="8"/>
  <c r="M149" i="8"/>
  <c r="M4" i="8" s="1"/>
  <c r="M113" i="8"/>
  <c r="I89" i="8"/>
  <c r="M61" i="8"/>
  <c r="I61" i="8"/>
  <c r="M27" i="8"/>
  <c r="I27" i="8"/>
  <c r="K149" i="8"/>
  <c r="G149" i="8"/>
  <c r="K133" i="8"/>
  <c r="G133" i="8"/>
  <c r="K113" i="8"/>
  <c r="G113" i="8"/>
  <c r="K89" i="8"/>
  <c r="G89" i="8"/>
  <c r="K61" i="8"/>
  <c r="G61" i="8"/>
  <c r="K27" i="8"/>
  <c r="G27" i="8"/>
  <c r="K15" i="8"/>
  <c r="K4" i="8" s="1"/>
  <c r="G15" i="8"/>
  <c r="G4" i="8" s="1"/>
  <c r="J149" i="8"/>
  <c r="F149" i="8"/>
  <c r="J133" i="8"/>
  <c r="F133" i="8"/>
  <c r="J113" i="8"/>
  <c r="F113" i="8"/>
  <c r="J89" i="8"/>
  <c r="F89" i="8"/>
  <c r="J61" i="8"/>
  <c r="F61" i="8"/>
  <c r="J27" i="8"/>
  <c r="F27" i="8"/>
  <c r="J15" i="8"/>
  <c r="F15" i="8"/>
  <c r="J5" i="8"/>
  <c r="J4" i="8" s="1"/>
  <c r="F5" i="8"/>
  <c r="F4" i="8" s="1"/>
  <c r="L4" i="8"/>
  <c r="B27" i="8"/>
  <c r="D15" i="8"/>
  <c r="E89" i="8"/>
  <c r="E133" i="8"/>
  <c r="N8" i="8"/>
  <c r="N12" i="8"/>
  <c r="N85" i="8"/>
  <c r="B15" i="8"/>
  <c r="N23" i="8"/>
  <c r="N28" i="8"/>
  <c r="N32" i="8"/>
  <c r="N36" i="8"/>
  <c r="N40" i="8"/>
  <c r="N44" i="8"/>
  <c r="N48" i="8"/>
  <c r="N52" i="8"/>
  <c r="N56" i="8"/>
  <c r="N60" i="8"/>
  <c r="E113" i="8"/>
  <c r="B5" i="8"/>
  <c r="N62" i="8"/>
  <c r="N66" i="8"/>
  <c r="N70" i="8"/>
  <c r="N74" i="8"/>
  <c r="N78" i="8"/>
  <c r="N117" i="8"/>
  <c r="N121" i="8"/>
  <c r="N125" i="8"/>
  <c r="N129" i="8"/>
  <c r="C27" i="8"/>
  <c r="N6" i="8"/>
  <c r="E5" i="8"/>
  <c r="N9" i="8"/>
  <c r="N29" i="8"/>
  <c r="N33" i="8"/>
  <c r="N37" i="8"/>
  <c r="N41" i="8"/>
  <c r="N49" i="8"/>
  <c r="N53" i="8"/>
  <c r="N57" i="8"/>
  <c r="N63" i="8"/>
  <c r="D61" i="8"/>
  <c r="N67" i="8"/>
  <c r="N71" i="8"/>
  <c r="N75" i="8"/>
  <c r="N82" i="8"/>
  <c r="N86" i="8"/>
  <c r="N114" i="8"/>
  <c r="N118" i="8"/>
  <c r="N122" i="8"/>
  <c r="N126" i="8"/>
  <c r="N130" i="8"/>
  <c r="D133" i="8"/>
  <c r="N7" i="8"/>
  <c r="N11" i="8"/>
  <c r="N14" i="8"/>
  <c r="E15" i="8"/>
  <c r="N18" i="8"/>
  <c r="N22" i="8"/>
  <c r="N26" i="8"/>
  <c r="N65" i="8"/>
  <c r="N69" i="8"/>
  <c r="N73" i="8"/>
  <c r="N77" i="8"/>
  <c r="N90" i="8"/>
  <c r="N94" i="8"/>
  <c r="N98" i="8"/>
  <c r="N102" i="8"/>
  <c r="N106" i="8"/>
  <c r="N110" i="8"/>
  <c r="D113" i="8"/>
  <c r="N134" i="8"/>
  <c r="N138" i="8"/>
  <c r="N142" i="8"/>
  <c r="N146" i="8"/>
  <c r="D149" i="8"/>
  <c r="N154" i="8"/>
  <c r="N158" i="8"/>
  <c r="N162" i="8"/>
  <c r="N81" i="8"/>
  <c r="N10" i="8"/>
  <c r="N17" i="8"/>
  <c r="N21" i="8"/>
  <c r="N25" i="8"/>
  <c r="E27" i="8"/>
  <c r="N30" i="8"/>
  <c r="D27" i="8"/>
  <c r="N34" i="8"/>
  <c r="N38" i="8"/>
  <c r="N42" i="8"/>
  <c r="N46" i="8"/>
  <c r="N50" i="8"/>
  <c r="N54" i="8"/>
  <c r="N58" i="8"/>
  <c r="C61" i="8"/>
  <c r="E61" i="8"/>
  <c r="N93" i="8"/>
  <c r="N97" i="8"/>
  <c r="N101" i="8"/>
  <c r="N105" i="8"/>
  <c r="N109" i="8"/>
  <c r="N137" i="8"/>
  <c r="N141" i="8"/>
  <c r="N145" i="8"/>
  <c r="C149" i="8"/>
  <c r="D5" i="8"/>
  <c r="N19" i="8"/>
  <c r="D89" i="8"/>
  <c r="C5" i="8"/>
  <c r="N13" i="8"/>
  <c r="N16" i="8"/>
  <c r="N20" i="8"/>
  <c r="N24" i="8"/>
  <c r="N31" i="8"/>
  <c r="N35" i="8"/>
  <c r="N39" i="8"/>
  <c r="N43" i="8"/>
  <c r="N47" i="8"/>
  <c r="N51" i="8"/>
  <c r="N55" i="8"/>
  <c r="N59" i="8"/>
  <c r="N64" i="8"/>
  <c r="N68" i="8"/>
  <c r="N72" i="8"/>
  <c r="N76" i="8"/>
  <c r="C15" i="8"/>
  <c r="N45" i="8"/>
  <c r="B89" i="8"/>
  <c r="C89" i="8"/>
  <c r="B113" i="8"/>
  <c r="C113" i="8"/>
  <c r="B133" i="8"/>
  <c r="C133" i="8"/>
  <c r="N80" i="8"/>
  <c r="N88" i="8"/>
  <c r="N96" i="8"/>
  <c r="N104" i="8"/>
  <c r="N124" i="8"/>
  <c r="N148" i="8"/>
  <c r="N152" i="8"/>
  <c r="N156" i="8"/>
  <c r="N160" i="8"/>
  <c r="N84" i="8"/>
  <c r="N92" i="8"/>
  <c r="N100" i="8"/>
  <c r="N108" i="8"/>
  <c r="N112" i="8"/>
  <c r="N116" i="8"/>
  <c r="N120" i="8"/>
  <c r="N128" i="8"/>
  <c r="N132" i="8"/>
  <c r="N136" i="8"/>
  <c r="N140" i="8"/>
  <c r="N144" i="8"/>
  <c r="B61" i="8"/>
  <c r="N79" i="8"/>
  <c r="N83" i="8"/>
  <c r="N87" i="8"/>
  <c r="N91" i="8"/>
  <c r="N95" i="8"/>
  <c r="N99" i="8"/>
  <c r="N103" i="8"/>
  <c r="N107" i="8"/>
  <c r="N111" i="8"/>
  <c r="N115" i="8"/>
  <c r="N119" i="8"/>
  <c r="N123" i="8"/>
  <c r="N127" i="8"/>
  <c r="N131" i="8"/>
  <c r="N135" i="8"/>
  <c r="N139" i="8"/>
  <c r="N143" i="8"/>
  <c r="N147" i="8"/>
  <c r="N151" i="8"/>
  <c r="N155" i="8"/>
  <c r="N159" i="8"/>
  <c r="N163" i="8"/>
  <c r="N150" i="8"/>
  <c r="N153" i="8"/>
  <c r="N157" i="8"/>
  <c r="N161" i="8"/>
  <c r="I4" i="8" l="1"/>
  <c r="N15" i="8"/>
  <c r="N61" i="8"/>
  <c r="E4" i="8"/>
  <c r="N113" i="8"/>
  <c r="N89" i="8"/>
  <c r="N27" i="8"/>
  <c r="N5" i="8"/>
  <c r="N133" i="8"/>
  <c r="B4" i="8"/>
  <c r="C4" i="8"/>
  <c r="D4" i="8"/>
  <c r="N149" i="8"/>
  <c r="N4" i="8" l="1"/>
  <c r="C7" i="3" l="1"/>
  <c r="C5" i="3" l="1"/>
</calcChain>
</file>

<file path=xl/sharedStrings.xml><?xml version="1.0" encoding="utf-8"?>
<sst xmlns="http://schemas.openxmlformats.org/spreadsheetml/2006/main" count="9128" uniqueCount="1207">
  <si>
    <t>Transparency Data</t>
  </si>
  <si>
    <t>Policy area:</t>
  </si>
  <si>
    <t>Theme:</t>
  </si>
  <si>
    <t>Education, children's services and skills</t>
  </si>
  <si>
    <t>Published on:</t>
  </si>
  <si>
    <t>Coverage:</t>
  </si>
  <si>
    <t>England</t>
  </si>
  <si>
    <t>Status:</t>
  </si>
  <si>
    <t>Statistician:</t>
  </si>
  <si>
    <t>Adam King</t>
  </si>
  <si>
    <t>Public enquiries:</t>
  </si>
  <si>
    <t>enquiries@ofsted.gov.uk</t>
  </si>
  <si>
    <t>Press enquiries:</t>
  </si>
  <si>
    <t>pressenquiries@ofsted.gov.uk</t>
  </si>
  <si>
    <t>Link to management information web page including publication schedule:</t>
  </si>
  <si>
    <t>https://www.gov.uk/government/collections/childrens-social-care-statistics#management-information</t>
  </si>
  <si>
    <t>Link to official statistics release web page:</t>
  </si>
  <si>
    <t>https://www.gov.uk/government/collections/childrens-social-care-statistics#latest-official-statistics-</t>
  </si>
  <si>
    <t xml:space="preserve">You may use and re-use this information (not including logos) free of charge in any format or medium, </t>
  </si>
  <si>
    <t xml:space="preserve">under the terms of the Open Government Licence. </t>
  </si>
  <si>
    <t>To view this licence, visit:</t>
  </si>
  <si>
    <t>http://www.nationalarchives.gov.uk/doc/open-government-licence/</t>
  </si>
  <si>
    <t>Or write to the Information Policy Team, The National Archives, Kew, London, TW9 4DU</t>
  </si>
  <si>
    <t>Or email:</t>
  </si>
  <si>
    <t>psi@nationalarchives.gsi.gov.uk</t>
  </si>
  <si>
    <t>Note:</t>
  </si>
  <si>
    <t>Today's date in B4</t>
  </si>
  <si>
    <t>Inspection end date:</t>
  </si>
  <si>
    <t xml:space="preserve">Inspection published by date: </t>
  </si>
  <si>
    <t>The Sunday before today in B6</t>
  </si>
  <si>
    <t>Count of Name</t>
  </si>
  <si>
    <t>Column Labels</t>
  </si>
  <si>
    <t>Row Labels</t>
  </si>
  <si>
    <t>Boarding School</t>
  </si>
  <si>
    <t>Children's home</t>
  </si>
  <si>
    <t>Residential Special School</t>
  </si>
  <si>
    <t>Residential special school (registered as a children's home)</t>
  </si>
  <si>
    <t>Secure children's home</t>
  </si>
  <si>
    <t>Grand Total</t>
  </si>
  <si>
    <t>East Midlands</t>
  </si>
  <si>
    <t>Derby</t>
  </si>
  <si>
    <t>Derbyshire</t>
  </si>
  <si>
    <t>Leicestershire</t>
  </si>
  <si>
    <t>Lincolnshire</t>
  </si>
  <si>
    <t>Northamptonshire</t>
  </si>
  <si>
    <t>Nottingham</t>
  </si>
  <si>
    <t>Nottinghamshire</t>
  </si>
  <si>
    <t>Rutland</t>
  </si>
  <si>
    <t>East of England</t>
  </si>
  <si>
    <t>Cambridgeshire</t>
  </si>
  <si>
    <t>Central Bedfordshire</t>
  </si>
  <si>
    <t>Essex</t>
  </si>
  <si>
    <t>Hertfordshire</t>
  </si>
  <si>
    <t>Norfolk</t>
  </si>
  <si>
    <t>Peterborough</t>
  </si>
  <si>
    <t>Southend on Sea</t>
  </si>
  <si>
    <t>Suffolk</t>
  </si>
  <si>
    <t>London</t>
  </si>
  <si>
    <t>Barking and Dagenham</t>
  </si>
  <si>
    <t>Haringey</t>
  </si>
  <si>
    <t>Hounslow</t>
  </si>
  <si>
    <t>Newham</t>
  </si>
  <si>
    <t>Redbridge</t>
  </si>
  <si>
    <t>Wandsworth</t>
  </si>
  <si>
    <t>North East, Yorkshire and the Humber</t>
  </si>
  <si>
    <t>Barnsley</t>
  </si>
  <si>
    <t>Bradford</t>
  </si>
  <si>
    <t>Calderdale</t>
  </si>
  <si>
    <t>Darlington</t>
  </si>
  <si>
    <t>Doncaster</t>
  </si>
  <si>
    <t>Durham</t>
  </si>
  <si>
    <t>East Riding of Yorkshire</t>
  </si>
  <si>
    <t>Kingston upon Hull</t>
  </si>
  <si>
    <t>Kirklees</t>
  </si>
  <si>
    <t>Leeds</t>
  </si>
  <si>
    <t>Middlesbrough</t>
  </si>
  <si>
    <t>Newcastle upon Tyne</t>
  </si>
  <si>
    <t>North East Lincolnshire</t>
  </si>
  <si>
    <t>North Tyneside</t>
  </si>
  <si>
    <t>North Yorkshire</t>
  </si>
  <si>
    <t>Northumberland</t>
  </si>
  <si>
    <t>Redcar and Cleveland</t>
  </si>
  <si>
    <t>Rotherham</t>
  </si>
  <si>
    <t>Sheffield</t>
  </si>
  <si>
    <t>Stockton-on-Tees</t>
  </si>
  <si>
    <t>Sunderland</t>
  </si>
  <si>
    <t>Wakefield</t>
  </si>
  <si>
    <t>North West</t>
  </si>
  <si>
    <t>Blackpool</t>
  </si>
  <si>
    <t>Bolton</t>
  </si>
  <si>
    <t>Cheshire East</t>
  </si>
  <si>
    <t>Cheshire West and Chester</t>
  </si>
  <si>
    <t>Cumbria</t>
  </si>
  <si>
    <t>Lancashire</t>
  </si>
  <si>
    <t>Liverpool</t>
  </si>
  <si>
    <t>Manchester</t>
  </si>
  <si>
    <t>Oldham</t>
  </si>
  <si>
    <t>Rochdale</t>
  </si>
  <si>
    <t>Salford</t>
  </si>
  <si>
    <t>St Helens</t>
  </si>
  <si>
    <t>Stockport</t>
  </si>
  <si>
    <t>Trafford</t>
  </si>
  <si>
    <t>Warrington</t>
  </si>
  <si>
    <t>Wigan</t>
  </si>
  <si>
    <t>Wirral</t>
  </si>
  <si>
    <t>South East</t>
  </si>
  <si>
    <t>Buckinghamshire</t>
  </si>
  <si>
    <t>East Sussex</t>
  </si>
  <si>
    <t>Hampshire</t>
  </si>
  <si>
    <t>Kent</t>
  </si>
  <si>
    <t>Oxfordshire</t>
  </si>
  <si>
    <t>Portsmouth</t>
  </si>
  <si>
    <t>Surrey</t>
  </si>
  <si>
    <t>West Sussex</t>
  </si>
  <si>
    <t>South West</t>
  </si>
  <si>
    <t>Bournemouth, Christchurch &amp; Poole</t>
  </si>
  <si>
    <t>Bristol</t>
  </si>
  <si>
    <t>Cornwall</t>
  </si>
  <si>
    <t>Devon</t>
  </si>
  <si>
    <t>Dorset</t>
  </si>
  <si>
    <t>Gloucestershire</t>
  </si>
  <si>
    <t>North Somerset</t>
  </si>
  <si>
    <t>Plymouth</t>
  </si>
  <si>
    <t>Somerset</t>
  </si>
  <si>
    <t>South Gloucestershire</t>
  </si>
  <si>
    <t>Swindon</t>
  </si>
  <si>
    <t>Torbay</t>
  </si>
  <si>
    <t>Wiltshire</t>
  </si>
  <si>
    <t>West Midlands</t>
  </si>
  <si>
    <t>Birmingham</t>
  </si>
  <si>
    <t>Dudley</t>
  </si>
  <si>
    <t>Herefordshire</t>
  </si>
  <si>
    <t>Sandwell</t>
  </si>
  <si>
    <t>Shropshire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</si>
  <si>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</si>
  <si>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</si>
  <si>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</si>
  <si>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</si>
  <si>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</si>
  <si>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</si>
  <si>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</si>
  <si>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Web link</t>
  </si>
  <si>
    <t>URN</t>
  </si>
  <si>
    <t>Provision type</t>
  </si>
  <si>
    <t>Registration date</t>
  </si>
  <si>
    <t>Registration status</t>
  </si>
  <si>
    <t>Name</t>
  </si>
  <si>
    <t>Ofsted region</t>
  </si>
  <si>
    <t>Local authority</t>
  </si>
  <si>
    <t>Parliamentary constituency</t>
  </si>
  <si>
    <t>Sector</t>
  </si>
  <si>
    <t>Visit Date</t>
  </si>
  <si>
    <t>Published letter date</t>
  </si>
  <si>
    <t>SC043245</t>
  </si>
  <si>
    <t>Active</t>
  </si>
  <si>
    <t>REDACTED</t>
  </si>
  <si>
    <t>South West Wiltshire</t>
  </si>
  <si>
    <t>Private</t>
  </si>
  <si>
    <t>SC438764</t>
  </si>
  <si>
    <t>Rochford and Southend East</t>
  </si>
  <si>
    <t>Oldham East and Saddleworth</t>
  </si>
  <si>
    <t>SC023739</t>
  </si>
  <si>
    <t>South Thanet</t>
  </si>
  <si>
    <t>Gravesham</t>
  </si>
  <si>
    <t>Yorkshire and The Humber</t>
  </si>
  <si>
    <t>Morley and Outwood</t>
  </si>
  <si>
    <t>SC457423</t>
  </si>
  <si>
    <t>South West Bedfordshire</t>
  </si>
  <si>
    <t>Voluntary</t>
  </si>
  <si>
    <t>Hemsworth</t>
  </si>
  <si>
    <t>SC061232</t>
  </si>
  <si>
    <t>Bristol South</t>
  </si>
  <si>
    <t>Local Authority</t>
  </si>
  <si>
    <t>Don Valley</t>
  </si>
  <si>
    <t>SC037762</t>
  </si>
  <si>
    <t xml:space="preserve">Portsmouth North </t>
  </si>
  <si>
    <t>SC480655</t>
  </si>
  <si>
    <t>Rutland and Melton</t>
  </si>
  <si>
    <t>South West Norfolk</t>
  </si>
  <si>
    <t>Rossendale and Darwen</t>
  </si>
  <si>
    <t>St Helens North</t>
  </si>
  <si>
    <t>North Swindon</t>
  </si>
  <si>
    <t>Halifax</t>
  </si>
  <si>
    <t>SC053529</t>
  </si>
  <si>
    <t>SC431699</t>
  </si>
  <si>
    <t>Nottingham East</t>
  </si>
  <si>
    <t>SC035593</t>
  </si>
  <si>
    <t>New Forest East</t>
  </si>
  <si>
    <t>Plymouth, Sutton and Devonport</t>
  </si>
  <si>
    <t>Wallasey</t>
  </si>
  <si>
    <t>Bassetlaw</t>
  </si>
  <si>
    <t>SC066120</t>
  </si>
  <si>
    <t>Leeds West</t>
  </si>
  <si>
    <t>SC457621</t>
  </si>
  <si>
    <t>Northampton North</t>
  </si>
  <si>
    <t>SC045408</t>
  </si>
  <si>
    <t>Reigate</t>
  </si>
  <si>
    <t>Sutton Coldfield</t>
  </si>
  <si>
    <t>SC022440</t>
  </si>
  <si>
    <t>St Helens South and Whiston</t>
  </si>
  <si>
    <t>SC411208</t>
  </si>
  <si>
    <t>Taunton Deane</t>
  </si>
  <si>
    <t>SC035439</t>
  </si>
  <si>
    <t>Wyre and Preston North</t>
  </si>
  <si>
    <t>SC449099</t>
  </si>
  <si>
    <t>North West Leicestershire</t>
  </si>
  <si>
    <t>North West Hampshire</t>
  </si>
  <si>
    <t>SC484789</t>
  </si>
  <si>
    <t>Bolton North East</t>
  </si>
  <si>
    <t>Worsley and Eccles South</t>
  </si>
  <si>
    <t>SC035657</t>
  </si>
  <si>
    <t>SC487196</t>
  </si>
  <si>
    <t>Crawley</t>
  </si>
  <si>
    <t>North East</t>
  </si>
  <si>
    <t>Sunderland Central</t>
  </si>
  <si>
    <t>Resigned</t>
  </si>
  <si>
    <t>SC481631</t>
  </si>
  <si>
    <t>Richmond (Yorks)</t>
  </si>
  <si>
    <t>SC034797</t>
  </si>
  <si>
    <t>South Norfolk</t>
  </si>
  <si>
    <t>SC037256</t>
  </si>
  <si>
    <t>Waveney</t>
  </si>
  <si>
    <t>SC361789</t>
  </si>
  <si>
    <t>St Austell and Newquay</t>
  </si>
  <si>
    <t>Wolverhampton North East</t>
  </si>
  <si>
    <t>SC374640</t>
  </si>
  <si>
    <t>Filton and Bradley Stoke</t>
  </si>
  <si>
    <t>SC447645</t>
  </si>
  <si>
    <t>Stone</t>
  </si>
  <si>
    <t>Great Grimsby</t>
  </si>
  <si>
    <t>Wansbeck</t>
  </si>
  <si>
    <t>SC060936</t>
  </si>
  <si>
    <t>West Suffolk</t>
  </si>
  <si>
    <t>SC040105</t>
  </si>
  <si>
    <t>Kingston upon Hull West and Hessle</t>
  </si>
  <si>
    <t>Blackpool South</t>
  </si>
  <si>
    <t>Suffolk Coastal</t>
  </si>
  <si>
    <t>SC034241</t>
  </si>
  <si>
    <t>Sleaford and North Hykeham</t>
  </si>
  <si>
    <t>Wycombe</t>
  </si>
  <si>
    <t>SC387148</t>
  </si>
  <si>
    <t>Stretford and Urmston</t>
  </si>
  <si>
    <t>Corby</t>
  </si>
  <si>
    <t>North East Bedfordshire</t>
  </si>
  <si>
    <t>SC059717</t>
  </si>
  <si>
    <t>Salisbury</t>
  </si>
  <si>
    <t>SC483623</t>
  </si>
  <si>
    <t>Hornsey and Wood Green</t>
  </si>
  <si>
    <t>Bournemouth East</t>
  </si>
  <si>
    <t>SC480240</t>
  </si>
  <si>
    <t>Hyndburn</t>
  </si>
  <si>
    <t>South Leicestershire</t>
  </si>
  <si>
    <t>SC459168</t>
  </si>
  <si>
    <t>SC487549</t>
  </si>
  <si>
    <t>Penrith and The Border</t>
  </si>
  <si>
    <t>SC478134</t>
  </si>
  <si>
    <t>West Worcestershire</t>
  </si>
  <si>
    <t>SC033362</t>
  </si>
  <si>
    <t>North West Cambridgeshire</t>
  </si>
  <si>
    <t>Birmingham, Selly Oak</t>
  </si>
  <si>
    <t>Stockton North</t>
  </si>
  <si>
    <t>SC482415</t>
  </si>
  <si>
    <t>Westmorland and Lonsdale</t>
  </si>
  <si>
    <t>SC040631</t>
  </si>
  <si>
    <t>Esher and Walton</t>
  </si>
  <si>
    <t>West Ham</t>
  </si>
  <si>
    <t>SC368032</t>
  </si>
  <si>
    <t>Aldridge-Brownhills</t>
  </si>
  <si>
    <t>SC000802</t>
  </si>
  <si>
    <t>Sedgefield</t>
  </si>
  <si>
    <t>SC483533</t>
  </si>
  <si>
    <t>SC036740</t>
  </si>
  <si>
    <t>Broxtowe</t>
  </si>
  <si>
    <t>SC405985</t>
  </si>
  <si>
    <t>Witham</t>
  </si>
  <si>
    <t>SC406636</t>
  </si>
  <si>
    <t>Bolton South East</t>
  </si>
  <si>
    <t>SC033174</t>
  </si>
  <si>
    <t>North East Hampshire</t>
  </si>
  <si>
    <t>SC033896</t>
  </si>
  <si>
    <t>Oxford West and Abingdon</t>
  </si>
  <si>
    <t>Newcastle upon Tyne East</t>
  </si>
  <si>
    <t>SC033502</t>
  </si>
  <si>
    <t>Bradford East</t>
  </si>
  <si>
    <t>Yeovil</t>
  </si>
  <si>
    <t>Rugby</t>
  </si>
  <si>
    <t>SC035428</t>
  </si>
  <si>
    <t>SC366002</t>
  </si>
  <si>
    <t>Weaver Vale</t>
  </si>
  <si>
    <t>Meon Valley</t>
  </si>
  <si>
    <t>SC489187</t>
  </si>
  <si>
    <t>Redcar</t>
  </si>
  <si>
    <t>SC022444</t>
  </si>
  <si>
    <t>SC457488</t>
  </si>
  <si>
    <t>Stratford-on-Avon</t>
  </si>
  <si>
    <t>SC037910</t>
  </si>
  <si>
    <t>Basingstoke</t>
  </si>
  <si>
    <t>South Cambridgeshire</t>
  </si>
  <si>
    <t>Somerton and Frome</t>
  </si>
  <si>
    <t>SC042967</t>
  </si>
  <si>
    <t>South Holland and The Deepings</t>
  </si>
  <si>
    <t>SC034953</t>
  </si>
  <si>
    <t>SC447930</t>
  </si>
  <si>
    <t>Warrington South</t>
  </si>
  <si>
    <t>SC454900</t>
  </si>
  <si>
    <t>South West Devon</t>
  </si>
  <si>
    <t>Calder Valley</t>
  </si>
  <si>
    <t>Birmingham, Hall Green</t>
  </si>
  <si>
    <t>SC476270</t>
  </si>
  <si>
    <t>North Norfolk</t>
  </si>
  <si>
    <t>SC040509</t>
  </si>
  <si>
    <t>Blackley and Broughton</t>
  </si>
  <si>
    <t>SC483958</t>
  </si>
  <si>
    <t>Halesowen and Rowley Regis</t>
  </si>
  <si>
    <t>SC427652</t>
  </si>
  <si>
    <t>SC430320</t>
  </si>
  <si>
    <t>Barking</t>
  </si>
  <si>
    <t>Hitchin and Harpenden</t>
  </si>
  <si>
    <t>Skipton and Ripon</t>
  </si>
  <si>
    <t>Bridgwater and West Somerset</t>
  </si>
  <si>
    <t>SC473404</t>
  </si>
  <si>
    <t>Suspended</t>
  </si>
  <si>
    <t>Dover</t>
  </si>
  <si>
    <t>Cannock Chase</t>
  </si>
  <si>
    <t>Ilford South</t>
  </si>
  <si>
    <t>Ipswich</t>
  </si>
  <si>
    <t>SC457639</t>
  </si>
  <si>
    <t>SC453372</t>
  </si>
  <si>
    <t>Bishop Auckland</t>
  </si>
  <si>
    <t>Derby North</t>
  </si>
  <si>
    <t>SC478152</t>
  </si>
  <si>
    <t>SC476249</t>
  </si>
  <si>
    <t>North Warwickshire</t>
  </si>
  <si>
    <t>SC043994</t>
  </si>
  <si>
    <t>Buckingham</t>
  </si>
  <si>
    <t>SC471581</t>
  </si>
  <si>
    <t>SC396813</t>
  </si>
  <si>
    <t>Lewes</t>
  </si>
  <si>
    <t>SC481235</t>
  </si>
  <si>
    <t>Warley</t>
  </si>
  <si>
    <t>SC064428</t>
  </si>
  <si>
    <t>North East Cambridgeshire</t>
  </si>
  <si>
    <t>Stroud</t>
  </si>
  <si>
    <t>SC033389</t>
  </si>
  <si>
    <t>Leeds North West</t>
  </si>
  <si>
    <t>SC450045</t>
  </si>
  <si>
    <t>Norwich North</t>
  </si>
  <si>
    <t>SC062074</t>
  </si>
  <si>
    <t>North Herefordshire</t>
  </si>
  <si>
    <t>SC487702</t>
  </si>
  <si>
    <t>SC036248</t>
  </si>
  <si>
    <t>Erewash</t>
  </si>
  <si>
    <t>SC061005</t>
  </si>
  <si>
    <t>Shipley</t>
  </si>
  <si>
    <t>The Wrekin</t>
  </si>
  <si>
    <t>SC479649</t>
  </si>
  <si>
    <t>Lancaster and Fleetwood</t>
  </si>
  <si>
    <t>SC387671</t>
  </si>
  <si>
    <t>SC438648</t>
  </si>
  <si>
    <t>SC029865</t>
  </si>
  <si>
    <t>Mid Sussex</t>
  </si>
  <si>
    <t>SC363268</t>
  </si>
  <si>
    <t>Gainsborough</t>
  </si>
  <si>
    <t>SC039414</t>
  </si>
  <si>
    <t>Sheffield Central</t>
  </si>
  <si>
    <t>SC451819</t>
  </si>
  <si>
    <t>SC025420</t>
  </si>
  <si>
    <t>Liverpool, Riverside</t>
  </si>
  <si>
    <t>Charnwood</t>
  </si>
  <si>
    <t>SC065067</t>
  </si>
  <si>
    <t>Salford and Eccles</t>
  </si>
  <si>
    <t>SC457434</t>
  </si>
  <si>
    <t>SC035543</t>
  </si>
  <si>
    <t>East Yorkshire</t>
  </si>
  <si>
    <t>SC067865</t>
  </si>
  <si>
    <t>Barnsley Central</t>
  </si>
  <si>
    <t>SC480681</t>
  </si>
  <si>
    <t>SC475323</t>
  </si>
  <si>
    <t>Staffordshire Moorlands</t>
  </si>
  <si>
    <t>Norwich South</t>
  </si>
  <si>
    <t>SC370982</t>
  </si>
  <si>
    <t>Shrewsbury and Atcham</t>
  </si>
  <si>
    <t>SC421063</t>
  </si>
  <si>
    <t>Rother Valley</t>
  </si>
  <si>
    <t>SC457500</t>
  </si>
  <si>
    <t>SC060750</t>
  </si>
  <si>
    <t>SC403472</t>
  </si>
  <si>
    <t>Newcastle upon Tyne North</t>
  </si>
  <si>
    <t>Birmingham, Perry Barr</t>
  </si>
  <si>
    <t>SC369825</t>
  </si>
  <si>
    <t>Stoke-on-Trent South</t>
  </si>
  <si>
    <t>SC040638</t>
  </si>
  <si>
    <t>East Surrey</t>
  </si>
  <si>
    <t>SC452009</t>
  </si>
  <si>
    <t>Wells</t>
  </si>
  <si>
    <t>SC457272</t>
  </si>
  <si>
    <t>SC394478</t>
  </si>
  <si>
    <t>Witney</t>
  </si>
  <si>
    <t>Chorley</t>
  </si>
  <si>
    <t>SC372611</t>
  </si>
  <si>
    <t>Christchurch</t>
  </si>
  <si>
    <t>SC036243</t>
  </si>
  <si>
    <t>Derby South</t>
  </si>
  <si>
    <t>SC474150</t>
  </si>
  <si>
    <t>Harlow</t>
  </si>
  <si>
    <t>SC063116</t>
  </si>
  <si>
    <t>SC481305</t>
  </si>
  <si>
    <t>SC039689</t>
  </si>
  <si>
    <t>Burnley</t>
  </si>
  <si>
    <t>SC471672</t>
  </si>
  <si>
    <t>Birmingham, Yardley</t>
  </si>
  <si>
    <t>SC372661</t>
  </si>
  <si>
    <t>North Shropshire</t>
  </si>
  <si>
    <t>Tiverton and Honiton</t>
  </si>
  <si>
    <t>SC371723</t>
  </si>
  <si>
    <t>SC456910</t>
  </si>
  <si>
    <t>SC035499</t>
  </si>
  <si>
    <t>SC061837</t>
  </si>
  <si>
    <t>SC066747</t>
  </si>
  <si>
    <t>Sheffield South East</t>
  </si>
  <si>
    <t>North West Norfolk</t>
  </si>
  <si>
    <t>SC455338</t>
  </si>
  <si>
    <t>Mid Bedfordshire</t>
  </si>
  <si>
    <t>SC060545</t>
  </si>
  <si>
    <t>East Ham</t>
  </si>
  <si>
    <t>SC431228</t>
  </si>
  <si>
    <t>Chesterfield</t>
  </si>
  <si>
    <t>Torridge and West Devon</t>
  </si>
  <si>
    <t>SC044692</t>
  </si>
  <si>
    <t>Mansfield</t>
  </si>
  <si>
    <t>West Bromwich East</t>
  </si>
  <si>
    <t>SC035364</t>
  </si>
  <si>
    <t>Nottingham South</t>
  </si>
  <si>
    <t>SC443765</t>
  </si>
  <si>
    <t>Birmingham, Northfield</t>
  </si>
  <si>
    <t>Dewsbury</t>
  </si>
  <si>
    <t>SC066010</t>
  </si>
  <si>
    <t>Sheffield, Heeley</t>
  </si>
  <si>
    <t>SC436372</t>
  </si>
  <si>
    <t>Loughborough</t>
  </si>
  <si>
    <t>SC450701</t>
  </si>
  <si>
    <t>Kettering</t>
  </si>
  <si>
    <t>SC443009</t>
  </si>
  <si>
    <t>SC033326</t>
  </si>
  <si>
    <t>Colne Valley</t>
  </si>
  <si>
    <t>SC481439</t>
  </si>
  <si>
    <t>Doncaster North</t>
  </si>
  <si>
    <t>SC059853</t>
  </si>
  <si>
    <t>Stafford</t>
  </si>
  <si>
    <t>SC043972</t>
  </si>
  <si>
    <t>Manchester, Gorton</t>
  </si>
  <si>
    <t>Birmingham, Hodge Hill</t>
  </si>
  <si>
    <t>SC006017</t>
  </si>
  <si>
    <t>West Lancashire</t>
  </si>
  <si>
    <t>Mid Worcestershire</t>
  </si>
  <si>
    <t>SC033723</t>
  </si>
  <si>
    <t>Leeds East</t>
  </si>
  <si>
    <t>Bristol East</t>
  </si>
  <si>
    <t>SC456347</t>
  </si>
  <si>
    <t>SC064858</t>
  </si>
  <si>
    <t>SC392492</t>
  </si>
  <si>
    <t>SC461450</t>
  </si>
  <si>
    <t>Huddersfield</t>
  </si>
  <si>
    <t>Nuneaton</t>
  </si>
  <si>
    <t>SC409851</t>
  </si>
  <si>
    <t>Brentford and Isleworth</t>
  </si>
  <si>
    <t>SC465120</t>
  </si>
  <si>
    <t>Burton</t>
  </si>
  <si>
    <t>SC033014</t>
  </si>
  <si>
    <t>North Hill House</t>
  </si>
  <si>
    <t>SC386810</t>
  </si>
  <si>
    <t>SC390156</t>
  </si>
  <si>
    <t>North Thanet</t>
  </si>
  <si>
    <t>SC456846</t>
  </si>
  <si>
    <t>SC419229</t>
  </si>
  <si>
    <t>Birmingham, Erdington</t>
  </si>
  <si>
    <t>Wolverhampton South East</t>
  </si>
  <si>
    <t>Devizes</t>
  </si>
  <si>
    <t>SC467115</t>
  </si>
  <si>
    <t>Tooting</t>
  </si>
  <si>
    <t>SC398391</t>
  </si>
  <si>
    <t>SC035241</t>
  </si>
  <si>
    <t>Doncaster Central</t>
  </si>
  <si>
    <t>SC476289</t>
  </si>
  <si>
    <t>South Derbyshire</t>
  </si>
  <si>
    <t>SC481209</t>
  </si>
  <si>
    <t>Hereford and South Herefordshire</t>
  </si>
  <si>
    <t>SC440309</t>
  </si>
  <si>
    <t>Ribble Valley</t>
  </si>
  <si>
    <t>SC033387</t>
  </si>
  <si>
    <t>Nottingham North</t>
  </si>
  <si>
    <t>SC404994</t>
  </si>
  <si>
    <t>SC391708</t>
  </si>
  <si>
    <t>Bournemouth West</t>
  </si>
  <si>
    <t>SC063767</t>
  </si>
  <si>
    <t>SC456850</t>
  </si>
  <si>
    <t>Easington</t>
  </si>
  <si>
    <t>SC425418</t>
  </si>
  <si>
    <t>Stevenage</t>
  </si>
  <si>
    <t>Harborough</t>
  </si>
  <si>
    <t>SC036726</t>
  </si>
  <si>
    <t>Newark</t>
  </si>
  <si>
    <t>SC063110</t>
  </si>
  <si>
    <t>Weston-Super-Mare</t>
  </si>
  <si>
    <t>SC022223</t>
  </si>
  <si>
    <t>WESC Foundation</t>
  </si>
  <si>
    <t>East Devon</t>
  </si>
  <si>
    <t>Braintree</t>
  </si>
  <si>
    <t>SC036240</t>
  </si>
  <si>
    <t>SC386502</t>
  </si>
  <si>
    <t>Warrington North</t>
  </si>
  <si>
    <t>Hemel Hempstead</t>
  </si>
  <si>
    <t>SC405713</t>
  </si>
  <si>
    <t>SC063794</t>
  </si>
  <si>
    <t>SC068991</t>
  </si>
  <si>
    <t>SC060354</t>
  </si>
  <si>
    <t>Cranbrook School</t>
  </si>
  <si>
    <t>Maidstone and The Weald</t>
  </si>
  <si>
    <t>Academy</t>
  </si>
  <si>
    <t>SC383941</t>
  </si>
  <si>
    <t>Wyre Forest</t>
  </si>
  <si>
    <t>SC435322</t>
  </si>
  <si>
    <t>SC432404</t>
  </si>
  <si>
    <t>Camborne and Redruth</t>
  </si>
  <si>
    <t>Health Authority</t>
  </si>
  <si>
    <t>Crewe and Nantwich</t>
  </si>
  <si>
    <t>SC063550</t>
  </si>
  <si>
    <t>SC029560</t>
  </si>
  <si>
    <t>SC489820</t>
  </si>
  <si>
    <t>South Dorset</t>
  </si>
  <si>
    <t>Dudley North</t>
  </si>
  <si>
    <t>SC481295</t>
  </si>
  <si>
    <t>Children's Home</t>
  </si>
  <si>
    <t>Eddisbury</t>
  </si>
  <si>
    <t>SC394283</t>
  </si>
  <si>
    <t>SC056397</t>
  </si>
  <si>
    <t>Hailey Hall School</t>
  </si>
  <si>
    <t>Broxbourne</t>
  </si>
  <si>
    <t>Hertford and Stortford</t>
  </si>
  <si>
    <t>SC040191</t>
  </si>
  <si>
    <t>SC061770</t>
  </si>
  <si>
    <t xml:space="preserve">Notes of dev items </t>
  </si>
  <si>
    <t>Childrens Homes - Residential special schools ( registered as CH) and secure childrens homes need to be aligned next to each other in the data table</t>
  </si>
  <si>
    <t xml:space="preserve">Details to be added to a notes page - stating that the region/LA is about the location of the setting, not who owns it </t>
  </si>
  <si>
    <t>Details to be added to a notes page - IFAs/VAAs are providing services on behalf of the LA</t>
  </si>
  <si>
    <t>Remove weblinks if not working</t>
  </si>
  <si>
    <t xml:space="preserve">Request - </t>
  </si>
  <si>
    <t>Would there be an option to include a chart which breaks down how many of the different provision types have received a visit in the period? I know that might be more than you were intending, so fine if not.</t>
  </si>
  <si>
    <t>Issued by:</t>
  </si>
  <si>
    <t>Westminster</t>
  </si>
  <si>
    <t>Chief Statistician:</t>
  </si>
  <si>
    <t>Jason Bradbury</t>
  </si>
  <si>
    <t>Office for Standards in Education, 
Children’s Services and Skills (Ofsted)
70 Petty France
Westminster
London 
SW1H 9EX</t>
  </si>
  <si>
    <t>Publication frequency:</t>
  </si>
  <si>
    <t>Ad hoc</t>
  </si>
  <si>
    <t>https://www.gov.uk/government/collections/social-care-common-inspection-framework-sccif</t>
  </si>
  <si>
    <t>Link to guidance on assurance visits:</t>
  </si>
  <si>
    <t>N</t>
  </si>
  <si>
    <t>SC471856</t>
  </si>
  <si>
    <t>Y</t>
  </si>
  <si>
    <t>SC461781</t>
  </si>
  <si>
    <t>SC060554</t>
  </si>
  <si>
    <t>Halton</t>
  </si>
  <si>
    <t>Knowsley</t>
  </si>
  <si>
    <t>SC046276</t>
  </si>
  <si>
    <t>Exeter</t>
  </si>
  <si>
    <t>SC057718</t>
  </si>
  <si>
    <t>Bolton West</t>
  </si>
  <si>
    <t>SC457180</t>
  </si>
  <si>
    <t>SC037181</t>
  </si>
  <si>
    <t>Sefton</t>
  </si>
  <si>
    <t>Southport</t>
  </si>
  <si>
    <t>SC047483</t>
  </si>
  <si>
    <t>SC392712</t>
  </si>
  <si>
    <t>Gedling</t>
  </si>
  <si>
    <t>SC486398</t>
  </si>
  <si>
    <t>Birmingham, Ladywood</t>
  </si>
  <si>
    <t>SC378600</t>
  </si>
  <si>
    <t>Bosworth</t>
  </si>
  <si>
    <t>SC474179</t>
  </si>
  <si>
    <t>SC488290</t>
  </si>
  <si>
    <t>Independent Fostering Agency</t>
  </si>
  <si>
    <t>Fostering Ltd</t>
  </si>
  <si>
    <t>SC489036</t>
  </si>
  <si>
    <t>SC430002</t>
  </si>
  <si>
    <t>SC022448</t>
  </si>
  <si>
    <t>Congleton</t>
  </si>
  <si>
    <t>Preston</t>
  </si>
  <si>
    <t>Ashford</t>
  </si>
  <si>
    <t>North Devon</t>
  </si>
  <si>
    <t>SC014513</t>
  </si>
  <si>
    <t>Farney Close School</t>
  </si>
  <si>
    <t>SC007943</t>
  </si>
  <si>
    <t>Welburn Hall School</t>
  </si>
  <si>
    <t>Thirsk and Malton</t>
  </si>
  <si>
    <t>SC413078</t>
  </si>
  <si>
    <t>Sherwood</t>
  </si>
  <si>
    <t>Derbyshire Dales</t>
  </si>
  <si>
    <t>Grantham and Stamford</t>
  </si>
  <si>
    <t>SC023637</t>
  </si>
  <si>
    <t>Folkestone and Hythe</t>
  </si>
  <si>
    <t>Selby and Ainsty</t>
  </si>
  <si>
    <t>SC001831</t>
  </si>
  <si>
    <t>The Grange Therapeutic School</t>
  </si>
  <si>
    <t>SC412476</t>
  </si>
  <si>
    <t>SC066115</t>
  </si>
  <si>
    <t>Sittingbourne and Sheppey</t>
  </si>
  <si>
    <t>SC066651</t>
  </si>
  <si>
    <t>SC456942</t>
  </si>
  <si>
    <t>SC437171</t>
  </si>
  <si>
    <t>SC010699</t>
  </si>
  <si>
    <t>Enfield</t>
  </si>
  <si>
    <t>Enfield North</t>
  </si>
  <si>
    <t>SC024594</t>
  </si>
  <si>
    <t>Chalk Hill</t>
  </si>
  <si>
    <t>South Suffolk</t>
  </si>
  <si>
    <t>F5 Foster Care Limited</t>
  </si>
  <si>
    <t>SC033127</t>
  </si>
  <si>
    <t>SC370956</t>
  </si>
  <si>
    <t>North Durham</t>
  </si>
  <si>
    <t>SC470224</t>
  </si>
  <si>
    <t>SC359836</t>
  </si>
  <si>
    <t>SC483688</t>
  </si>
  <si>
    <t>Fylde</t>
  </si>
  <si>
    <t>SC063813</t>
  </si>
  <si>
    <t>Lichfield</t>
  </si>
  <si>
    <t>SC482668</t>
  </si>
  <si>
    <t>Coventry</t>
  </si>
  <si>
    <t>Coventry North East</t>
  </si>
  <si>
    <t>Harrow</t>
  </si>
  <si>
    <t>Harrow East</t>
  </si>
  <si>
    <t>SC474782</t>
  </si>
  <si>
    <t>South Staffordshire</t>
  </si>
  <si>
    <t>Liverpool, Wavertree</t>
  </si>
  <si>
    <t>SC003895</t>
  </si>
  <si>
    <t>Orchard Manor School</t>
  </si>
  <si>
    <t>Newton Abbot</t>
  </si>
  <si>
    <t>SC485423</t>
  </si>
  <si>
    <t>Eastleigh</t>
  </si>
  <si>
    <t>SC037647</t>
  </si>
  <si>
    <t>Wolverhampton South West</t>
  </si>
  <si>
    <t>Residential Family Centre</t>
  </si>
  <si>
    <t>Selina Cooper House</t>
  </si>
  <si>
    <t>SC040266</t>
  </si>
  <si>
    <t>SC489970</t>
  </si>
  <si>
    <t>SC034083</t>
  </si>
  <si>
    <t>Copeland</t>
  </si>
  <si>
    <t>SC362170</t>
  </si>
  <si>
    <t>Leigh</t>
  </si>
  <si>
    <t>SC467155</t>
  </si>
  <si>
    <t>SC477031</t>
  </si>
  <si>
    <t>Edmonton</t>
  </si>
  <si>
    <t>SC005067</t>
  </si>
  <si>
    <t>SC409738</t>
  </si>
  <si>
    <t>SC448209</t>
  </si>
  <si>
    <t>SC454035</t>
  </si>
  <si>
    <t>SC489610</t>
  </si>
  <si>
    <t>SC386258</t>
  </si>
  <si>
    <t>SC373044</t>
  </si>
  <si>
    <t>SC429778</t>
  </si>
  <si>
    <t>Assurance visit - serious concerns identified?</t>
  </si>
  <si>
    <t>Total</t>
  </si>
  <si>
    <t>Leicester</t>
  </si>
  <si>
    <t>Bedford</t>
  </si>
  <si>
    <t>Luton</t>
  </si>
  <si>
    <t>Thurrock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</si>
  <si>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</si>
  <si>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</si>
  <si>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</si>
  <si>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</si>
  <si>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</si>
  <si>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</si>
  <si>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</si>
  <si>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</si>
  <si>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Greenwich</t>
  </si>
  <si>
    <t>Hackney</t>
  </si>
  <si>
    <t>Hammersmith and Fulham</t>
  </si>
  <si>
    <t>Havering</t>
  </si>
  <si>
    <t>Hillingdon</t>
  </si>
  <si>
    <t>Islington</t>
  </si>
  <si>
    <t>Kensington and Chelsea</t>
  </si>
  <si>
    <t>Kingston upon Thames</t>
  </si>
  <si>
    <t>Lambeth</t>
  </si>
  <si>
    <t>Lewisham</t>
  </si>
  <si>
    <t>Merton</t>
  </si>
  <si>
    <t>Richmond upon Thames</t>
  </si>
  <si>
    <t>Southwark</t>
  </si>
  <si>
    <t>Sutton</t>
  </si>
  <si>
    <t>Tower Hamlets</t>
  </si>
  <si>
    <t>Waltham Forest</t>
  </si>
  <si>
    <t>Gateshead</t>
  </si>
  <si>
    <t>Hartlepool</t>
  </si>
  <si>
    <t>North Lincolnshire</t>
  </si>
  <si>
    <t>South Tyneside</t>
  </si>
  <si>
    <t>York</t>
  </si>
  <si>
    <t>Blackburn with Darwen</t>
  </si>
  <si>
    <t>Bury</t>
  </si>
  <si>
    <t>Tameside</t>
  </si>
  <si>
    <t>Bracknell Forest</t>
  </si>
  <si>
    <t>Brighton and Hove</t>
  </si>
  <si>
    <t>Isle of Wight</t>
  </si>
  <si>
    <t>Medway</t>
  </si>
  <si>
    <t>Milton Keynes</t>
  </si>
  <si>
    <t>Reading</t>
  </si>
  <si>
    <t>Slough</t>
  </si>
  <si>
    <t>Southampton</t>
  </si>
  <si>
    <t>West Berkshire</t>
  </si>
  <si>
    <t>Windsor and Maidenhead</t>
  </si>
  <si>
    <t>Wokingham</t>
  </si>
  <si>
    <t>Bath and North East Somerset</t>
  </si>
  <si>
    <t>Isles Of Scilly</t>
  </si>
  <si>
    <t>Solihull</t>
  </si>
  <si>
    <t>Number of assurance visits carried out since 1 September 2020 by provider groups, local authority and Ofsted region</t>
  </si>
  <si>
    <t>When the total in "Table" sheet doesn't match cell A12, the first row in "Table" will be changed to red.  In that case, check values and formulas.</t>
  </si>
  <si>
    <t>Count of URN</t>
  </si>
  <si>
    <t>The Sunday before today in B5</t>
  </si>
  <si>
    <t>Adoption Support Agency</t>
  </si>
  <si>
    <t>Further Education College with Residential Accommodation</t>
  </si>
  <si>
    <t>Residential Holiday Scheme for Disabled Children</t>
  </si>
  <si>
    <t>Secure Training Centre</t>
  </si>
  <si>
    <t>Voluntary Adoption Agency</t>
  </si>
  <si>
    <t>(blank)</t>
  </si>
  <si>
    <t>Region</t>
  </si>
  <si>
    <t>Children's Social Care</t>
  </si>
  <si>
    <t>Guidance:</t>
  </si>
  <si>
    <t>The table allows the user to filter on an individual local authority or region</t>
  </si>
  <si>
    <t xml:space="preserve">The underlying dataset has been provided which can be filtered for further analysis. </t>
  </si>
  <si>
    <t xml:space="preserve">Field name </t>
  </si>
  <si>
    <t>Description</t>
  </si>
  <si>
    <t>Web Link</t>
  </si>
  <si>
    <t>Visit date</t>
  </si>
  <si>
    <t>Date the visit took place.</t>
  </si>
  <si>
    <t>Letter published date</t>
  </si>
  <si>
    <t>The local authority in which a provider currently resides.</t>
  </si>
  <si>
    <t xml:space="preserve">The parliamentary constituency in which a provider resides. </t>
  </si>
  <si>
    <t>Link to the Ofsted web page for the provider.</t>
  </si>
  <si>
    <t>A unique number to used by Ofsted to distinguish between each individual provider.</t>
  </si>
  <si>
    <t>The type of provision offered by the provider.</t>
  </si>
  <si>
    <t>The date that the provider was approved under the current URN.</t>
  </si>
  <si>
    <t>The name of the provider.</t>
  </si>
  <si>
    <t>The previously defined government office region in which a provider resides.</t>
  </si>
  <si>
    <t>The Ofsted region in which a provider resides (North East, Yorkshire and the Humber are combined into a single region).</t>
  </si>
  <si>
    <t>The type of company that owns the provider; this can be a local authority, health authority, academy, private, or voluntary.</t>
  </si>
  <si>
    <t>Date the the inspector's letter to the provider was published on Ofsted's website.</t>
  </si>
  <si>
    <t>Whether serious safeguarding concerns were identified during the visit (Y) or not (N).</t>
  </si>
  <si>
    <t>Period covered:</t>
  </si>
  <si>
    <t>SC003897</t>
  </si>
  <si>
    <t>Bognor Regis and Littlehampton</t>
  </si>
  <si>
    <t>SC013143</t>
  </si>
  <si>
    <t>Cuffe And Lacey Fostering</t>
  </si>
  <si>
    <t>Paramount Foster Care</t>
  </si>
  <si>
    <t>County Fostering Service Ltd</t>
  </si>
  <si>
    <t>Welwyn Hatfield</t>
  </si>
  <si>
    <t>SC488961</t>
  </si>
  <si>
    <t>Rushcliffe</t>
  </si>
  <si>
    <t>SC482548</t>
  </si>
  <si>
    <t>Brighton, Pavilion</t>
  </si>
  <si>
    <t>SC042921</t>
  </si>
  <si>
    <t>SC458028</t>
  </si>
  <si>
    <t>Saffron Walden</t>
  </si>
  <si>
    <t>SC046524</t>
  </si>
  <si>
    <t>Sheffield, Hallam</t>
  </si>
  <si>
    <t>SC413085</t>
  </si>
  <si>
    <t>SC408584</t>
  </si>
  <si>
    <t>SC042446</t>
  </si>
  <si>
    <t>Southampton, Test</t>
  </si>
  <si>
    <t>SC356963</t>
  </si>
  <si>
    <t>SC356327</t>
  </si>
  <si>
    <t>SC013828</t>
  </si>
  <si>
    <t>Runnymede and Weybridge</t>
  </si>
  <si>
    <t>SC069336</t>
  </si>
  <si>
    <t>Newbury</t>
  </si>
  <si>
    <t>Birkenhead</t>
  </si>
  <si>
    <t>SC398385</t>
  </si>
  <si>
    <t>SC439153</t>
  </si>
  <si>
    <t>SC452713</t>
  </si>
  <si>
    <t>SC037281</t>
  </si>
  <si>
    <t>SC475088</t>
  </si>
  <si>
    <t>Harwich and North Essex</t>
  </si>
  <si>
    <t>Telford</t>
  </si>
  <si>
    <t>SC482300</t>
  </si>
  <si>
    <t>Horsham</t>
  </si>
  <si>
    <t>SC412296</t>
  </si>
  <si>
    <t>Bexhill and Battle</t>
  </si>
  <si>
    <t>Fostering UK</t>
  </si>
  <si>
    <t>Hertsmere</t>
  </si>
  <si>
    <t>SC034851</t>
  </si>
  <si>
    <t>North East Somerset</t>
  </si>
  <si>
    <t>SC063883</t>
  </si>
  <si>
    <t>SC470284</t>
  </si>
  <si>
    <t>SC430022</t>
  </si>
  <si>
    <t>Bury St Edmunds</t>
  </si>
  <si>
    <t>SC001531</t>
  </si>
  <si>
    <t>Aylesbury</t>
  </si>
  <si>
    <t>The Fostering Foundation</t>
  </si>
  <si>
    <t>SC372630</t>
  </si>
  <si>
    <t>Arundel and South Downs</t>
  </si>
  <si>
    <t>SC446152</t>
  </si>
  <si>
    <t>SC400301</t>
  </si>
  <si>
    <t>SC366080</t>
  </si>
  <si>
    <t>SC415347</t>
  </si>
  <si>
    <t>SC472392</t>
  </si>
  <si>
    <t>SC397933</t>
  </si>
  <si>
    <t>SC039900</t>
  </si>
  <si>
    <t>SC456911</t>
  </si>
  <si>
    <t>SC004085</t>
  </si>
  <si>
    <t>SC055153</t>
  </si>
  <si>
    <t>Care 2 Share Ltd</t>
  </si>
  <si>
    <t>Chingford and Woodford Green</t>
  </si>
  <si>
    <t>SC425708</t>
  </si>
  <si>
    <t>Gretton School</t>
  </si>
  <si>
    <t>Liverpool, Walton</t>
  </si>
  <si>
    <t>SC023744</t>
  </si>
  <si>
    <t>SC034922</t>
  </si>
  <si>
    <t>Heywood and Middleton</t>
  </si>
  <si>
    <t>SC423617</t>
  </si>
  <si>
    <t>SC483828</t>
  </si>
  <si>
    <t>Denton and Reddish</t>
  </si>
  <si>
    <t>SC488930</t>
  </si>
  <si>
    <t>Leicester West</t>
  </si>
  <si>
    <t>Bath</t>
  </si>
  <si>
    <t>SC374268</t>
  </si>
  <si>
    <t>SC472795</t>
  </si>
  <si>
    <t>SC429369</t>
  </si>
  <si>
    <t>SC065374</t>
  </si>
  <si>
    <t>SC040723</t>
  </si>
  <si>
    <t>Oldham West and Royton</t>
  </si>
  <si>
    <t>SC437486</t>
  </si>
  <si>
    <t>SC033056</t>
  </si>
  <si>
    <t>Morecambe and Lunesdale</t>
  </si>
  <si>
    <t>SC030967</t>
  </si>
  <si>
    <t>SC020611</t>
  </si>
  <si>
    <t>SC011972</t>
  </si>
  <si>
    <t>Caring Hearts Fostering Ltd</t>
  </si>
  <si>
    <t>Ealing North</t>
  </si>
  <si>
    <t>SC397987</t>
  </si>
  <si>
    <t>Tatton</t>
  </si>
  <si>
    <t>SC008608</t>
  </si>
  <si>
    <t>Truro and Falmouth</t>
  </si>
  <si>
    <t>SC069128</t>
  </si>
  <si>
    <t>Oxford East</t>
  </si>
  <si>
    <t>SC028460</t>
  </si>
  <si>
    <t>Tottenham</t>
  </si>
  <si>
    <t>SC035976</t>
  </si>
  <si>
    <t>Stockton South</t>
  </si>
  <si>
    <t>SC437305</t>
  </si>
  <si>
    <t>SC467264</t>
  </si>
  <si>
    <t>SC434806</t>
  </si>
  <si>
    <t>SC457923</t>
  </si>
  <si>
    <t>SC390167</t>
  </si>
  <si>
    <t>SC030677</t>
  </si>
  <si>
    <t>SC426530</t>
  </si>
  <si>
    <t>SC013884</t>
  </si>
  <si>
    <t>Linden Bridge School</t>
  </si>
  <si>
    <t>Epsom and Ewell</t>
  </si>
  <si>
    <t>SC065535</t>
  </si>
  <si>
    <t>Dulwich and West Norwood</t>
  </si>
  <si>
    <t>SC060811</t>
  </si>
  <si>
    <t>SC424141</t>
  </si>
  <si>
    <t>SC366343</t>
  </si>
  <si>
    <t>Stalybridge and Hyde</t>
  </si>
  <si>
    <t>SC050390</t>
  </si>
  <si>
    <t>St Mary's school and sixth form college (part of the Talking Trust)</t>
  </si>
  <si>
    <t>SC356604</t>
  </si>
  <si>
    <t>Barnsley East</t>
  </si>
  <si>
    <t>SC479632</t>
  </si>
  <si>
    <t>Carlisle</t>
  </si>
  <si>
    <t>SC023651</t>
  </si>
  <si>
    <t>SC482293</t>
  </si>
  <si>
    <t>Havant</t>
  </si>
  <si>
    <t>SC035805</t>
  </si>
  <si>
    <t>Wennington Hall School</t>
  </si>
  <si>
    <t>SC035380</t>
  </si>
  <si>
    <t>SC458352</t>
  </si>
  <si>
    <t>SC456800</t>
  </si>
  <si>
    <t>SC403890</t>
  </si>
  <si>
    <t>SC025938</t>
  </si>
  <si>
    <t>SC066458</t>
  </si>
  <si>
    <t>Leeds North East</t>
  </si>
  <si>
    <t>SC003884</t>
  </si>
  <si>
    <t>SC064011</t>
  </si>
  <si>
    <t>Hastings and Rye</t>
  </si>
  <si>
    <t>Lewisham, Deptford</t>
  </si>
  <si>
    <t>SC023746</t>
  </si>
  <si>
    <t>SC068410</t>
  </si>
  <si>
    <t>Ludlow</t>
  </si>
  <si>
    <t>SC459857</t>
  </si>
  <si>
    <t>Ealing Central and Acton</t>
  </si>
  <si>
    <t>SC031698</t>
  </si>
  <si>
    <t>SC377825</t>
  </si>
  <si>
    <t>SC458141</t>
  </si>
  <si>
    <t>SC034746</t>
  </si>
  <si>
    <t>SC490365</t>
  </si>
  <si>
    <t>Hackney North and Stoke Newington</t>
  </si>
  <si>
    <t>SC014848</t>
  </si>
  <si>
    <t>SC429748</t>
  </si>
  <si>
    <t>Bradford South</t>
  </si>
  <si>
    <t>Clacton</t>
  </si>
  <si>
    <t>SC482301</t>
  </si>
  <si>
    <t>SC372504</t>
  </si>
  <si>
    <t>Tamworth</t>
  </si>
  <si>
    <t>SC470797</t>
  </si>
  <si>
    <t>SC040628</t>
  </si>
  <si>
    <t>SC480850</t>
  </si>
  <si>
    <t>York Central</t>
  </si>
  <si>
    <t>SC043732</t>
  </si>
  <si>
    <t>SC481221</t>
  </si>
  <si>
    <t>SC482275</t>
  </si>
  <si>
    <t>Erith and Thamesmead</t>
  </si>
  <si>
    <t>SC035648</t>
  </si>
  <si>
    <t>SC037447</t>
  </si>
  <si>
    <t>SC066565</t>
  </si>
  <si>
    <t>Cleethorpes</t>
  </si>
  <si>
    <t>SC068955</t>
  </si>
  <si>
    <t>SC363144</t>
  </si>
  <si>
    <t>Unsted Park School</t>
  </si>
  <si>
    <t>South West Surrey</t>
  </si>
  <si>
    <t>SC473460</t>
  </si>
  <si>
    <t>SC450992</t>
  </si>
  <si>
    <t>Dudley South</t>
  </si>
  <si>
    <t>Leicester East</t>
  </si>
  <si>
    <t>SC052946</t>
  </si>
  <si>
    <t>Ilford North</t>
  </si>
  <si>
    <t>SC482418</t>
  </si>
  <si>
    <t>North West Durham</t>
  </si>
  <si>
    <t>SC411142</t>
  </si>
  <si>
    <t>SC047978</t>
  </si>
  <si>
    <t>SC456409</t>
  </si>
  <si>
    <t>SC488943</t>
  </si>
  <si>
    <t>SC436818</t>
  </si>
  <si>
    <t>SC043039</t>
  </si>
  <si>
    <t xml:space="preserve">Madinatul Uloom Al Islamiyah </t>
  </si>
  <si>
    <t>SC065046</t>
  </si>
  <si>
    <t>SC021684</t>
  </si>
  <si>
    <t>Stoke-on-Trent North</t>
  </si>
  <si>
    <t>SC470290</t>
  </si>
  <si>
    <t>SC059037</t>
  </si>
  <si>
    <t>North East Derbyshire</t>
  </si>
  <si>
    <t>SC451174</t>
  </si>
  <si>
    <t>Manchester Central</t>
  </si>
  <si>
    <t>SC466786</t>
  </si>
  <si>
    <t>SC032439</t>
  </si>
  <si>
    <t>SC457132</t>
  </si>
  <si>
    <t>Northampton South</t>
  </si>
  <si>
    <t>SC446003</t>
  </si>
  <si>
    <t>SC430757</t>
  </si>
  <si>
    <t>Break Fostering Service</t>
  </si>
  <si>
    <t>SC381667</t>
  </si>
  <si>
    <t>Liverpool, West Derby</t>
  </si>
  <si>
    <t>SC370703</t>
  </si>
  <si>
    <t>Woking</t>
  </si>
  <si>
    <t>SC487165</t>
  </si>
  <si>
    <t>New Forest West</t>
  </si>
  <si>
    <t>Reading West</t>
  </si>
  <si>
    <t>SC402135</t>
  </si>
  <si>
    <t>SC390785</t>
  </si>
  <si>
    <t>SC059261</t>
  </si>
  <si>
    <t>SC424103</t>
  </si>
  <si>
    <t>SC457506</t>
  </si>
  <si>
    <t>SC463639</t>
  </si>
  <si>
    <t>SC374180</t>
  </si>
  <si>
    <t>SC056259</t>
  </si>
  <si>
    <t>Beverley and Holderness</t>
  </si>
  <si>
    <t>SC476602</t>
  </si>
  <si>
    <t>Romsey and Southampton North</t>
  </si>
  <si>
    <t>SC044224</t>
  </si>
  <si>
    <t>South Ribble</t>
  </si>
  <si>
    <t>Wimbledon</t>
  </si>
  <si>
    <t>Walsall South</t>
  </si>
  <si>
    <t>SC472485</t>
  </si>
  <si>
    <t>SC473877</t>
  </si>
  <si>
    <t>SC026910</t>
  </si>
  <si>
    <t>North Dorset</t>
  </si>
  <si>
    <t>Gloucester</t>
  </si>
  <si>
    <t>Coventry South</t>
  </si>
  <si>
    <t>SC389649</t>
  </si>
  <si>
    <t>SC023737</t>
  </si>
  <si>
    <t>SC421197</t>
  </si>
  <si>
    <t>SC059998</t>
  </si>
  <si>
    <t>SC482340</t>
  </si>
  <si>
    <t>SC420388</t>
  </si>
  <si>
    <t>Bury North</t>
  </si>
  <si>
    <t>SC439535</t>
  </si>
  <si>
    <t>Central Devon</t>
  </si>
  <si>
    <t>SC039847</t>
  </si>
  <si>
    <t>Sexeys School</t>
  </si>
  <si>
    <t>Portsmouth South</t>
  </si>
  <si>
    <t>Blyth Valley</t>
  </si>
  <si>
    <t>West Dorset</t>
  </si>
  <si>
    <t>Batley and Spen</t>
  </si>
  <si>
    <t>SC426172</t>
  </si>
  <si>
    <t>SC381522</t>
  </si>
  <si>
    <t>Ashfield</t>
  </si>
  <si>
    <t>SC476008</t>
  </si>
  <si>
    <t>Macclesfield</t>
  </si>
  <si>
    <t>Garston and Halewood</t>
  </si>
  <si>
    <t>Blackpool North and Cleveleys</t>
  </si>
  <si>
    <t>South East Cornwall</t>
  </si>
  <si>
    <t>SC063219</t>
  </si>
  <si>
    <t>SC446261</t>
  </si>
  <si>
    <t>SC018958</t>
  </si>
  <si>
    <t>West Kirby Residential School</t>
  </si>
  <si>
    <t>Wirral West</t>
  </si>
  <si>
    <t>SC489416</t>
  </si>
  <si>
    <t>Finchley and Golders Green</t>
  </si>
  <si>
    <t>SC069293</t>
  </si>
  <si>
    <t>St Albans</t>
  </si>
  <si>
    <t>SC413985</t>
  </si>
  <si>
    <t>Cambridge</t>
  </si>
  <si>
    <t>SC411825</t>
  </si>
  <si>
    <t>Boston and Skegness</t>
  </si>
  <si>
    <t>SC458115</t>
  </si>
  <si>
    <t>SC013553</t>
  </si>
  <si>
    <t>SC457183</t>
  </si>
  <si>
    <t>SC368137</t>
  </si>
  <si>
    <t>SC408655</t>
  </si>
  <si>
    <t>SC008490</t>
  </si>
  <si>
    <t>Hazel Grove</t>
  </si>
  <si>
    <t>SC037596</t>
  </si>
  <si>
    <t>SC044562</t>
  </si>
  <si>
    <t>Birmingham Children's Trust Fostering Agency</t>
  </si>
  <si>
    <t>SC062573</t>
  </si>
  <si>
    <t>Normanton, Pontefract and Castleford</t>
  </si>
  <si>
    <t>SC011185</t>
  </si>
  <si>
    <t>SC393940</t>
  </si>
  <si>
    <t>Castle Point</t>
  </si>
  <si>
    <t>SC013598</t>
  </si>
  <si>
    <t>Mole Valley</t>
  </si>
  <si>
    <t>Scarborough and Whitby</t>
  </si>
  <si>
    <t>SC442864</t>
  </si>
  <si>
    <t>SC040719</t>
  </si>
  <si>
    <t>SC035409</t>
  </si>
  <si>
    <t>Hexham</t>
  </si>
  <si>
    <t>SC023740</t>
  </si>
  <si>
    <t>SC474728</t>
  </si>
  <si>
    <t>Chariteens Residential Family Centre</t>
  </si>
  <si>
    <t>SC034804</t>
  </si>
  <si>
    <t>The Children's Family Trust</t>
  </si>
  <si>
    <t>Bromsgrove</t>
  </si>
  <si>
    <t>Elite Fostering Limited</t>
  </si>
  <si>
    <t>SC028868</t>
  </si>
  <si>
    <t>Forest of Dean</t>
  </si>
  <si>
    <t>Wentworth and Dearne</t>
  </si>
  <si>
    <t>Worcestershire Children First Fostering</t>
  </si>
  <si>
    <t>Worcester</t>
  </si>
  <si>
    <t>SC465257</t>
  </si>
  <si>
    <t>SC417504</t>
  </si>
  <si>
    <t>Red Kite Fostering</t>
  </si>
  <si>
    <t>SC424851</t>
  </si>
  <si>
    <t xml:space="preserve">Slough Children's Services Trust </t>
  </si>
  <si>
    <t>SC043552</t>
  </si>
  <si>
    <t>Barnardo's Fostering South East</t>
  </si>
  <si>
    <t>Ivy House Fostering Agency</t>
  </si>
  <si>
    <t>SC480075</t>
  </si>
  <si>
    <t>SC035137</t>
  </si>
  <si>
    <t>SC456863</t>
  </si>
  <si>
    <t>SC362965</t>
  </si>
  <si>
    <t>National Fostering Agency North</t>
  </si>
  <si>
    <t>SC472125</t>
  </si>
  <si>
    <t>Ideal Fostering</t>
  </si>
  <si>
    <t>SC451751</t>
  </si>
  <si>
    <t>Apple Fostering Services</t>
  </si>
  <si>
    <t>Brent Central</t>
  </si>
  <si>
    <t>SC405567</t>
  </si>
  <si>
    <t>Compass Fostering North Limited</t>
  </si>
  <si>
    <t>SC461865</t>
  </si>
  <si>
    <t>SC435152</t>
  </si>
  <si>
    <t>Sevenoaks</t>
  </si>
  <si>
    <t>SC037454</t>
  </si>
  <si>
    <t>SC066129</t>
  </si>
  <si>
    <t>SC478852</t>
  </si>
  <si>
    <t>SC396721</t>
  </si>
  <si>
    <t>SC031490</t>
  </si>
  <si>
    <t>Wealden</t>
  </si>
  <si>
    <t>Foundation Fostering Limited</t>
  </si>
  <si>
    <t>SC412175</t>
  </si>
  <si>
    <t>SC475703</t>
  </si>
  <si>
    <t>Brent North</t>
  </si>
  <si>
    <t>SC481844</t>
  </si>
  <si>
    <t>SC012450</t>
  </si>
  <si>
    <t>Grateley House School</t>
  </si>
  <si>
    <t>SC030439</t>
  </si>
  <si>
    <t>SC425071</t>
  </si>
  <si>
    <t>Newcastle-under-Lyme</t>
  </si>
  <si>
    <t>SC063653</t>
  </si>
  <si>
    <t>Wellingborough</t>
  </si>
  <si>
    <t>SC063689</t>
  </si>
  <si>
    <t>Dartford</t>
  </si>
  <si>
    <t>Plymouth, Moor View</t>
  </si>
  <si>
    <t>SC429918</t>
  </si>
  <si>
    <t>SC034211</t>
  </si>
  <si>
    <t>SC466284</t>
  </si>
  <si>
    <t>SC458746</t>
  </si>
  <si>
    <t>SC033370</t>
  </si>
  <si>
    <t>SC413678</t>
  </si>
  <si>
    <t>Kingston upon Hull North</t>
  </si>
  <si>
    <t>Middlesbrough South and East Cleveland</t>
  </si>
  <si>
    <t>SC461275</t>
  </si>
  <si>
    <t>Sandwell Children's Trust Fostering</t>
  </si>
  <si>
    <t>West Bromwich West</t>
  </si>
  <si>
    <t>SC038719</t>
  </si>
  <si>
    <t>Fareham</t>
  </si>
  <si>
    <t>SC008488</t>
  </si>
  <si>
    <t>Cheadle</t>
  </si>
  <si>
    <t>SC429995</t>
  </si>
  <si>
    <t>SC487764</t>
  </si>
  <si>
    <t>Lewisham West and Penge</t>
  </si>
  <si>
    <t>SC417351</t>
  </si>
  <si>
    <t>SC457435</t>
  </si>
  <si>
    <t>SC359818</t>
  </si>
  <si>
    <t>SC356929</t>
  </si>
  <si>
    <t>SC025799</t>
  </si>
  <si>
    <t>Croydon South</t>
  </si>
  <si>
    <t>SC467704</t>
  </si>
  <si>
    <t>SC391993</t>
  </si>
  <si>
    <t>SC449954</t>
  </si>
  <si>
    <t>SC485529</t>
  </si>
  <si>
    <t>SC403234</t>
  </si>
  <si>
    <t>SC390751</t>
  </si>
  <si>
    <t>SC456795</t>
  </si>
  <si>
    <t>SC420876</t>
  </si>
  <si>
    <t>SC439956</t>
  </si>
  <si>
    <t>SC034741</t>
  </si>
  <si>
    <t>SC457175</t>
  </si>
  <si>
    <t>SC364812</t>
  </si>
  <si>
    <t>SC034383</t>
  </si>
  <si>
    <t>St Rose's School</t>
  </si>
  <si>
    <t>Guildford</t>
  </si>
  <si>
    <t>SC443337</t>
  </si>
  <si>
    <t>Hammersmith</t>
  </si>
  <si>
    <t>SC478315</t>
  </si>
  <si>
    <t>SC012597</t>
  </si>
  <si>
    <t>St Catherine's School</t>
  </si>
  <si>
    <t>Star Fostering Ltd</t>
  </si>
  <si>
    <t>SC456174</t>
  </si>
  <si>
    <t>Chrysalis Consortium Ltd</t>
  </si>
  <si>
    <t>Brighter Futures For Children: Fostering Service</t>
  </si>
  <si>
    <t>Reading East</t>
  </si>
  <si>
    <t>Evergreen Foster Care Service</t>
  </si>
  <si>
    <t>SC033457</t>
  </si>
  <si>
    <t>SC035026</t>
  </si>
  <si>
    <t>Sunbeam Fostering Agency</t>
  </si>
  <si>
    <t>Young People At Heart</t>
  </si>
  <si>
    <t>Infinity Foster Care</t>
  </si>
  <si>
    <t>Flowers Fostering Ltd</t>
  </si>
  <si>
    <t>Epping Forest</t>
  </si>
  <si>
    <t>SC437825</t>
  </si>
  <si>
    <t>SC031479</t>
  </si>
  <si>
    <t>Bermondsey and Old Southwark</t>
  </si>
  <si>
    <t>SC065261</t>
  </si>
  <si>
    <t>SC030367</t>
  </si>
  <si>
    <t>The Cotswolds</t>
  </si>
  <si>
    <t>SC008269</t>
  </si>
  <si>
    <t>Stoke-on-Trent Central</t>
  </si>
  <si>
    <t>South Northamptonshire</t>
  </si>
  <si>
    <t>SC403462</t>
  </si>
  <si>
    <t>Pendle</t>
  </si>
  <si>
    <t>SC025417</t>
  </si>
  <si>
    <t>SC014650</t>
  </si>
  <si>
    <t>SC448997</t>
  </si>
  <si>
    <t>SC066796</t>
  </si>
  <si>
    <t>SC066912</t>
  </si>
  <si>
    <t>SC489516</t>
  </si>
  <si>
    <t>Daventry</t>
  </si>
  <si>
    <t>SC465475</t>
  </si>
  <si>
    <t>Newcastle upon Tyne Central</t>
  </si>
  <si>
    <t>SC407430</t>
  </si>
  <si>
    <t>SC060118</t>
  </si>
  <si>
    <t>SC020193</t>
  </si>
  <si>
    <t>SC457501</t>
  </si>
  <si>
    <t>SC020133</t>
  </si>
  <si>
    <t>High Peak</t>
  </si>
  <si>
    <t>SC001016</t>
  </si>
  <si>
    <t>SC472977</t>
  </si>
  <si>
    <t>SC475723</t>
  </si>
  <si>
    <t>SC035500</t>
  </si>
  <si>
    <t>Kingswood</t>
  </si>
  <si>
    <t>SC008268</t>
  </si>
  <si>
    <t>SC062013</t>
  </si>
  <si>
    <t>SC469761</t>
  </si>
  <si>
    <t>Hendon</t>
  </si>
  <si>
    <t>SC456729</t>
  </si>
  <si>
    <t>SC022437</t>
  </si>
  <si>
    <t>SC453726</t>
  </si>
  <si>
    <t>SC441865</t>
  </si>
  <si>
    <t>SC474543</t>
  </si>
  <si>
    <t>Orpington</t>
  </si>
  <si>
    <t>SC400219</t>
  </si>
  <si>
    <t>SC486167</t>
  </si>
  <si>
    <t>Croydon North</t>
  </si>
  <si>
    <t>SC476512</t>
  </si>
  <si>
    <t>SC439282</t>
  </si>
  <si>
    <t>Faversham and Mid Kent</t>
  </si>
  <si>
    <t>SC065684</t>
  </si>
  <si>
    <t>SC039248</t>
  </si>
  <si>
    <t>SC038012</t>
  </si>
  <si>
    <t>Foster Care Associates South Western</t>
  </si>
  <si>
    <t>SC063673</t>
  </si>
  <si>
    <t>Dagenham and Rainham</t>
  </si>
  <si>
    <t>Makerfield</t>
  </si>
  <si>
    <t>SC456719</t>
  </si>
  <si>
    <t>SC429702</t>
  </si>
  <si>
    <t>SC476261</t>
  </si>
  <si>
    <t>SC061439</t>
  </si>
  <si>
    <t>SC006011</t>
  </si>
  <si>
    <t>SC444411</t>
  </si>
  <si>
    <t>© Crown copyright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</si>
</sst>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5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name val="Tahoma"/>
      <family val="2"/>
    </font>
    <font>
      <u/>
      <sz val="10"/>
      <color indexed="12"/>
      <name val="Tahoma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color indexed="23"/>
      <name val="Tahom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20"/>
      <color indexed="9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u/>
      <sz val="10"/>
      <color theme="10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u/>
      <sz val="12"/>
      <color theme="10"/>
      <name val="Tahoma"/>
      <family val="2"/>
    </font>
    <font>
      <b/>
      <sz val="10"/>
      <name val="Tahoma"/>
      <family val="2"/>
    </font>
    <font>
      <sz val="16"/>
      <color theme="1"/>
      <name val="Tahoma"/>
      <family val="2"/>
    </font>
    <font>
      <sz val="10"/>
      <color rgb="FF0000FF"/>
      <name val="Tahoma"/>
      <family val="2"/>
    </font>
    <font>
      <b/>
      <sz val="11"/>
      <color theme="1"/>
      <name val="Tahoma"/>
      <family val="2"/>
    </font>
    <font>
      <sz val="10"/>
      <color rgb="FFFF0000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u/>
      <sz val="12"/>
      <color indexed="12"/>
      <name val="Tahoma"/>
      <family val="2"/>
    </font>
    <font>
      <sz val="12"/>
      <color rgb="FFFF0000"/>
      <name val="Tahoma"/>
      <family val="2"/>
    </font>
    <font>
      <b/>
      <sz val="10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548DD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52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2" applyNumberFormat="0" applyAlignment="0" applyProtection="0"/>
    <xf numFmtId="0" fontId="16" fillId="22" borderId="3" applyNumberFormat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2" applyNumberFormat="0" applyAlignment="0" applyProtection="0"/>
    <xf numFmtId="0" fontId="24" fillId="0" borderId="7" applyNumberFormat="0" applyFill="0" applyAlignment="0" applyProtection="0"/>
    <xf numFmtId="0" fontId="25" fillId="23" borderId="0" applyNumberFormat="0" applyBorder="0" applyAlignment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11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11" fillId="0" borderId="0"/>
    <xf numFmtId="0" fontId="26" fillId="0" borderId="0"/>
    <xf numFmtId="0" fontId="32" fillId="0" borderId="0"/>
    <xf numFmtId="0" fontId="1" fillId="0" borderId="0"/>
    <xf numFmtId="0" fontId="4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26" fillId="0" borderId="0"/>
    <xf numFmtId="0" fontId="6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 applyNumberFormat="0" applyFont="0" applyFill="0" applyBorder="0" applyAlignment="0" applyProtection="0"/>
    <xf numFmtId="0" fontId="4" fillId="0" borderId="0"/>
    <xf numFmtId="0" fontId="11" fillId="0" borderId="0"/>
    <xf numFmtId="0" fontId="1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2" borderId="1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28" fillId="21" borderId="9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1" fillId="0" borderId="0"/>
  </cellStyleXfs>
  <cellXfs count="99"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25" borderId="13" xfId="78" applyFill="1" applyBorder="1" applyAlignment="1" applyProtection="1">
      <alignment wrapText="1"/>
      <protection locked="0" hidden="1"/>
    </xf>
    <xf numFmtId="0" fontId="4" fillId="25" borderId="14" xfId="78" applyFill="1" applyBorder="1" applyAlignment="1" applyProtection="1">
      <alignment wrapText="1"/>
      <protection locked="0" hidden="1"/>
    </xf>
    <xf numFmtId="0" fontId="33" fillId="26" borderId="15" xfId="78" applyFont="1" applyFill="1" applyBorder="1" applyAlignment="1" applyProtection="1">
      <alignment vertical="center" wrapText="1"/>
      <protection locked="0" hidden="1"/>
    </xf>
    <xf numFmtId="0" fontId="9" fillId="25" borderId="15" xfId="78" applyFont="1" applyFill="1" applyBorder="1" applyAlignment="1" applyProtection="1">
      <alignment vertical="center" wrapText="1"/>
      <protection locked="0" hidden="1"/>
    </xf>
    <xf numFmtId="0" fontId="8" fillId="25" borderId="15" xfId="78" applyFont="1" applyFill="1" applyBorder="1" applyAlignment="1" applyProtection="1">
      <alignment vertical="center" wrapText="1"/>
      <protection locked="0" hidden="1"/>
    </xf>
    <xf numFmtId="0" fontId="9" fillId="25" borderId="15" xfId="78" applyFont="1" applyFill="1" applyBorder="1" applyAlignment="1" applyProtection="1">
      <alignment horizontal="left" vertical="center" wrapText="1"/>
      <protection locked="0" hidden="1"/>
    </xf>
    <xf numFmtId="0" fontId="10" fillId="25" borderId="15" xfId="57" applyFont="1" applyFill="1" applyBorder="1" applyAlignment="1" applyProtection="1">
      <alignment horizontal="left" vertical="center" wrapText="1"/>
      <protection locked="0" hidden="1"/>
    </xf>
    <xf numFmtId="3" fontId="4" fillId="25" borderId="11" xfId="78" applyNumberFormat="1" applyFill="1" applyBorder="1" applyAlignment="1" applyProtection="1">
      <alignment wrapText="1"/>
      <protection locked="0" hidden="1"/>
    </xf>
    <xf numFmtId="3" fontId="4" fillId="25" borderId="12" xfId="78" applyNumberFormat="1" applyFill="1" applyBorder="1" applyAlignment="1" applyProtection="1">
      <alignment wrapText="1"/>
      <protection locked="0" hidden="1"/>
    </xf>
    <xf numFmtId="3" fontId="8" fillId="25" borderId="12" xfId="78" applyNumberFormat="1" applyFont="1" applyFill="1" applyBorder="1" applyAlignment="1" applyProtection="1">
      <alignment wrapText="1"/>
      <protection locked="0" hidden="1"/>
    </xf>
    <xf numFmtId="3" fontId="4" fillId="25" borderId="13" xfId="78" applyNumberFormat="1" applyFill="1" applyBorder="1" applyAlignment="1" applyProtection="1">
      <alignment wrapText="1"/>
      <protection locked="0" hidden="1"/>
    </xf>
    <xf numFmtId="3" fontId="4" fillId="25" borderId="14" xfId="78" applyNumberFormat="1" applyFill="1" applyBorder="1" applyAlignment="1" applyProtection="1">
      <alignment wrapText="1"/>
      <protection locked="0" hidden="1"/>
    </xf>
    <xf numFmtId="0" fontId="0" fillId="0" borderId="0" xfId="0" pivotButton="1"/>
    <xf numFmtId="0" fontId="0" fillId="0" borderId="0" xfId="0" applyAlignment="1">
      <alignment horizontal="left" indent="1"/>
    </xf>
    <xf numFmtId="14" fontId="0" fillId="0" borderId="0" xfId="0" applyNumberFormat="1"/>
    <xf numFmtId="0" fontId="34" fillId="0" borderId="0" xfId="0" applyFont="1"/>
    <xf numFmtId="14" fontId="35" fillId="27" borderId="0" xfId="0" applyNumberFormat="1" applyFont="1" applyFill="1"/>
    <xf numFmtId="14" fontId="35" fillId="28" borderId="0" xfId="0" applyNumberFormat="1" applyFont="1" applyFill="1"/>
    <xf numFmtId="14" fontId="35" fillId="29" borderId="0" xfId="0" applyNumberFormat="1" applyFont="1" applyFill="1"/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25" borderId="0" xfId="0" applyFill="1"/>
    <xf numFmtId="0" fontId="38" fillId="25" borderId="0" xfId="0" applyFont="1" applyFill="1" applyAlignment="1">
      <alignment horizontal="center" vertical="center" wrapText="1"/>
    </xf>
    <xf numFmtId="0" fontId="38" fillId="25" borderId="0" xfId="0" applyFont="1" applyFill="1" applyAlignment="1">
      <alignment horizontal="center" vertical="center"/>
    </xf>
    <xf numFmtId="49" fontId="41" fillId="31" borderId="0" xfId="150" applyNumberFormat="1" applyFont="1" applyFill="1" applyAlignment="1" applyProtection="1">
      <protection hidden="1"/>
    </xf>
    <xf numFmtId="0" fontId="38" fillId="25" borderId="0" xfId="0" applyFont="1" applyFill="1" applyAlignment="1">
      <alignment horizontal="center"/>
    </xf>
    <xf numFmtId="0" fontId="38" fillId="25" borderId="0" xfId="0" applyFont="1" applyFill="1"/>
    <xf numFmtId="0" fontId="0" fillId="25" borderId="0" xfId="0" applyFill="1" applyAlignment="1">
      <alignment horizontal="center"/>
    </xf>
    <xf numFmtId="0" fontId="34" fillId="32" borderId="0" xfId="0" applyNumberFormat="1" applyFont="1" applyFill="1" applyAlignment="1">
      <alignment horizontal="center"/>
    </xf>
    <xf numFmtId="0" fontId="42" fillId="0" borderId="0" xfId="0" applyFont="1" applyAlignment="1">
      <alignment vertical="top" wrapText="1"/>
    </xf>
    <xf numFmtId="0" fontId="43" fillId="0" borderId="0" xfId="0" applyFont="1"/>
    <xf numFmtId="0" fontId="5" fillId="0" borderId="0" xfId="57" applyNumberFormat="1" applyFill="1" applyAlignment="1" applyProtection="1">
      <alignment horizontal="left"/>
    </xf>
    <xf numFmtId="0" fontId="44" fillId="25" borderId="0" xfId="0" applyFont="1" applyFill="1"/>
    <xf numFmtId="0" fontId="8" fillId="31" borderId="0" xfId="0" applyFont="1" applyFill="1" applyProtection="1">
      <protection hidden="1"/>
    </xf>
    <xf numFmtId="0" fontId="9" fillId="31" borderId="0" xfId="0" applyFont="1" applyFill="1" applyProtection="1">
      <protection hidden="1"/>
    </xf>
    <xf numFmtId="0" fontId="0" fillId="0" borderId="17" xfId="0" applyBorder="1" applyAlignment="1">
      <alignment vertical="top"/>
    </xf>
    <xf numFmtId="0" fontId="46" fillId="31" borderId="0" xfId="57" applyFont="1" applyFill="1" applyAlignment="1" applyProtection="1">
      <alignment vertical="top" wrapText="1"/>
      <protection hidden="1"/>
    </xf>
    <xf numFmtId="0" fontId="47" fillId="31" borderId="0" xfId="57" applyFont="1" applyFill="1" applyAlignment="1" applyProtection="1">
      <alignment vertical="top" wrapText="1"/>
      <protection hidden="1"/>
    </xf>
    <xf numFmtId="0" fontId="48" fillId="31" borderId="0" xfId="57" applyFont="1" applyFill="1" applyAlignment="1" applyProtection="1">
      <alignment vertical="center"/>
      <protection hidden="1"/>
    </xf>
    <xf numFmtId="0" fontId="9" fillId="31" borderId="0" xfId="57" applyFont="1" applyFill="1" applyAlignment="1" applyProtection="1">
      <alignment vertical="top"/>
      <protection hidden="1"/>
    </xf>
    <xf numFmtId="0" fontId="8" fillId="25" borderId="0" xfId="0" applyFont="1" applyFill="1" applyProtection="1">
      <protection hidden="1"/>
    </xf>
    <xf numFmtId="0" fontId="9" fillId="25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Font="1" applyAlignment="1" applyProtection="1">
      <protection hidden="1"/>
    </xf>
    <xf numFmtId="0" fontId="9" fillId="25" borderId="0" xfId="0" applyFont="1" applyFill="1" applyAlignment="1" applyProtection="1">
      <alignment vertical="top" wrapText="1"/>
      <protection hidden="1"/>
    </xf>
    <xf numFmtId="0" fontId="34" fillId="25" borderId="0" xfId="0" applyFont="1" applyFill="1" applyAlignment="1" applyProtection="1">
      <alignment vertical="top"/>
      <protection hidden="1"/>
    </xf>
    <xf numFmtId="0" fontId="9" fillId="25" borderId="0" xfId="0" applyFont="1" applyFill="1" applyAlignment="1" applyProtection="1">
      <alignment vertical="top"/>
      <protection hidden="1"/>
    </xf>
    <xf numFmtId="0" fontId="9" fillId="31" borderId="0" xfId="0" applyFont="1" applyFill="1" applyAlignment="1" applyProtection="1">
      <alignment vertical="center"/>
      <protection hidden="1"/>
    </xf>
    <xf numFmtId="0" fontId="4" fillId="0" borderId="0" xfId="151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4" fillId="25" borderId="0" xfId="0" applyFont="1" applyFill="1" applyAlignment="1" applyProtection="1">
      <alignment vertical="top" wrapText="1"/>
      <protection hidden="1"/>
    </xf>
    <xf numFmtId="0" fontId="34" fillId="25" borderId="0" xfId="0" applyFont="1" applyFill="1" applyAlignment="1" applyProtection="1">
      <alignment horizontal="left" vertical="top" wrapText="1"/>
      <protection hidden="1"/>
    </xf>
    <xf numFmtId="0" fontId="0" fillId="0" borderId="18" xfId="0" applyBorder="1" applyAlignment="1">
      <alignment horizontal="left" vertical="center"/>
    </xf>
    <xf numFmtId="0" fontId="34" fillId="0" borderId="0" xfId="0" applyFont="1" applyFill="1" applyAlignment="1" applyProtection="1">
      <alignment vertical="top" wrapText="1"/>
      <protection hidden="1"/>
    </xf>
    <xf numFmtId="0" fontId="34" fillId="0" borderId="0" xfId="0" applyFont="1" applyFill="1" applyAlignment="1" applyProtection="1">
      <alignment vertical="top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9" fillId="0" borderId="0" xfId="0" applyFont="1" applyFill="1" applyProtection="1">
      <protection hidden="1"/>
    </xf>
    <xf numFmtId="0" fontId="45" fillId="0" borderId="0" xfId="0" applyFont="1" applyFill="1" applyBorder="1" applyAlignment="1" applyProtection="1">
      <alignment vertical="top"/>
      <protection hidden="1"/>
    </xf>
    <xf numFmtId="0" fontId="4" fillId="0" borderId="0" xfId="151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protection hidden="1"/>
    </xf>
    <xf numFmtId="0" fontId="9" fillId="0" borderId="0" xfId="0" applyFont="1" applyFill="1" applyAlignment="1" applyProtection="1">
      <alignment vertical="top"/>
      <protection hidden="1"/>
    </xf>
    <xf numFmtId="0" fontId="9" fillId="0" borderId="0" xfId="0" applyFont="1" applyFill="1" applyAlignment="1" applyProtection="1">
      <alignment vertical="top" wrapText="1"/>
      <protection hidden="1"/>
    </xf>
    <xf numFmtId="0" fontId="49" fillId="0" borderId="0" xfId="0" applyFont="1" applyFill="1" applyProtection="1"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top"/>
      <protection hidden="1"/>
    </xf>
    <xf numFmtId="0" fontId="50" fillId="0" borderId="0" xfId="0" applyFont="1" applyFill="1" applyBorder="1" applyAlignment="1" applyProtection="1">
      <alignment vertical="top"/>
      <protection hidden="1"/>
    </xf>
    <xf numFmtId="0" fontId="45" fillId="0" borderId="0" xfId="151" applyFont="1" applyFill="1" applyBorder="1" applyAlignment="1" applyProtection="1">
      <alignment horizontal="left"/>
      <protection hidden="1"/>
    </xf>
    <xf numFmtId="0" fontId="45" fillId="0" borderId="0" xfId="0" applyFont="1" applyFill="1" applyProtection="1">
      <protection hidden="1"/>
    </xf>
    <xf numFmtId="0" fontId="34" fillId="0" borderId="0" xfId="0" quotePrefix="1" applyFont="1" applyFill="1" applyAlignment="1" applyProtection="1">
      <alignment vertical="top"/>
      <protection hidden="1"/>
    </xf>
    <xf numFmtId="0" fontId="9" fillId="0" borderId="0" xfId="0" applyFont="1" applyFill="1" applyAlignment="1" applyProtection="1">
      <alignment wrapText="1"/>
      <protection hidden="1"/>
    </xf>
    <xf numFmtId="0" fontId="9" fillId="0" borderId="0" xfId="0" quotePrefix="1" applyFont="1" applyFill="1" applyAlignment="1" applyProtection="1">
      <alignment vertical="top"/>
      <protection hidden="1"/>
    </xf>
    <xf numFmtId="0" fontId="49" fillId="0" borderId="0" xfId="0" applyFont="1" applyFill="1" applyAlignment="1" applyProtection="1">
      <alignment vertical="top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34" fillId="0" borderId="18" xfId="0" applyFont="1" applyBorder="1" applyAlignment="1">
      <alignment vertical="top"/>
    </xf>
    <xf numFmtId="0" fontId="40" fillId="30" borderId="0" xfId="149" applyFont="1" applyFill="1" applyBorder="1" applyAlignment="1">
      <alignment horizontal="left" vertical="top"/>
    </xf>
    <xf numFmtId="3" fontId="9" fillId="25" borderId="11" xfId="78" applyNumberFormat="1" applyFont="1" applyFill="1" applyBorder="1" applyAlignment="1" applyProtection="1">
      <alignment wrapText="1"/>
      <protection locked="0" hidden="1"/>
    </xf>
    <xf numFmtId="3" fontId="9" fillId="25" borderId="12" xfId="78" applyNumberFormat="1" applyFont="1" applyFill="1" applyBorder="1" applyAlignment="1" applyProtection="1">
      <alignment wrapText="1"/>
      <protection locked="0" hidden="1"/>
    </xf>
    <xf numFmtId="3" fontId="10" fillId="25" borderId="11" xfId="57" applyNumberFormat="1" applyFont="1" applyFill="1" applyBorder="1" applyAlignment="1" applyProtection="1">
      <alignment wrapText="1"/>
      <protection locked="0" hidden="1"/>
    </xf>
    <xf numFmtId="3" fontId="9" fillId="25" borderId="11" xfId="78" applyNumberFormat="1" applyFont="1" applyFill="1" applyBorder="1" applyAlignment="1" applyProtection="1">
      <alignment wrapText="1"/>
      <protection locked="0" hidden="1"/>
    </xf>
    <xf numFmtId="3" fontId="9" fillId="25" borderId="12" xfId="78" applyNumberFormat="1" applyFont="1" applyFill="1" applyBorder="1" applyAlignment="1" applyProtection="1">
      <alignment wrapText="1"/>
      <protection locked="0" hidden="1"/>
    </xf>
    <xf numFmtId="3" fontId="9" fillId="25" borderId="11" xfId="78" applyNumberFormat="1" applyFont="1" applyFill="1" applyBorder="1" applyAlignment="1" applyProtection="1">
      <alignment horizontal="left" wrapText="1"/>
      <protection locked="0" hidden="1"/>
    </xf>
    <xf numFmtId="3" fontId="9" fillId="25" borderId="12" xfId="78" applyNumberFormat="1" applyFont="1" applyFill="1" applyBorder="1" applyAlignment="1" applyProtection="1">
      <alignment horizontal="left" wrapText="1"/>
      <protection locked="0" hidden="1"/>
    </xf>
    <xf numFmtId="3" fontId="10" fillId="25" borderId="11" xfId="57" applyNumberFormat="1" applyFont="1" applyFill="1" applyBorder="1" applyAlignment="1" applyProtection="1">
      <alignment wrapText="1"/>
      <protection locked="0" hidden="1"/>
    </xf>
    <xf numFmtId="3" fontId="10" fillId="25" borderId="12" xfId="57" applyNumberFormat="1" applyFont="1" applyFill="1" applyBorder="1" applyAlignment="1" applyProtection="1">
      <alignment wrapText="1"/>
      <protection locked="0" hidden="1"/>
    </xf>
    <xf numFmtId="0" fontId="42" fillId="0" borderId="0" xfId="0" applyFont="1" applyAlignment="1">
      <alignment horizontal="left" vertical="center" wrapText="1"/>
    </xf>
    <xf numFmtId="0" fontId="0" fillId="25" borderId="0" xfId="0" applyFill="1" applyAlignment="1">
      <alignment wrapText="1"/>
    </xf>
    <xf numFmtId="164" fontId="9" fillId="25" borderId="15" xfId="78" quotePrefix="1" applyNumberFormat="1" applyFont="1" applyFill="1" applyBorder="1" applyAlignment="1" applyProtection="1">
      <alignment horizontal="left" vertical="center" wrapText="1"/>
      <protection hidden="1"/>
    </xf>
    <xf numFmtId="0" fontId="9" fillId="33" borderId="16" xfId="0" applyFont="1" applyFill="1" applyBorder="1" applyAlignment="1">
      <alignment horizontal="left" vertical="center" wrapText="1"/>
    </xf>
    <xf numFmtId="0" fontId="40" fillId="33" borderId="16" xfId="149" applyFont="1" applyFill="1" applyBorder="1" applyAlignment="1">
      <alignment horizontal="left" vertical="center" wrapText="1"/>
    </xf>
    <xf numFmtId="0" fontId="39" fillId="25" borderId="0" xfId="0" applyFont="1" applyFill="1" applyAlignment="1">
      <alignment wrapText="1"/>
    </xf>
    <xf numFmtId="0" fontId="0" fillId="25" borderId="0" xfId="0" applyFill="1" applyAlignment="1"/>
  </cellXfs>
  <cellStyles count="152">
    <cellStyle name=" 1" xfId="1" xr:uid="{00000000-0005-0000-0000-000000000000}"/>
    <cellStyle name=" 2" xfId="2" xr:uid="{00000000-0005-0000-0000-000001000000}"/>
    <cellStyle name=" 3" xfId="3" xr:uid="{00000000-0005-0000-0000-000002000000}"/>
    <cellStyle name="]_x000d__x000a_Zoomed=1_x000d__x000a_Row=0_x000d__x000a_Column=0_x000d__x000a_Height=0_x000d__x000a_Width=0_x000d__x000a_FontName=FoxFont_x000d__x000a_FontStyle=0_x000d__x000a_FontSize=9_x000d__x000a_PrtFontName=FoxPrin" xfId="4" xr:uid="{00000000-0005-0000-0000-000003000000}"/>
    <cellStyle name="]_x000d__x000a_Zoomed=1_x000d__x000a_Row=0_x000d__x000a_Column=0_x000d__x000a_Height=0_x000d__x000a_Width=0_x000d__x000a_FontName=FoxFont_x000d__x000a_FontStyle=0_x000d__x000a_FontSize=9_x000d__x000a_PrtFontName=FoxPrin 2" xfId="5" xr:uid="{00000000-0005-0000-0000-000004000000}"/>
    <cellStyle name="]_x000d__x000a_Zoomed=1_x000d__x000a_Row=0_x000d__x000a_Column=0_x000d__x000a_Height=0_x000d__x000a_Width=0_x000d__x000a_FontName=FoxFont_x000d__x000a_FontStyle=0_x000d__x000a_FontSize=9_x000d__x000a_PrtFontName=FoxPrin 2 2" xfId="6" xr:uid="{00000000-0005-0000-0000-000005000000}"/>
    <cellStyle name="]_x000d__x000a_Zoomed=1_x000d__x000a_Row=0_x000d__x000a_Column=0_x000d__x000a_Height=0_x000d__x000a_Width=0_x000d__x000a_FontName=FoxFont_x000d__x000a_FontStyle=0_x000d__x000a_FontSize=9_x000d__x000a_PrtFontName=FoxPrin 3" xfId="7" xr:uid="{00000000-0005-0000-0000-000006000000}"/>
    <cellStyle name="]_x000d__x000a_Zoomed=1_x000d__x000a_Row=0_x000d__x000a_Column=0_x000d__x000a_Height=0_x000d__x000a_Width=0_x000d__x000a_FontName=FoxFont_x000d__x000a_FontStyle=0_x000d__x000a_FontSize=9_x000d__x000a_PrtFontName=FoxPrin 3 2" xfId="8" xr:uid="{00000000-0005-0000-0000-000007000000}"/>
    <cellStyle name="]_x000d__x000a_Zoomed=1_x000d__x000a_Row=0_x000d__x000a_Column=0_x000d__x000a_Height=0_x000d__x000a_Width=0_x000d__x000a_FontName=FoxFont_x000d__x000a_FontStyle=0_x000d__x000a_FontSize=9_x000d__x000a_PrtFontName=FoxPrin 3_All Schools2" xfId="9" xr:uid="{00000000-0005-0000-0000-000008000000}"/>
    <cellStyle name="]_x000d__x000a_Zoomed=1_x000d__x000a_Row=0_x000d__x000a_Column=0_x000d__x000a_Height=0_x000d__x000a_Width=0_x000d__x000a_FontName=FoxFont_x000d__x000a_FontStyle=0_x000d__x000a_FontSize=9_x000d__x000a_PrtFontName=FoxPrin_All Schools2" xfId="10" xr:uid="{00000000-0005-0000-0000-000009000000}"/>
    <cellStyle name="20% - Accent1 2" xfId="11" xr:uid="{00000000-0005-0000-0000-00000A000000}"/>
    <cellStyle name="20% - Accent1 2 2" xfId="12" xr:uid="{00000000-0005-0000-0000-00000B000000}"/>
    <cellStyle name="20% - Accent2 2" xfId="13" xr:uid="{00000000-0005-0000-0000-00000C000000}"/>
    <cellStyle name="20% - Accent2 2 2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4 2" xfId="17" xr:uid="{00000000-0005-0000-0000-000010000000}"/>
    <cellStyle name="20% - Accent4 2 2" xfId="18" xr:uid="{00000000-0005-0000-0000-000011000000}"/>
    <cellStyle name="20% - Accent5 2" xfId="19" xr:uid="{00000000-0005-0000-0000-000012000000}"/>
    <cellStyle name="20% - Accent5 2 2" xfId="20" xr:uid="{00000000-0005-0000-0000-000013000000}"/>
    <cellStyle name="20% - Accent6 2" xfId="21" xr:uid="{00000000-0005-0000-0000-000014000000}"/>
    <cellStyle name="20% - Accent6 2 2" xfId="22" xr:uid="{00000000-0005-0000-0000-000015000000}"/>
    <cellStyle name="40% - Accent1 2" xfId="23" xr:uid="{00000000-0005-0000-0000-000016000000}"/>
    <cellStyle name="40% - Accent1 2 2" xfId="24" xr:uid="{00000000-0005-0000-0000-000017000000}"/>
    <cellStyle name="40% - Accent2 2" xfId="25" xr:uid="{00000000-0005-0000-0000-000018000000}"/>
    <cellStyle name="40% - Accent2 2 2" xfId="26" xr:uid="{00000000-0005-0000-0000-000019000000}"/>
    <cellStyle name="40% - Accent3 2" xfId="27" xr:uid="{00000000-0005-0000-0000-00001A000000}"/>
    <cellStyle name="40% - Accent3 2 2" xfId="28" xr:uid="{00000000-0005-0000-0000-00001B000000}"/>
    <cellStyle name="40% - Accent4 2" xfId="29" xr:uid="{00000000-0005-0000-0000-00001C000000}"/>
    <cellStyle name="40% - Accent4 2 2" xfId="30" xr:uid="{00000000-0005-0000-0000-00001D000000}"/>
    <cellStyle name="40% - Accent5 2" xfId="31" xr:uid="{00000000-0005-0000-0000-00001E000000}"/>
    <cellStyle name="40% - Accent5 2 2" xfId="32" xr:uid="{00000000-0005-0000-0000-00001F000000}"/>
    <cellStyle name="40% - Accent6 2" xfId="33" xr:uid="{00000000-0005-0000-0000-000020000000}"/>
    <cellStyle name="40% - Accent6 2 2" xfId="34" xr:uid="{00000000-0005-0000-0000-000021000000}"/>
    <cellStyle name="60% - Accent1 2" xfId="35" xr:uid="{00000000-0005-0000-0000-000022000000}"/>
    <cellStyle name="60% - Accent2 2" xfId="36" xr:uid="{00000000-0005-0000-0000-000023000000}"/>
    <cellStyle name="60% - Accent3 2" xfId="37" xr:uid="{00000000-0005-0000-0000-000024000000}"/>
    <cellStyle name="60% - Accent4 2" xfId="38" xr:uid="{00000000-0005-0000-0000-000025000000}"/>
    <cellStyle name="60% - Accent5 2" xfId="39" xr:uid="{00000000-0005-0000-0000-000026000000}"/>
    <cellStyle name="60% - Accent6 2" xfId="40" xr:uid="{00000000-0005-0000-0000-000027000000}"/>
    <cellStyle name="Accent1 2" xfId="41" xr:uid="{00000000-0005-0000-0000-000028000000}"/>
    <cellStyle name="Accent2 2" xfId="42" xr:uid="{00000000-0005-0000-0000-000029000000}"/>
    <cellStyle name="Accent3 2" xfId="43" xr:uid="{00000000-0005-0000-0000-00002A000000}"/>
    <cellStyle name="Accent4 2" xfId="44" xr:uid="{00000000-0005-0000-0000-00002B000000}"/>
    <cellStyle name="Accent5 2" xfId="45" xr:uid="{00000000-0005-0000-0000-00002C000000}"/>
    <cellStyle name="Accent6 2" xfId="46" xr:uid="{00000000-0005-0000-0000-00002D000000}"/>
    <cellStyle name="Bad 2" xfId="47" xr:uid="{00000000-0005-0000-0000-00002E000000}"/>
    <cellStyle name="Calculation 2" xfId="48" xr:uid="{00000000-0005-0000-0000-00002F000000}"/>
    <cellStyle name="Check Cell 2" xfId="49" xr:uid="{00000000-0005-0000-0000-000030000000}"/>
    <cellStyle name="Comma 2" xfId="50" xr:uid="{00000000-0005-0000-0000-000032000000}"/>
    <cellStyle name="Comma 2 2" xfId="148" xr:uid="{00000000-0005-0000-0000-000033000000}"/>
    <cellStyle name="Comma 3" xfId="147" xr:uid="{00000000-0005-0000-0000-000034000000}"/>
    <cellStyle name="Explanatory Text 2" xfId="51" xr:uid="{00000000-0005-0000-0000-000035000000}"/>
    <cellStyle name="Good 2" xfId="52" xr:uid="{00000000-0005-0000-0000-000036000000}"/>
    <cellStyle name="Heading 1 2" xfId="53" xr:uid="{00000000-0005-0000-0000-000037000000}"/>
    <cellStyle name="Heading 2 2" xfId="54" xr:uid="{00000000-0005-0000-0000-000038000000}"/>
    <cellStyle name="Heading 3 2" xfId="55" xr:uid="{00000000-0005-0000-0000-000039000000}"/>
    <cellStyle name="Heading 4 2" xfId="56" xr:uid="{00000000-0005-0000-0000-00003A000000}"/>
    <cellStyle name="Hyperlink" xfId="149" builtinId="8"/>
    <cellStyle name="Hyperlink 2" xfId="57" xr:uid="{00000000-0005-0000-0000-00003C000000}"/>
    <cellStyle name="Hyperlink 2 2" xfId="58" xr:uid="{00000000-0005-0000-0000-00003D000000}"/>
    <cellStyle name="Hyperlink 3" xfId="59" xr:uid="{00000000-0005-0000-0000-00003E000000}"/>
    <cellStyle name="Hyperlink 4" xfId="60" xr:uid="{00000000-0005-0000-0000-00003F000000}"/>
    <cellStyle name="Hyperlink 5" xfId="61" xr:uid="{00000000-0005-0000-0000-000040000000}"/>
    <cellStyle name="Input 2" xfId="62" xr:uid="{00000000-0005-0000-0000-000041000000}"/>
    <cellStyle name="Linked Cell 2" xfId="63" xr:uid="{00000000-0005-0000-0000-000042000000}"/>
    <cellStyle name="Neutral 2" xfId="64" xr:uid="{00000000-0005-0000-0000-000043000000}"/>
    <cellStyle name="Normal" xfId="0" builtinId="0"/>
    <cellStyle name="Normal 10" xfId="65" xr:uid="{00000000-0005-0000-0000-000045000000}"/>
    <cellStyle name="Normal 10 2" xfId="66" xr:uid="{00000000-0005-0000-0000-000046000000}"/>
    <cellStyle name="Normal 10 7" xfId="151" xr:uid="{15EDAEBF-6532-45B8-AB14-CBD058742063}"/>
    <cellStyle name="Normal 11" xfId="67" xr:uid="{00000000-0005-0000-0000-000047000000}"/>
    <cellStyle name="Normal 12" xfId="68" xr:uid="{00000000-0005-0000-0000-000048000000}"/>
    <cellStyle name="Normal 12 2" xfId="69" xr:uid="{00000000-0005-0000-0000-000049000000}"/>
    <cellStyle name="Normal 13" xfId="70" xr:uid="{00000000-0005-0000-0000-00004A000000}"/>
    <cellStyle name="Normal 14" xfId="71" xr:uid="{00000000-0005-0000-0000-00004B000000}"/>
    <cellStyle name="Normal 14 2" xfId="72" xr:uid="{00000000-0005-0000-0000-00004C000000}"/>
    <cellStyle name="Normal 15" xfId="73" xr:uid="{00000000-0005-0000-0000-00004D000000}"/>
    <cellStyle name="Normal 16" xfId="74" xr:uid="{00000000-0005-0000-0000-00004E000000}"/>
    <cellStyle name="Normal 17" xfId="75" xr:uid="{00000000-0005-0000-0000-00004F000000}"/>
    <cellStyle name="Normal 18" xfId="76" xr:uid="{00000000-0005-0000-0000-000050000000}"/>
    <cellStyle name="Normal 19" xfId="77" xr:uid="{00000000-0005-0000-0000-000051000000}"/>
    <cellStyle name="Normal 2" xfId="78" xr:uid="{00000000-0005-0000-0000-000052000000}"/>
    <cellStyle name="Normal 2 2" xfId="79" xr:uid="{00000000-0005-0000-0000-000053000000}"/>
    <cellStyle name="Normal 2 2 2" xfId="80" xr:uid="{00000000-0005-0000-0000-000054000000}"/>
    <cellStyle name="Normal 2 2 2 2" xfId="81" xr:uid="{00000000-0005-0000-0000-000055000000}"/>
    <cellStyle name="Normal 2 2 3" xfId="82" xr:uid="{00000000-0005-0000-0000-000056000000}"/>
    <cellStyle name="Normal 2 3" xfId="83" xr:uid="{00000000-0005-0000-0000-000057000000}"/>
    <cellStyle name="Normal 2 4" xfId="84" xr:uid="{00000000-0005-0000-0000-000058000000}"/>
    <cellStyle name="Normal 20" xfId="85" xr:uid="{00000000-0005-0000-0000-000059000000}"/>
    <cellStyle name="Normal 21" xfId="150" xr:uid="{3991A998-7602-4E1C-BAEE-BC7B8B7EBD74}"/>
    <cellStyle name="Normal 3" xfId="86" xr:uid="{00000000-0005-0000-0000-00005A000000}"/>
    <cellStyle name="Normal 3 2" xfId="87" xr:uid="{00000000-0005-0000-0000-00005B000000}"/>
    <cellStyle name="Normal 3 2 2" xfId="88" xr:uid="{00000000-0005-0000-0000-00005C000000}"/>
    <cellStyle name="Normal 3 3" xfId="89" xr:uid="{00000000-0005-0000-0000-00005D000000}"/>
    <cellStyle name="Normal 3 4" xfId="90" xr:uid="{00000000-0005-0000-0000-00005E000000}"/>
    <cellStyle name="Normal 3_Tracker for commission - 251012" xfId="91" xr:uid="{00000000-0005-0000-0000-00005F000000}"/>
    <cellStyle name="Normal 4" xfId="92" xr:uid="{00000000-0005-0000-0000-000060000000}"/>
    <cellStyle name="Normal 4 2" xfId="93" xr:uid="{00000000-0005-0000-0000-000061000000}"/>
    <cellStyle name="Normal 4 3" xfId="94" xr:uid="{00000000-0005-0000-0000-000062000000}"/>
    <cellStyle name="Normal 5" xfId="95" xr:uid="{00000000-0005-0000-0000-000063000000}"/>
    <cellStyle name="Normal 5 2" xfId="96" xr:uid="{00000000-0005-0000-0000-000064000000}"/>
    <cellStyle name="Normal 5 2 2" xfId="97" xr:uid="{00000000-0005-0000-0000-000065000000}"/>
    <cellStyle name="Normal 5 3" xfId="98" xr:uid="{00000000-0005-0000-0000-000066000000}"/>
    <cellStyle name="Normal 5 3 2" xfId="99" xr:uid="{00000000-0005-0000-0000-000067000000}"/>
    <cellStyle name="Normal 5 4" xfId="100" xr:uid="{00000000-0005-0000-0000-000068000000}"/>
    <cellStyle name="Normal 5 5" xfId="101" xr:uid="{00000000-0005-0000-0000-000069000000}"/>
    <cellStyle name="Normal 6" xfId="102" xr:uid="{00000000-0005-0000-0000-00006A000000}"/>
    <cellStyle name="Normal 6 2" xfId="103" xr:uid="{00000000-0005-0000-0000-00006B000000}"/>
    <cellStyle name="Normal 6 3" xfId="104" xr:uid="{00000000-0005-0000-0000-00006C000000}"/>
    <cellStyle name="Normal 6 3 2" xfId="105" xr:uid="{00000000-0005-0000-0000-00006D000000}"/>
    <cellStyle name="Normal 6 4" xfId="106" xr:uid="{00000000-0005-0000-0000-00006E000000}"/>
    <cellStyle name="Normal 7" xfId="107" xr:uid="{00000000-0005-0000-0000-00006F000000}"/>
    <cellStyle name="Normal 7 2" xfId="108" xr:uid="{00000000-0005-0000-0000-000070000000}"/>
    <cellStyle name="Normal 7 3" xfId="109" xr:uid="{00000000-0005-0000-0000-000071000000}"/>
    <cellStyle name="Normal 8" xfId="110" xr:uid="{00000000-0005-0000-0000-000072000000}"/>
    <cellStyle name="Normal 8 2" xfId="111" xr:uid="{00000000-0005-0000-0000-000073000000}"/>
    <cellStyle name="Normal 9" xfId="112" xr:uid="{00000000-0005-0000-0000-000074000000}"/>
    <cellStyle name="Normal 9 2" xfId="113" xr:uid="{00000000-0005-0000-0000-000075000000}"/>
    <cellStyle name="Note 2" xfId="114" xr:uid="{00000000-0005-0000-0000-000076000000}"/>
    <cellStyle name="Note 2 2" xfId="115" xr:uid="{00000000-0005-0000-0000-000077000000}"/>
    <cellStyle name="Note 2 2 2" xfId="116" xr:uid="{00000000-0005-0000-0000-000078000000}"/>
    <cellStyle name="Note 2 3" xfId="117" xr:uid="{00000000-0005-0000-0000-000079000000}"/>
    <cellStyle name="Note 2 3 2" xfId="118" xr:uid="{00000000-0005-0000-0000-00007A000000}"/>
    <cellStyle name="Note 2 4" xfId="119" xr:uid="{00000000-0005-0000-0000-00007B000000}"/>
    <cellStyle name="Note 2 4 2" xfId="120" xr:uid="{00000000-0005-0000-0000-00007C000000}"/>
    <cellStyle name="Note 2 5" xfId="121" xr:uid="{00000000-0005-0000-0000-00007D000000}"/>
    <cellStyle name="Note 2 5 2" xfId="122" xr:uid="{00000000-0005-0000-0000-00007E000000}"/>
    <cellStyle name="Note 2 6" xfId="123" xr:uid="{00000000-0005-0000-0000-00007F000000}"/>
    <cellStyle name="Note 2 6 2" xfId="124" xr:uid="{00000000-0005-0000-0000-000080000000}"/>
    <cellStyle name="Note 3" xfId="125" xr:uid="{00000000-0005-0000-0000-000081000000}"/>
    <cellStyle name="Note 3 2" xfId="126" xr:uid="{00000000-0005-0000-0000-000082000000}"/>
    <cellStyle name="Note 3 2 2" xfId="127" xr:uid="{00000000-0005-0000-0000-000083000000}"/>
    <cellStyle name="Note 3 3" xfId="128" xr:uid="{00000000-0005-0000-0000-000084000000}"/>
    <cellStyle name="Note 3 3 2" xfId="129" xr:uid="{00000000-0005-0000-0000-000085000000}"/>
    <cellStyle name="Note 3 4" xfId="130" xr:uid="{00000000-0005-0000-0000-000086000000}"/>
    <cellStyle name="Note 4" xfId="131" xr:uid="{00000000-0005-0000-0000-000087000000}"/>
    <cellStyle name="Note 4 2" xfId="132" xr:uid="{00000000-0005-0000-0000-000088000000}"/>
    <cellStyle name="Note 5" xfId="133" xr:uid="{00000000-0005-0000-0000-000089000000}"/>
    <cellStyle name="Note 5 2" xfId="134" xr:uid="{00000000-0005-0000-0000-00008A000000}"/>
    <cellStyle name="Note 6" xfId="135" xr:uid="{00000000-0005-0000-0000-00008B000000}"/>
    <cellStyle name="Note 6 2" xfId="136" xr:uid="{00000000-0005-0000-0000-00008C000000}"/>
    <cellStyle name="Note 7" xfId="137" xr:uid="{00000000-0005-0000-0000-00008D000000}"/>
    <cellStyle name="Note 7 2" xfId="138" xr:uid="{00000000-0005-0000-0000-00008E000000}"/>
    <cellStyle name="Note 8" xfId="139" xr:uid="{00000000-0005-0000-0000-00008F000000}"/>
    <cellStyle name="Note 8 2" xfId="140" xr:uid="{00000000-0005-0000-0000-000090000000}"/>
    <cellStyle name="Output 2" xfId="141" xr:uid="{00000000-0005-0000-0000-000091000000}"/>
    <cellStyle name="Percent 2" xfId="142" xr:uid="{00000000-0005-0000-0000-000093000000}"/>
    <cellStyle name="Percent 3" xfId="143" xr:uid="{00000000-0005-0000-0000-000094000000}"/>
    <cellStyle name="Title 2" xfId="144" xr:uid="{00000000-0005-0000-0000-000095000000}"/>
    <cellStyle name="Total 2" xfId="145" xr:uid="{00000000-0005-0000-0000-000096000000}"/>
    <cellStyle name="Warning Text 2" xfId="146" xr:uid="{00000000-0005-0000-0000-000097000000}"/>
  </cellStyles>
  <dxfs count="7">
    <dxf>
      <alignment wrapText="1"/>
    </dxf>
    <dxf>
      <fill>
        <patternFill>
          <bgColor rgb="FFFF0000"/>
        </patternFill>
      </fill>
    </dxf>
    <dxf>
      <alignment horizontal="center"/>
    </dxf>
    <dxf>
      <fill>
        <patternFill patternType="solid">
          <bgColor rgb="FFFFFF00"/>
        </patternFill>
      </fill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colors>
    <mruColors>
      <color rgb="FF548DD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4061460</xdr:colOff>
      <xdr:row>0</xdr:row>
      <xdr:rowOff>38100</xdr:rowOff>
    </xdr:from>
    <xdr:to>
      <xdr:col>2</xdr:col>
      <xdr:colOff>5241900</xdr:colOff>
      <xdr:row>0</xdr:row>
      <xdr:rowOff>1025738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0F1B34-7D68-41E6-8F4D-72EA9AB2D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1420" y="38100"/>
          <a:ext cx="1176630" cy="98763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y Kerai" refreshedDate="44235.378787731483" createdVersion="6" refreshedVersion="6" minRefreshableVersion="3" recordCount="2439" xr:uid="{FD1AFF5C-9170-40E6-8C9C-2A1DB70D2AF4}">
  <cacheSource type="worksheet">
    <worksheetSource ref="A1:M1048576" sheet="Data"/>
  </cacheSource>
  <cacheFields count="13">
    <cacheField name="Web link" numFmtId="0">
      <sharedItems containsBlank="1"/>
    </cacheField>
    <cacheField name="URN" numFmtId="0">
      <sharedItems containsBlank="1" containsMixedTypes="1" containsNumber="1" containsInteger="1" minValue="1027158" maxValue="2602980"/>
    </cacheField>
    <cacheField name="Provision type" numFmtId="0">
      <sharedItems containsBlank="1" count="8">
        <s v="Children's home"/>
        <s v="Independent Fostering Agency"/>
        <s v="Secure children's home"/>
        <s v="Residential special school (registered as a children's home)"/>
        <s v="Residential Family Centre"/>
        <s v="Residential Special School"/>
        <s v="Boarding School"/>
        <m/>
      </sharedItems>
    </cacheField>
    <cacheField name="Registration date" numFmtId="0">
      <sharedItems containsNonDate="0" containsDate="1" containsString="0" containsBlank="1" minDate="1986-03-26T00:00:00" maxDate="2020-09-04T00:00:00"/>
    </cacheField>
    <cacheField name="Registration status" numFmtId="0">
      <sharedItems containsBlank="1"/>
    </cacheField>
    <cacheField name="Name" numFmtId="0">
      <sharedItems containsBlank="1"/>
    </cacheField>
    <cacheField name="Ofsted region" numFmtId="0">
      <sharedItems containsBlank="1" count="9">
        <s v="East of England"/>
        <s v="South West"/>
        <s v="South East"/>
        <s v="North East, Yorkshire and the Humber"/>
        <s v="East Midlands"/>
        <s v="North West"/>
        <s v="West Midlands"/>
        <s v="London"/>
        <m/>
      </sharedItems>
    </cacheField>
    <cacheField name="Region" numFmtId="0">
      <sharedItems containsBlank="1"/>
    </cacheField>
    <cacheField name="Local authority" numFmtId="0">
      <sharedItems containsBlank="1" count="129">
        <s v="Central Bedfordshire"/>
        <s v="Wiltshire"/>
        <s v="Kent"/>
        <s v="Doncaster"/>
        <s v="Leicestershire"/>
        <s v="Wakefield"/>
        <s v="Portsmouth"/>
        <s v="Bristol"/>
        <s v="Oldham"/>
        <s v="Southend on Sea"/>
        <s v="Devon"/>
        <s v="Manchester"/>
        <s v="West Sussex"/>
        <s v="Oxfordshire"/>
        <s v="Derbyshire"/>
        <s v="Warrington"/>
        <s v="Lancashire"/>
        <s v="Sandwell"/>
        <s v="Northamptonshire"/>
        <s v="Hertfordshire"/>
        <s v="Nottinghamshire"/>
        <s v="Peterborough"/>
        <s v="Hampshire"/>
        <s v="Calderdale"/>
        <s v="St Helens"/>
        <s v="Rutland"/>
        <s v="Leeds"/>
        <s v="Plymouth"/>
        <s v="North Tyneside"/>
        <s v="Surrey"/>
        <s v="Somerset"/>
        <s v="Swindon"/>
        <s v="Bolton"/>
        <s v="Norfolk"/>
        <s v="Birmingham"/>
        <s v="Salford"/>
        <s v="Nottingham"/>
        <s v="Sunderland"/>
        <s v="Wirral"/>
        <s v="Brighton and Hove"/>
        <s v="Lincolnshire"/>
        <s v="Essex"/>
        <s v="Sheffield"/>
        <s v="Herefordshire"/>
        <s v="Southampton"/>
        <s v="Kirklees"/>
        <s v="Staffordshire"/>
        <s v="West Berkshire"/>
        <s v="Cambridgeshire"/>
        <s v="South Gloucestershire"/>
        <s v="Suffolk"/>
        <s v="Telford and Wrekin"/>
        <s v="East Sussex"/>
        <s v="Rochdale"/>
        <s v="Bath and North East Somerset"/>
        <s v="Shropshire"/>
        <s v="Gloucestershire"/>
        <s v="Enfield"/>
        <s v="Buckinghamshire"/>
        <s v="Rotherham"/>
        <s v="North Yorkshire"/>
        <s v="North East Lincolnshire"/>
        <s v="Cornwall"/>
        <s v="Middlesbrough"/>
        <s v="Wolverhampton"/>
        <s v="Northumberland"/>
        <s v="Dudley"/>
        <s v="Bournemouth, Christchurch &amp; Poole"/>
        <s v="Waltham Forest"/>
        <s v="Liverpool"/>
        <s v="Stockport"/>
        <s v="Leicester"/>
        <s v="Wigan"/>
        <s v="Newcastle upon Tyne"/>
        <s v="Bedford"/>
        <s v="Coventry"/>
        <s v="Hartlepool"/>
        <s v="Ealing"/>
        <s v="Cumbria"/>
        <s v="Cheshire West and Chester"/>
        <s v="Haringey"/>
        <s v="Stoke-on-Trent"/>
        <s v="Stockton-on-Tees"/>
        <s v="Bradford"/>
        <s v="Redcar and Cleveland"/>
        <s v="Knowsley"/>
        <s v="Lambeth"/>
        <s v="Tameside"/>
        <s v="Barnsley"/>
        <s v="Sefton"/>
        <s v="Worcestershire"/>
        <s v="Cheshire East"/>
        <s v="Durham"/>
        <s v="Trafford"/>
        <s v="Blackpool"/>
        <s v="Kingston upon Hull"/>
        <s v="Dorset"/>
        <s v="Halton"/>
        <s v="Redbridge"/>
        <s v="Walsall"/>
        <s v="Newham"/>
        <s v="North Somerset"/>
        <s v="Darlington"/>
        <s v="Lewisham"/>
        <s v="Warwickshire"/>
        <s v="Hackney"/>
        <s v="York"/>
        <s v="Bexley"/>
        <s v="North Lincolnshire"/>
        <s v="Barking and Dagenham"/>
        <s v="Reading"/>
        <s v="East Riding of Yorkshire"/>
        <s v="Merton"/>
        <s v="Derby"/>
        <s v="Bury"/>
        <s v="Barnet"/>
        <s v="Torbay"/>
        <s v="Slough"/>
        <s v="Brent"/>
        <s v="Croydon"/>
        <s v="Hammersmith and Fulham"/>
        <s v="Hounslow"/>
        <s v="Isle of Wight"/>
        <s v="Southwark"/>
        <s v="Bromley"/>
        <s v="Wandsworth"/>
        <s v="Harrow"/>
        <s v="Havering"/>
        <m/>
      </sharedItems>
    </cacheField>
    <cacheField name="Parliamentary constituency" numFmtId="0">
      <sharedItems containsBlank="1"/>
    </cacheField>
    <cacheField name="Sector" numFmtId="0">
      <sharedItems containsBlank="1"/>
    </cacheField>
    <cacheField name="Visit Date" numFmtId="0">
      <sharedItems containsNonDate="0" containsDate="1" containsString="0" containsBlank="1" minDate="2020-09-01T00:00:00" maxDate="2020-12-22T00:00:00"/>
    </cacheField>
    <cacheField name="Published letter date" numFmtId="0">
      <sharedItems containsNonDate="0" containsDate="1" containsString="0" containsBlank="1" minDate="2020-09-24T00:00:00" maxDate="2021-02-06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y Kerai" refreshedDate="44235.378788310183" createdVersion="6" refreshedVersion="6" minRefreshableVersion="3" recordCount="2439" xr:uid="{8B7D4581-5C7E-4069-9DB1-AC8A6D8C0F23}">
  <cacheSource type="worksheet">
    <worksheetSource ref="A1:N1048576" sheet="Data"/>
  </cacheSource>
  <cacheFields count="14">
    <cacheField name="Web link" numFmtId="0">
      <sharedItems containsBlank="1"/>
    </cacheField>
    <cacheField name="URN" numFmtId="0">
      <sharedItems containsBlank="1" containsMixedTypes="1" containsNumber="1" containsInteger="1" minValue="1027158" maxValue="2602980"/>
    </cacheField>
    <cacheField name="Provision type" numFmtId="0">
      <sharedItems containsBlank="1"/>
    </cacheField>
    <cacheField name="Registration date" numFmtId="0">
      <sharedItems containsNonDate="0" containsDate="1" containsString="0" containsBlank="1" minDate="1986-03-26T00:00:00" maxDate="2020-09-04T00:00:00"/>
    </cacheField>
    <cacheField name="Registration status" numFmtId="0">
      <sharedItems containsBlank="1"/>
    </cacheField>
    <cacheField name="Name" numFmtId="0">
      <sharedItems containsBlank="1"/>
    </cacheField>
    <cacheField name="Ofsted region" numFmtId="0">
      <sharedItems containsBlank="1"/>
    </cacheField>
    <cacheField name="Region" numFmtId="0">
      <sharedItems containsBlank="1"/>
    </cacheField>
    <cacheField name="Local authority" numFmtId="0">
      <sharedItems containsBlank="1"/>
    </cacheField>
    <cacheField name="Parliamentary constituency" numFmtId="0">
      <sharedItems containsBlank="1"/>
    </cacheField>
    <cacheField name="Sector" numFmtId="0">
      <sharedItems containsBlank="1"/>
    </cacheField>
    <cacheField name="Visit Date" numFmtId="0">
      <sharedItems containsNonDate="0" containsDate="1" containsString="0" containsBlank="1" minDate="2020-09-01T00:00:00" maxDate="2020-12-22T00:00:00"/>
    </cacheField>
    <cacheField name="Published letter date" numFmtId="0">
      <sharedItems containsNonDate="0" containsDate="1" containsString="0" containsBlank="1" minDate="2020-09-24T00:00:00" maxDate="2021-02-06T00:00:00"/>
    </cacheField>
    <cacheField name="Assurance visit - serious concerns identified?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39">
  <r>
    <s v="Ofsted Social Care Provider Webpage"/>
    <s v="SC457423"/>
    <x v="0"/>
    <d v="2013-02-14T00:00:00"/>
    <s v="Active"/>
    <s v="REDACTED"/>
    <x v="0"/>
    <s v="East of England"/>
    <x v="0"/>
    <s v="South West Bedfordshire"/>
    <s v="Voluntary"/>
    <d v="2020-09-01T00:00:00"/>
    <d v="2020-10-06T00:00:00"/>
  </r>
  <r>
    <s v="Ofsted Social Care Provider Webpage"/>
    <s v="SC043245"/>
    <x v="0"/>
    <d v="2003-04-25T00:00:00"/>
    <s v="Active"/>
    <s v="REDACTED"/>
    <x v="1"/>
    <s v="South West"/>
    <x v="1"/>
    <s v="South West Wiltshire"/>
    <s v="Private"/>
    <d v="2020-09-01T00:00:00"/>
    <d v="2020-10-29T00:00:00"/>
  </r>
  <r>
    <s v="Ofsted Social Care Provider Webpage"/>
    <n v="2501791"/>
    <x v="0"/>
    <d v="2019-07-12T00:00:00"/>
    <s v="Active"/>
    <s v="REDACTED"/>
    <x v="2"/>
    <s v="South East"/>
    <x v="2"/>
    <s v="Gravesham"/>
    <s v="Private"/>
    <d v="2020-09-01T00:00:00"/>
    <d v="2020-10-07T00:00:00"/>
  </r>
  <r>
    <s v="Ofsted Social Care Provider Webpage"/>
    <n v="1232650"/>
    <x v="0"/>
    <d v="2016-07-21T00:00:00"/>
    <s v="Active"/>
    <s v="REDACTED"/>
    <x v="3"/>
    <s v="Yorkshire and The Humber"/>
    <x v="3"/>
    <s v="Don Valley"/>
    <s v="Private"/>
    <d v="2020-09-01T00:00:00"/>
    <d v="2020-09-29T00:00:00"/>
  </r>
  <r>
    <s v="Ofsted Social Care Provider Webpage"/>
    <s v="SC480655"/>
    <x v="0"/>
    <d v="2014-10-01T00:00:00"/>
    <s v="Active"/>
    <s v="REDACTED"/>
    <x v="4"/>
    <s v="East Midlands"/>
    <x v="4"/>
    <s v="Rutland and Melton"/>
    <s v="Private"/>
    <d v="2020-09-01T00:00:00"/>
    <d v="2020-10-13T00:00:00"/>
  </r>
  <r>
    <s v="Ofsted Social Care Provider Webpage"/>
    <n v="2539587"/>
    <x v="0"/>
    <d v="2019-09-04T00:00:00"/>
    <s v="Active"/>
    <s v="REDACTED"/>
    <x v="3"/>
    <s v="Yorkshire and The Humber"/>
    <x v="5"/>
    <s v="Hemsworth"/>
    <s v="Private"/>
    <d v="2020-09-01T00:00:00"/>
    <d v="2020-10-07T00:00:00"/>
  </r>
  <r>
    <s v="Ofsted Social Care Provider Webpage"/>
    <n v="1258089"/>
    <x v="0"/>
    <d v="2018-02-02T00:00:00"/>
    <s v="Active"/>
    <s v="REDACTED"/>
    <x v="3"/>
    <s v="Yorkshire and The Humber"/>
    <x v="5"/>
    <s v="Morley and Outwood"/>
    <s v="Private"/>
    <d v="2020-09-01T00:00:00"/>
    <d v="2020-10-07T00:00:00"/>
  </r>
  <r>
    <s v="Ofsted Social Care Provider Webpage"/>
    <s v="SC037762"/>
    <x v="0"/>
    <d v="2003-10-06T00:00:00"/>
    <s v="Active"/>
    <s v="REDACTED"/>
    <x v="2"/>
    <s v="South East"/>
    <x v="6"/>
    <s v="Portsmouth North "/>
    <s v="Local Authority"/>
    <d v="2020-09-01T00:00:00"/>
    <d v="2020-10-07T00:00:00"/>
  </r>
  <r>
    <s v="Ofsted Social Care Provider Webpage"/>
    <s v="SC061232"/>
    <x v="0"/>
    <d v="2004-06-07T00:00:00"/>
    <s v="Active"/>
    <s v="REDACTED"/>
    <x v="1"/>
    <s v="South West"/>
    <x v="7"/>
    <s v="Bristol South"/>
    <s v="Local Authority"/>
    <d v="2020-09-01T00:00:00"/>
    <d v="2020-10-08T00:00:00"/>
  </r>
  <r>
    <s v="Ofsted Social Care Provider Webpage"/>
    <n v="1280370"/>
    <x v="0"/>
    <d v="2018-07-16T00:00:00"/>
    <s v="Active"/>
    <s v="REDACTED"/>
    <x v="5"/>
    <s v="North West"/>
    <x v="8"/>
    <s v="Oldham East and Saddleworth"/>
    <s v="Private"/>
    <d v="2020-09-01T00:00:00"/>
    <d v="2020-10-15T00:00:00"/>
  </r>
  <r>
    <s v="Ofsted Social Care Provider Webpage"/>
    <s v="SC438764"/>
    <x v="0"/>
    <d v="2011-12-02T00:00:00"/>
    <s v="Active"/>
    <s v="REDACTED"/>
    <x v="0"/>
    <s v="East of England"/>
    <x v="9"/>
    <s v="Rochford and Southend East"/>
    <s v="Private"/>
    <d v="2020-09-01T00:00:00"/>
    <d v="2020-10-07T00:00:00"/>
  </r>
  <r>
    <s v="Ofsted Social Care Provider Webpage"/>
    <s v="SC023739"/>
    <x v="0"/>
    <d v="2001-07-11T00:00:00"/>
    <s v="Active"/>
    <s v="REDACTED"/>
    <x v="2"/>
    <s v="South East"/>
    <x v="2"/>
    <s v="South Thanet"/>
    <s v="Private"/>
    <d v="2020-09-01T00:00:00"/>
    <d v="2020-10-02T00:00:00"/>
  </r>
  <r>
    <s v="Ofsted Social Care Provider Webpage"/>
    <s v="SC003897"/>
    <x v="0"/>
    <d v="2002-02-13T00:00:00"/>
    <s v="Active"/>
    <s v="REDACTED"/>
    <x v="1"/>
    <s v="South West"/>
    <x v="10"/>
    <s v="Newton Abbot"/>
    <s v="Private"/>
    <d v="2020-10-01T00:00:00"/>
    <d v="2020-11-16T00:00:00"/>
  </r>
  <r>
    <s v="Ofsted Social Care Provider Webpage"/>
    <n v="2571031"/>
    <x v="0"/>
    <d v="2020-05-27T00:00:00"/>
    <s v="Active"/>
    <s v="REDACTED"/>
    <x v="5"/>
    <s v="North West"/>
    <x v="11"/>
    <s v="Manchester, Gorton"/>
    <s v="Private"/>
    <d v="2020-10-01T00:00:00"/>
    <d v="2020-11-12T00:00:00"/>
  </r>
  <r>
    <s v="Ofsted Social Care Provider Webpage"/>
    <n v="1250194"/>
    <x v="0"/>
    <d v="2017-07-05T00:00:00"/>
    <s v="Active"/>
    <s v="REDACTED"/>
    <x v="2"/>
    <s v="South East"/>
    <x v="12"/>
    <s v="Bognor Regis and Littlehampton"/>
    <s v="Private"/>
    <d v="2020-10-01T00:00:00"/>
    <d v="2020-12-14T00:00:00"/>
  </r>
  <r>
    <s v="Ofsted Social Care Provider Webpage"/>
    <s v="SC013143"/>
    <x v="0"/>
    <d v="2001-01-01T00:00:00"/>
    <s v="Active"/>
    <s v="REDACTED"/>
    <x v="2"/>
    <s v="South East"/>
    <x v="13"/>
    <s v="Oxford West and Abingdon"/>
    <s v="Voluntary"/>
    <d v="2020-10-01T00:00:00"/>
    <d v="2020-11-24T00:00:00"/>
  </r>
  <r>
    <s v="Ofsted Social Care Provider Webpage"/>
    <n v="2495504"/>
    <x v="0"/>
    <d v="2018-10-09T00:00:00"/>
    <s v="Active"/>
    <s v="REDACTED"/>
    <x v="4"/>
    <s v="East Midlands"/>
    <x v="14"/>
    <s v="South Derbyshire"/>
    <s v="Private"/>
    <d v="2020-10-01T00:00:00"/>
    <d v="2020-11-05T00:00:00"/>
  </r>
  <r>
    <s v="Ofsted Social Care Provider Webpage"/>
    <s v="SC386502"/>
    <x v="0"/>
    <d v="2008-12-23T00:00:00"/>
    <s v="Active"/>
    <s v="REDACTED"/>
    <x v="5"/>
    <s v="North West"/>
    <x v="15"/>
    <s v="Warrington North"/>
    <s v="Private"/>
    <d v="2020-10-01T00:00:00"/>
    <d v="2020-10-26T00:00:00"/>
  </r>
  <r>
    <s v="Ofsted Social Care Provider Webpage"/>
    <n v="2592566"/>
    <x v="1"/>
    <d v="2020-06-24T00:00:00"/>
    <s v="Active"/>
    <s v="Cuffe And Lacey Fostering"/>
    <x v="5"/>
    <s v="North West"/>
    <x v="16"/>
    <s v="Burnley"/>
    <s v="Private"/>
    <d v="2020-12-01T00:00:00"/>
    <d v="2021-01-11T00:00:00"/>
  </r>
  <r>
    <s v="Ofsted Social Care Provider Webpage"/>
    <n v="2509967"/>
    <x v="1"/>
    <d v="2019-10-15T00:00:00"/>
    <s v="Active"/>
    <s v="Paramount Foster Care"/>
    <x v="6"/>
    <s v="West Midlands"/>
    <x v="17"/>
    <s v="West Bromwich East"/>
    <s v="Private"/>
    <d v="2020-12-01T00:00:00"/>
    <d v="2021-01-07T00:00:00"/>
  </r>
  <r>
    <s v="Ofsted Social Care Provider Webpage"/>
    <n v="2484185"/>
    <x v="1"/>
    <d v="2019-03-08T00:00:00"/>
    <s v="Active"/>
    <s v="County Fostering Service Ltd"/>
    <x v="4"/>
    <s v="East Midlands"/>
    <x v="18"/>
    <s v="Northampton North"/>
    <s v="Private"/>
    <d v="2020-12-01T00:00:00"/>
    <d v="2021-01-08T00:00:00"/>
  </r>
  <r>
    <s v="Ofsted Social Care Provider Webpage"/>
    <n v="2526987"/>
    <x v="0"/>
    <d v="2019-06-18T00:00:00"/>
    <s v="Active"/>
    <s v="REDACTED"/>
    <x v="0"/>
    <s v="East of England"/>
    <x v="19"/>
    <s v="Welwyn Hatfield"/>
    <s v="Private"/>
    <d v="2020-12-01T00:00:00"/>
    <d v="2021-01-05T00:00:00"/>
  </r>
  <r>
    <s v="Ofsted Social Care Provider Webpage"/>
    <s v="SC488961"/>
    <x v="0"/>
    <d v="2016-03-18T00:00:00"/>
    <s v="Active"/>
    <s v="REDACTED"/>
    <x v="4"/>
    <s v="East Midlands"/>
    <x v="20"/>
    <s v="Rushcliffe"/>
    <s v="Private"/>
    <d v="2020-12-01T00:00:00"/>
    <d v="2021-01-05T00:00:00"/>
  </r>
  <r>
    <s v="Ofsted Social Care Provider Webpage"/>
    <s v="SC053529"/>
    <x v="0"/>
    <d v="2003-12-18T00:00:00"/>
    <s v="Active"/>
    <s v="REDACTED"/>
    <x v="0"/>
    <s v="East of England"/>
    <x v="21"/>
    <s v="Peterborough"/>
    <s v="Private"/>
    <d v="2020-09-02T00:00:00"/>
    <d v="2020-10-08T00:00:00"/>
  </r>
  <r>
    <s v="Ofsted Social Care Provider Webpage"/>
    <s v="SC035657"/>
    <x v="0"/>
    <d v="2003-01-21T00:00:00"/>
    <s v="Active"/>
    <s v="REDACTED"/>
    <x v="5"/>
    <s v="North West"/>
    <x v="8"/>
    <s v="Oldham East and Saddleworth"/>
    <s v="Private"/>
    <d v="2020-09-02T00:00:00"/>
    <d v="2020-10-07T00:00:00"/>
  </r>
  <r>
    <s v="Ofsted Social Care Provider Webpage"/>
    <n v="2544217"/>
    <x v="0"/>
    <d v="2019-07-18T00:00:00"/>
    <s v="Active"/>
    <s v="REDACTED"/>
    <x v="4"/>
    <s v="East Midlands"/>
    <x v="20"/>
    <s v="Bassetlaw"/>
    <s v="Private"/>
    <d v="2020-09-02T00:00:00"/>
    <d v="2020-10-13T00:00:00"/>
  </r>
  <r>
    <s v="Ofsted Social Care Provider Webpage"/>
    <n v="2589392"/>
    <x v="0"/>
    <d v="2020-05-01T00:00:00"/>
    <s v="Active"/>
    <s v="REDACTED"/>
    <x v="5"/>
    <s v="North West"/>
    <x v="16"/>
    <s v="Rossendale and Darwen"/>
    <s v="Private"/>
    <d v="2020-09-02T00:00:00"/>
    <d v="2020-10-20T00:00:00"/>
  </r>
  <r>
    <s v="Ofsted Social Care Provider Webpage"/>
    <s v="SC035593"/>
    <x v="0"/>
    <d v="2003-03-27T00:00:00"/>
    <s v="Active"/>
    <s v="REDACTED"/>
    <x v="2"/>
    <s v="South East"/>
    <x v="22"/>
    <s v="New Forest East"/>
    <s v="Private"/>
    <d v="2020-09-02T00:00:00"/>
    <d v="2020-10-06T00:00:00"/>
  </r>
  <r>
    <s v="Ofsted Social Care Provider Webpage"/>
    <n v="1234317"/>
    <x v="0"/>
    <d v="2016-08-04T00:00:00"/>
    <s v="Active"/>
    <s v="REDACTED"/>
    <x v="3"/>
    <s v="Yorkshire and The Humber"/>
    <x v="23"/>
    <s v="Halifax"/>
    <s v="Private"/>
    <d v="2020-09-02T00:00:00"/>
    <d v="2020-11-03T00:00:00"/>
  </r>
  <r>
    <s v="Ofsted Social Care Provider Webpage"/>
    <n v="1259734"/>
    <x v="0"/>
    <d v="2017-09-11T00:00:00"/>
    <s v="Active"/>
    <s v="REDACTED"/>
    <x v="2"/>
    <s v="South East"/>
    <x v="22"/>
    <s v="North West Hampshire"/>
    <s v="Local Authority"/>
    <d v="2020-09-02T00:00:00"/>
    <d v="2020-10-06T00:00:00"/>
  </r>
  <r>
    <s v="Ofsted Social Care Provider Webpage"/>
    <s v="SC022440"/>
    <x v="0"/>
    <d v="2001-07-20T00:00:00"/>
    <s v="Active"/>
    <s v="REDACTED"/>
    <x v="5"/>
    <s v="North West"/>
    <x v="24"/>
    <s v="St Helens South and Whiston"/>
    <s v="Private"/>
    <d v="2020-09-02T00:00:00"/>
    <d v="2020-10-07T00:00:00"/>
  </r>
  <r>
    <s v="Ofsted Social Care Provider Webpage"/>
    <n v="1224674"/>
    <x v="0"/>
    <d v="2016-02-11T00:00:00"/>
    <s v="Active"/>
    <s v="REDACTED"/>
    <x v="4"/>
    <s v="East Midlands"/>
    <x v="25"/>
    <s v="Rutland and Melton"/>
    <s v="Private"/>
    <d v="2020-09-02T00:00:00"/>
    <d v="2020-10-16T00:00:00"/>
  </r>
  <r>
    <s v="Ofsted Social Care Provider Webpage"/>
    <s v="SC066120"/>
    <x v="0"/>
    <d v="2005-12-12T00:00:00"/>
    <s v="Active"/>
    <s v="REDACTED"/>
    <x v="3"/>
    <s v="Yorkshire and The Humber"/>
    <x v="26"/>
    <s v="Leeds West"/>
    <s v="Local Authority"/>
    <d v="2020-09-02T00:00:00"/>
    <d v="2020-09-24T00:00:00"/>
  </r>
  <r>
    <s v="Ofsted Social Care Provider Webpage"/>
    <n v="1277304"/>
    <x v="0"/>
    <d v="2018-05-08T00:00:00"/>
    <s v="Active"/>
    <s v="REDACTED"/>
    <x v="1"/>
    <s v="South West"/>
    <x v="27"/>
    <s v="Plymouth, Sutton and Devonport"/>
    <s v="Private"/>
    <d v="2020-09-02T00:00:00"/>
    <d v="2020-10-08T00:00:00"/>
  </r>
  <r>
    <s v="Ofsted Social Care Provider Webpage"/>
    <n v="1234323"/>
    <x v="0"/>
    <d v="2016-06-14T00:00:00"/>
    <s v="Resigned"/>
    <s v="REDACTED"/>
    <x v="3"/>
    <s v="North East"/>
    <x v="28"/>
    <s v="North Tyneside"/>
    <s v="Voluntary"/>
    <d v="2020-09-02T00:00:00"/>
    <d v="2020-10-14T00:00:00"/>
  </r>
  <r>
    <s v="Ofsted Social Care Provider Webpage"/>
    <s v="SC045408"/>
    <x v="0"/>
    <d v="2003-11-19T00:00:00"/>
    <s v="Active"/>
    <s v="REDACTED"/>
    <x v="2"/>
    <s v="South East"/>
    <x v="29"/>
    <s v="Reigate"/>
    <s v="Local Authority"/>
    <d v="2020-09-02T00:00:00"/>
    <d v="2020-10-06T00:00:00"/>
  </r>
  <r>
    <s v="Ofsted Social Care Provider Webpage"/>
    <s v="SC411208"/>
    <x v="0"/>
    <d v="2010-07-06T00:00:00"/>
    <s v="Active"/>
    <s v="REDACTED"/>
    <x v="1"/>
    <s v="South West"/>
    <x v="30"/>
    <s v="Taunton Deane"/>
    <s v="Private"/>
    <d v="2020-09-02T00:00:00"/>
    <d v="2020-10-21T00:00:00"/>
  </r>
  <r>
    <s v="Ofsted Social Care Provider Webpage"/>
    <n v="1250035"/>
    <x v="0"/>
    <d v="2017-02-08T00:00:00"/>
    <s v="Active"/>
    <s v="REDACTED"/>
    <x v="5"/>
    <s v="North West"/>
    <x v="24"/>
    <s v="St Helens North"/>
    <s v="Private"/>
    <d v="2020-09-02T00:00:00"/>
    <d v="2020-10-09T00:00:00"/>
  </r>
  <r>
    <s v="Ofsted Social Care Provider Webpage"/>
    <n v="2575788"/>
    <x v="0"/>
    <d v="2020-03-11T00:00:00"/>
    <s v="Active"/>
    <s v="REDACTED"/>
    <x v="1"/>
    <s v="South West"/>
    <x v="31"/>
    <s v="North Swindon"/>
    <s v="Private"/>
    <d v="2020-09-02T00:00:00"/>
    <d v="2020-10-09T00:00:00"/>
  </r>
  <r>
    <s v="Ofsted Social Care Provider Webpage"/>
    <s v="SC484789"/>
    <x v="0"/>
    <d v="2015-01-27T00:00:00"/>
    <s v="Active"/>
    <s v="REDACTED"/>
    <x v="5"/>
    <s v="North West"/>
    <x v="32"/>
    <s v="Bolton North East"/>
    <s v="Voluntary"/>
    <d v="2020-09-02T00:00:00"/>
    <d v="2020-10-15T00:00:00"/>
  </r>
  <r>
    <s v="Ofsted Social Care Provider Webpage"/>
    <s v="SC035439"/>
    <x v="0"/>
    <d v="2003-11-03T00:00:00"/>
    <s v="Active"/>
    <s v="REDACTED"/>
    <x v="5"/>
    <s v="North West"/>
    <x v="16"/>
    <s v="Wyre and Preston North"/>
    <s v="Local Authority"/>
    <d v="2020-09-02T00:00:00"/>
    <d v="2020-10-08T00:00:00"/>
  </r>
  <r>
    <s v="Ofsted Social Care Provider Webpage"/>
    <n v="2580887"/>
    <x v="0"/>
    <d v="2020-05-13T00:00:00"/>
    <s v="Active"/>
    <s v="REDACTED"/>
    <x v="0"/>
    <s v="East of England"/>
    <x v="33"/>
    <s v="South West Norfolk"/>
    <s v="Private"/>
    <d v="2020-09-02T00:00:00"/>
    <d v="2020-10-07T00:00:00"/>
  </r>
  <r>
    <s v="Ofsted Social Care Provider Webpage"/>
    <n v="1228090"/>
    <x v="0"/>
    <d v="2016-04-27T00:00:00"/>
    <s v="Active"/>
    <s v="REDACTED"/>
    <x v="6"/>
    <s v="West Midlands"/>
    <x v="34"/>
    <s v="Sutton Coldfield"/>
    <s v="Private"/>
    <d v="2020-09-02T00:00:00"/>
    <d v="2020-10-26T00:00:00"/>
  </r>
  <r>
    <s v="Ofsted Social Care Provider Webpage"/>
    <n v="1212094"/>
    <x v="0"/>
    <d v="2016-02-09T00:00:00"/>
    <s v="Active"/>
    <s v="REDACTED"/>
    <x v="5"/>
    <s v="North West"/>
    <x v="35"/>
    <s v="Worsley and Eccles South"/>
    <s v="Private"/>
    <d v="2020-09-02T00:00:00"/>
    <d v="2020-10-08T00:00:00"/>
  </r>
  <r>
    <s v="Ofsted Social Care Provider Webpage"/>
    <s v="SC431699"/>
    <x v="0"/>
    <d v="2011-08-02T00:00:00"/>
    <s v="Active"/>
    <s v="REDACTED"/>
    <x v="4"/>
    <s v="East Midlands"/>
    <x v="36"/>
    <s v="Nottingham East"/>
    <s v="Private"/>
    <d v="2020-09-02T00:00:00"/>
    <d v="2020-11-05T00:00:00"/>
  </r>
  <r>
    <s v="Ofsted Social Care Provider Webpage"/>
    <n v="1241836"/>
    <x v="0"/>
    <d v="2017-01-24T00:00:00"/>
    <s v="Active"/>
    <s v="REDACTED"/>
    <x v="2"/>
    <s v="South East"/>
    <x v="22"/>
    <s v="North West Hampshire"/>
    <s v="Private"/>
    <d v="2020-09-02T00:00:00"/>
    <d v="2020-10-06T00:00:00"/>
  </r>
  <r>
    <s v="Ofsted Social Care Provider Webpage"/>
    <n v="2544851"/>
    <x v="0"/>
    <d v="2019-12-04T00:00:00"/>
    <s v="Active"/>
    <s v="REDACTED"/>
    <x v="3"/>
    <s v="North East"/>
    <x v="37"/>
    <s v="Sunderland Central"/>
    <s v="Private"/>
    <d v="2020-09-02T00:00:00"/>
    <d v="2020-09-29T00:00:00"/>
  </r>
  <r>
    <s v="Ofsted Social Care Provider Webpage"/>
    <s v="SC449099"/>
    <x v="0"/>
    <d v="2012-07-23T00:00:00"/>
    <s v="Active"/>
    <s v="REDACTED"/>
    <x v="4"/>
    <s v="East Midlands"/>
    <x v="4"/>
    <s v="North West Leicestershire"/>
    <s v="Private"/>
    <d v="2020-09-02T00:00:00"/>
    <d v="2020-10-14T00:00:00"/>
  </r>
  <r>
    <s v="Ofsted Social Care Provider Webpage"/>
    <s v="SC487196"/>
    <x v="0"/>
    <d v="2015-04-16T00:00:00"/>
    <s v="Active"/>
    <s v="REDACTED"/>
    <x v="2"/>
    <s v="South East"/>
    <x v="12"/>
    <s v="Crawley"/>
    <s v="Private"/>
    <d v="2020-09-02T00:00:00"/>
    <d v="2020-10-19T00:00:00"/>
  </r>
  <r>
    <s v="Ofsted Social Care Provider Webpage"/>
    <s v="SC457621"/>
    <x v="0"/>
    <d v="2013-04-04T00:00:00"/>
    <s v="Active"/>
    <s v="REDACTED"/>
    <x v="4"/>
    <s v="East Midlands"/>
    <x v="18"/>
    <s v="Northampton North"/>
    <s v="Private"/>
    <d v="2020-09-02T00:00:00"/>
    <d v="2020-10-13T00:00:00"/>
  </r>
  <r>
    <s v="Ofsted Social Care Provider Webpage"/>
    <n v="2527654"/>
    <x v="0"/>
    <d v="2019-07-05T00:00:00"/>
    <s v="Active"/>
    <s v="REDACTED"/>
    <x v="5"/>
    <s v="North West"/>
    <x v="38"/>
    <s v="Wallasey"/>
    <s v="Private"/>
    <d v="2020-09-02T00:00:00"/>
    <d v="2020-10-08T00:00:00"/>
  </r>
  <r>
    <s v="Ofsted Social Care Provider Webpage"/>
    <s v="SC482548"/>
    <x v="0"/>
    <d v="2015-03-27T00:00:00"/>
    <s v="Active"/>
    <s v="REDACTED"/>
    <x v="2"/>
    <s v="South East"/>
    <x v="39"/>
    <s v="Brighton, Pavilion"/>
    <s v="Private"/>
    <d v="2020-11-02T00:00:00"/>
    <d v="2021-01-12T00:00:00"/>
  </r>
  <r>
    <s v="Ofsted Social Care Provider Webpage"/>
    <s v="SC042921"/>
    <x v="2"/>
    <d v="2003-10-29T00:00:00"/>
    <s v="Active"/>
    <s v="REDACTED"/>
    <x v="4"/>
    <s v="East Midlands"/>
    <x v="40"/>
    <s v="Sleaford and North Hykeham"/>
    <s v="Local Authority"/>
    <d v="2020-11-02T00:00:00"/>
    <d v="2020-12-01T00:00:00"/>
  </r>
  <r>
    <s v="Ofsted Social Care Provider Webpage"/>
    <s v="SC458028"/>
    <x v="0"/>
    <d v="2013-02-15T00:00:00"/>
    <s v="Active"/>
    <s v="REDACTED"/>
    <x v="0"/>
    <s v="East of England"/>
    <x v="41"/>
    <s v="Saffron Walden"/>
    <s v="Private"/>
    <d v="2020-11-02T00:00:00"/>
    <d v="2020-11-27T00:00:00"/>
  </r>
  <r>
    <s v="Ofsted Social Care Provider Webpage"/>
    <s v="SC046524"/>
    <x v="2"/>
    <d v="2003-10-20T00:00:00"/>
    <s v="Active"/>
    <s v="REDACTED"/>
    <x v="3"/>
    <s v="Yorkshire and The Humber"/>
    <x v="42"/>
    <s v="Sheffield, Hallam"/>
    <s v="Local Authority"/>
    <d v="2020-11-02T00:00:00"/>
    <d v="2020-12-04T00:00:00"/>
  </r>
  <r>
    <s v="Ofsted Social Care Provider Webpage"/>
    <n v="1271587"/>
    <x v="0"/>
    <d v="2018-04-06T00:00:00"/>
    <s v="Active"/>
    <s v="REDACTED"/>
    <x v="6"/>
    <s v="West Midlands"/>
    <x v="43"/>
    <s v="Hereford and South Herefordshire"/>
    <s v="Private"/>
    <d v="2020-11-02T00:00:00"/>
    <d v="2020-12-22T00:00:00"/>
  </r>
  <r>
    <s v="Ofsted Social Care Provider Webpage"/>
    <s v="SC413085"/>
    <x v="0"/>
    <d v="2010-06-23T00:00:00"/>
    <s v="Active"/>
    <s v="REDACTED"/>
    <x v="2"/>
    <s v="South East"/>
    <x v="2"/>
    <s v="Gravesham"/>
    <s v="Private"/>
    <d v="2020-11-02T00:00:00"/>
    <d v="2020-12-07T00:00:00"/>
  </r>
  <r>
    <s v="Ofsted Social Care Provider Webpage"/>
    <s v="SC408584"/>
    <x v="0"/>
    <d v="2010-06-03T00:00:00"/>
    <s v="Active"/>
    <s v="REDACTED"/>
    <x v="2"/>
    <s v="South East"/>
    <x v="2"/>
    <s v="Dover"/>
    <s v="Private"/>
    <d v="2020-11-02T00:00:00"/>
    <d v="2020-12-17T00:00:00"/>
  </r>
  <r>
    <s v="Ofsted Social Care Provider Webpage"/>
    <s v="SC042446"/>
    <x v="0"/>
    <d v="2003-12-08T00:00:00"/>
    <s v="Active"/>
    <s v="REDACTED"/>
    <x v="2"/>
    <s v="South East"/>
    <x v="44"/>
    <s v="Southampton, Test"/>
    <s v="Voluntary"/>
    <d v="2020-11-02T00:00:00"/>
    <d v="2020-12-29T00:00:00"/>
  </r>
  <r>
    <s v="Ofsted Social Care Provider Webpage"/>
    <s v="SC356963"/>
    <x v="0"/>
    <d v="2007-03-28T00:00:00"/>
    <s v="Active"/>
    <s v="REDACTED"/>
    <x v="3"/>
    <s v="Yorkshire and The Humber"/>
    <x v="45"/>
    <s v="Huddersfield"/>
    <s v="Local Authority"/>
    <d v="2020-11-02T00:00:00"/>
    <d v="2020-12-17T00:00:00"/>
  </r>
  <r>
    <s v="Ofsted Social Care Provider Webpage"/>
    <s v="SC356327"/>
    <x v="0"/>
    <d v="2007-07-03T00:00:00"/>
    <s v="Active"/>
    <s v="REDACTED"/>
    <x v="6"/>
    <s v="West Midlands"/>
    <x v="46"/>
    <s v="Staffordshire Moorlands"/>
    <s v="Private"/>
    <d v="2020-11-02T00:00:00"/>
    <d v="2020-12-03T00:00:00"/>
  </r>
  <r>
    <s v="Ofsted Social Care Provider Webpage"/>
    <s v="SC013828"/>
    <x v="0"/>
    <d v="1986-04-07T00:00:00"/>
    <s v="Active"/>
    <s v="REDACTED"/>
    <x v="2"/>
    <s v="South East"/>
    <x v="29"/>
    <s v="Runnymede and Weybridge"/>
    <s v="Voluntary"/>
    <d v="2020-11-02T00:00:00"/>
    <d v="2021-01-04T00:00:00"/>
  </r>
  <r>
    <s v="Ofsted Social Care Provider Webpage"/>
    <s v="SC069336"/>
    <x v="3"/>
    <d v="2007-03-16T00:00:00"/>
    <s v="Active"/>
    <s v="REDACTED"/>
    <x v="2"/>
    <s v="South East"/>
    <x v="47"/>
    <s v="Newbury"/>
    <s v="Voluntary"/>
    <d v="2020-12-02T00:00:00"/>
    <d v="2021-01-15T00:00:00"/>
  </r>
  <r>
    <s v="Ofsted Social Care Provider Webpage"/>
    <n v="2592035"/>
    <x v="0"/>
    <d v="2020-06-09T00:00:00"/>
    <s v="Active"/>
    <s v="REDACTED"/>
    <x v="5"/>
    <s v="North West"/>
    <x v="38"/>
    <s v="Birkenhead"/>
    <s v="Private"/>
    <d v="2020-12-02T00:00:00"/>
    <d v="2021-01-19T00:00:00"/>
  </r>
  <r>
    <s v="Ofsted Social Care Provider Webpage"/>
    <s v="SC398385"/>
    <x v="0"/>
    <d v="2009-07-20T00:00:00"/>
    <s v="Active"/>
    <s v="REDACTED"/>
    <x v="6"/>
    <s v="West Midlands"/>
    <x v="46"/>
    <s v="South Staffordshire"/>
    <s v="Private"/>
    <d v="2020-12-02T00:00:00"/>
    <d v="2021-01-04T00:00:00"/>
  </r>
  <r>
    <s v="Ofsted Social Care Provider Webpage"/>
    <s v="SC439153"/>
    <x v="0"/>
    <d v="2012-02-01T00:00:00"/>
    <s v="Active"/>
    <s v="REDACTED"/>
    <x v="0"/>
    <s v="East of England"/>
    <x v="48"/>
    <s v="North East Cambridgeshire"/>
    <s v="Voluntary"/>
    <d v="2020-12-02T00:00:00"/>
    <d v="2021-01-04T00:00:00"/>
  </r>
  <r>
    <s v="Ofsted Social Care Provider Webpage"/>
    <n v="2540658"/>
    <x v="0"/>
    <d v="2019-09-05T00:00:00"/>
    <s v="Active"/>
    <s v="REDACTED"/>
    <x v="5"/>
    <s v="North West"/>
    <x v="38"/>
    <s v="Wallasey"/>
    <s v="Private"/>
    <d v="2020-12-02T00:00:00"/>
    <d v="2021-01-18T00:00:00"/>
  </r>
  <r>
    <s v="Ofsted Social Care Provider Webpage"/>
    <n v="2558515"/>
    <x v="0"/>
    <d v="2019-12-19T00:00:00"/>
    <s v="Active"/>
    <s v="REDACTED"/>
    <x v="4"/>
    <s v="East Midlands"/>
    <x v="14"/>
    <s v="South Derbyshire"/>
    <s v="Private"/>
    <d v="2020-12-02T00:00:00"/>
    <d v="2021-01-08T00:00:00"/>
  </r>
  <r>
    <s v="Ofsted Social Care Provider Webpage"/>
    <s v="SC452713"/>
    <x v="0"/>
    <d v="2012-09-29T00:00:00"/>
    <s v="Active"/>
    <s v="REDACTED"/>
    <x v="1"/>
    <s v="South West"/>
    <x v="49"/>
    <s v="Filton and Bradley Stoke"/>
    <s v="Private"/>
    <d v="2020-12-02T00:00:00"/>
    <d v="2021-01-04T00:00:00"/>
  </r>
  <r>
    <s v="Ofsted Social Care Provider Webpage"/>
    <s v="SC037281"/>
    <x v="0"/>
    <d v="2003-03-03T00:00:00"/>
    <s v="Active"/>
    <s v="REDACTED"/>
    <x v="0"/>
    <s v="East of England"/>
    <x v="50"/>
    <s v="Waveney"/>
    <s v="Local Authority"/>
    <d v="2020-12-02T00:00:00"/>
    <d v="2021-01-05T00:00:00"/>
  </r>
  <r>
    <s v="Ofsted Social Care Provider Webpage"/>
    <n v="1258831"/>
    <x v="0"/>
    <d v="2017-08-04T00:00:00"/>
    <s v="Active"/>
    <s v="REDACTED"/>
    <x v="2"/>
    <s v="South East"/>
    <x v="22"/>
    <s v="North West Hampshire"/>
    <s v="Private"/>
    <d v="2020-12-02T00:00:00"/>
    <d v="2021-01-19T00:00:00"/>
  </r>
  <r>
    <s v="Ofsted Social Care Provider Webpage"/>
    <s v="SC475088"/>
    <x v="0"/>
    <d v="2014-09-03T00:00:00"/>
    <s v="Active"/>
    <s v="REDACTED"/>
    <x v="0"/>
    <s v="East of England"/>
    <x v="41"/>
    <s v="Harwich and North Essex"/>
    <s v="Private"/>
    <d v="2020-12-02T00:00:00"/>
    <d v="2021-01-04T00:00:00"/>
  </r>
  <r>
    <s v="Ofsted Social Care Provider Webpage"/>
    <n v="1223681"/>
    <x v="0"/>
    <d v="2016-04-14T00:00:00"/>
    <s v="Active"/>
    <s v="REDACTED"/>
    <x v="5"/>
    <s v="North West"/>
    <x v="16"/>
    <s v="Burnley"/>
    <s v="Private"/>
    <d v="2020-12-02T00:00:00"/>
    <d v="2021-01-05T00:00:00"/>
  </r>
  <r>
    <s v="Ofsted Social Care Provider Webpage"/>
    <n v="2569994"/>
    <x v="0"/>
    <d v="2020-02-14T00:00:00"/>
    <s v="Active"/>
    <s v="REDACTED"/>
    <x v="6"/>
    <s v="West Midlands"/>
    <x v="51"/>
    <s v="Telford"/>
    <s v="Private"/>
    <d v="2020-12-02T00:00:00"/>
    <d v="2021-01-12T00:00:00"/>
  </r>
  <r>
    <s v="Ofsted Social Care Provider Webpage"/>
    <s v="SC482300"/>
    <x v="3"/>
    <d v="2014-09-22T00:00:00"/>
    <s v="Active"/>
    <s v="REDACTED"/>
    <x v="2"/>
    <s v="South East"/>
    <x v="12"/>
    <s v="Horsham"/>
    <s v="Private"/>
    <d v="2020-12-02T00:00:00"/>
    <d v="2021-01-19T00:00:00"/>
  </r>
  <r>
    <s v="Ofsted Social Care Provider Webpage"/>
    <s v="SC412296"/>
    <x v="0"/>
    <d v="2010-11-15T00:00:00"/>
    <s v="Active"/>
    <s v="REDACTED"/>
    <x v="2"/>
    <s v="South East"/>
    <x v="52"/>
    <s v="Bexhill and Battle"/>
    <s v="Private"/>
    <d v="2020-12-02T00:00:00"/>
    <d v="2021-01-21T00:00:00"/>
  </r>
  <r>
    <s v="Ofsted Social Care Provider Webpage"/>
    <n v="2546172"/>
    <x v="0"/>
    <d v="2019-11-12T00:00:00"/>
    <s v="Active"/>
    <s v="REDACTED"/>
    <x v="6"/>
    <s v="West Midlands"/>
    <x v="34"/>
    <s v="Birmingham, Northfield"/>
    <s v="Private"/>
    <d v="2020-12-02T00:00:00"/>
    <d v="2021-01-18T00:00:00"/>
  </r>
  <r>
    <s v="Ofsted Social Care Provider Webpage"/>
    <n v="1243868"/>
    <x v="1"/>
    <d v="2016-12-08T00:00:00"/>
    <s v="Active"/>
    <s v="Fostering UK"/>
    <x v="0"/>
    <s v="East of England"/>
    <x v="19"/>
    <s v="Hertsmere"/>
    <s v="Private"/>
    <d v="2020-12-02T00:00:00"/>
    <d v="2021-01-04T00:00:00"/>
  </r>
  <r>
    <s v="Ofsted Social Care Provider Webpage"/>
    <s v="SC034851"/>
    <x v="0"/>
    <d v="2003-09-19T00:00:00"/>
    <s v="Active"/>
    <s v="REDACTED"/>
    <x v="5"/>
    <s v="North West"/>
    <x v="53"/>
    <s v="Rochdale"/>
    <s v="Local Authority"/>
    <d v="2020-12-02T00:00:00"/>
    <d v="2021-01-08T00:00:00"/>
  </r>
  <r>
    <s v="Ofsted Social Care Provider Webpage"/>
    <n v="1241840"/>
    <x v="0"/>
    <d v="2016-08-30T00:00:00"/>
    <s v="Active"/>
    <s v="REDACTED"/>
    <x v="1"/>
    <s v="South West"/>
    <x v="54"/>
    <s v="North East Somerset"/>
    <s v="Private"/>
    <d v="2020-12-02T00:00:00"/>
    <d v="2021-01-20T00:00:00"/>
  </r>
  <r>
    <s v="Ofsted Social Care Provider Webpage"/>
    <s v="SC063883"/>
    <x v="0"/>
    <d v="2005-04-01T00:00:00"/>
    <s v="Active"/>
    <s v="REDACTED"/>
    <x v="3"/>
    <s v="Yorkshire and The Humber"/>
    <x v="45"/>
    <s v="Dewsbury"/>
    <s v="Private"/>
    <d v="2020-12-02T00:00:00"/>
    <d v="2021-01-11T00:00:00"/>
  </r>
  <r>
    <s v="Ofsted Social Care Provider Webpage"/>
    <s v="SC470284"/>
    <x v="0"/>
    <d v="2013-10-15T00:00:00"/>
    <s v="Active"/>
    <s v="REDACTED"/>
    <x v="6"/>
    <s v="West Midlands"/>
    <x v="17"/>
    <s v="Warley"/>
    <s v="Private"/>
    <d v="2020-12-02T00:00:00"/>
    <d v="2020-12-30T00:00:00"/>
  </r>
  <r>
    <s v="Ofsted Social Care Provider Webpage"/>
    <s v="SC430022"/>
    <x v="0"/>
    <d v="2011-06-02T00:00:00"/>
    <s v="Active"/>
    <s v="REDACTED"/>
    <x v="0"/>
    <s v="East of England"/>
    <x v="50"/>
    <s v="Bury St Edmunds"/>
    <s v="Local Authority"/>
    <d v="2020-12-02T00:00:00"/>
    <d v="2020-12-29T00:00:00"/>
  </r>
  <r>
    <s v="Ofsted Social Care Provider Webpage"/>
    <n v="2585407"/>
    <x v="0"/>
    <d v="2020-07-09T00:00:00"/>
    <s v="Active"/>
    <s v="REDACTED"/>
    <x v="6"/>
    <s v="West Midlands"/>
    <x v="55"/>
    <s v="North Shropshire"/>
    <s v="Private"/>
    <d v="2020-12-02T00:00:00"/>
    <d v="2021-01-15T00:00:00"/>
  </r>
  <r>
    <s v="Ofsted Social Care Provider Webpage"/>
    <n v="2575004"/>
    <x v="0"/>
    <d v="2020-03-31T00:00:00"/>
    <s v="Active"/>
    <s v="REDACTED"/>
    <x v="1"/>
    <s v="South West"/>
    <x v="56"/>
    <s v="Stroud"/>
    <s v="Private"/>
    <d v="2020-12-02T00:00:00"/>
    <d v="2021-01-13T00:00:00"/>
  </r>
  <r>
    <s v="Ofsted Social Care Provider Webpage"/>
    <n v="2561501"/>
    <x v="0"/>
    <d v="2020-04-17T00:00:00"/>
    <s v="Active"/>
    <s v="REDACTED"/>
    <x v="7"/>
    <s v="London"/>
    <x v="57"/>
    <s v="Enfield North"/>
    <s v="Private"/>
    <d v="2020-12-02T00:00:00"/>
    <d v="2021-01-08T00:00:00"/>
  </r>
  <r>
    <s v="Ofsted Social Care Provider Webpage"/>
    <s v="SC001531"/>
    <x v="0"/>
    <d v="2002-04-01T00:00:00"/>
    <s v="Active"/>
    <s v="REDACTED"/>
    <x v="3"/>
    <s v="Yorkshire and The Humber"/>
    <x v="26"/>
    <s v="Leeds East"/>
    <s v="Voluntary"/>
    <d v="2020-12-02T00:00:00"/>
    <d v="2021-01-08T00:00:00"/>
  </r>
  <r>
    <s v="Ofsted Social Care Provider Webpage"/>
    <n v="2517299"/>
    <x v="0"/>
    <d v="2019-05-04T00:00:00"/>
    <s v="Active"/>
    <s v="REDACTED"/>
    <x v="2"/>
    <s v="South East"/>
    <x v="58"/>
    <s v="Aylesbury"/>
    <s v="Local Authority"/>
    <d v="2020-12-02T00:00:00"/>
    <d v="2021-01-19T00:00:00"/>
  </r>
  <r>
    <s v="Ofsted Social Care Provider Webpage"/>
    <n v="1378486"/>
    <x v="1"/>
    <d v="2018-06-04T00:00:00"/>
    <s v="Active"/>
    <s v="The Fostering Foundation"/>
    <x v="1"/>
    <s v="South West"/>
    <x v="10"/>
    <s v="Torridge and West Devon"/>
    <s v="Private"/>
    <d v="2020-12-02T00:00:00"/>
    <d v="2021-01-15T00:00:00"/>
  </r>
  <r>
    <s v="Ofsted Social Care Provider Webpage"/>
    <n v="2597567"/>
    <x v="0"/>
    <d v="2020-07-02T00:00:00"/>
    <s v="Active"/>
    <s v="REDACTED"/>
    <x v="3"/>
    <s v="Yorkshire and The Humber"/>
    <x v="59"/>
    <s v="Rother Valley"/>
    <s v="Local Authority"/>
    <d v="2020-12-02T00:00:00"/>
    <d v="2021-01-21T00:00:00"/>
  </r>
  <r>
    <s v="Ofsted Social Care Provider Webpage"/>
    <s v="SC372630"/>
    <x v="0"/>
    <d v="2008-07-02T00:00:00"/>
    <s v="Active"/>
    <s v="REDACTED"/>
    <x v="6"/>
    <s v="West Midlands"/>
    <x v="51"/>
    <s v="Telford"/>
    <s v="Private"/>
    <d v="2020-12-02T00:00:00"/>
    <d v="2021-01-08T00:00:00"/>
  </r>
  <r>
    <s v="Ofsted Social Care Provider Webpage"/>
    <n v="1252937"/>
    <x v="0"/>
    <d v="2017-03-02T00:00:00"/>
    <s v="Active"/>
    <s v="REDACTED"/>
    <x v="2"/>
    <s v="South East"/>
    <x v="12"/>
    <s v="Arundel and South Downs"/>
    <s v="Private"/>
    <d v="2020-12-02T00:00:00"/>
    <d v="2021-01-21T00:00:00"/>
  </r>
  <r>
    <s v="Ofsted Social Care Provider Webpage"/>
    <s v="SC446152"/>
    <x v="0"/>
    <d v="2012-07-13T00:00:00"/>
    <s v="Active"/>
    <s v="REDACTED"/>
    <x v="6"/>
    <s v="West Midlands"/>
    <x v="34"/>
    <s v="Birmingham, Ladywood"/>
    <s v="Private"/>
    <d v="2020-12-02T00:00:00"/>
    <d v="2021-01-08T00:00:00"/>
  </r>
  <r>
    <s v="Ofsted Social Care Provider Webpage"/>
    <s v="SC400301"/>
    <x v="0"/>
    <d v="2009-09-21T00:00:00"/>
    <s v="Active"/>
    <s v="REDACTED"/>
    <x v="0"/>
    <s v="East of England"/>
    <x v="19"/>
    <s v="Stevenage"/>
    <s v="Local Authority"/>
    <d v="2020-12-02T00:00:00"/>
    <d v="2021-01-04T00:00:00"/>
  </r>
  <r>
    <s v="Ofsted Social Care Provider Webpage"/>
    <n v="2503306"/>
    <x v="0"/>
    <d v="2019-05-29T00:00:00"/>
    <s v="Active"/>
    <s v="REDACTED"/>
    <x v="4"/>
    <s v="East Midlands"/>
    <x v="40"/>
    <s v="South Holland and The Deepings"/>
    <s v="Private"/>
    <d v="2020-12-02T00:00:00"/>
    <d v="2021-01-04T00:00:00"/>
  </r>
  <r>
    <s v="Ofsted Social Care Provider Webpage"/>
    <s v="SC366080"/>
    <x v="0"/>
    <d v="2008-01-07T00:00:00"/>
    <s v="Active"/>
    <s v="REDACTED"/>
    <x v="6"/>
    <s v="West Midlands"/>
    <x v="55"/>
    <s v="North Shropshire"/>
    <s v="Private"/>
    <d v="2020-12-02T00:00:00"/>
    <d v="2021-01-08T00:00:00"/>
  </r>
  <r>
    <s v="Ofsted Social Care Provider Webpage"/>
    <n v="1235818"/>
    <x v="0"/>
    <d v="2016-06-09T00:00:00"/>
    <s v="Active"/>
    <s v="REDACTED"/>
    <x v="3"/>
    <s v="Yorkshire and The Humber"/>
    <x v="60"/>
    <s v="Selby and Ainsty"/>
    <s v="Private"/>
    <d v="2020-12-02T00:00:00"/>
    <d v="2021-01-12T00:00:00"/>
  </r>
  <r>
    <s v="Ofsted Social Care Provider Webpage"/>
    <s v="SC415347"/>
    <x v="0"/>
    <d v="2010-09-12T00:00:00"/>
    <s v="Active"/>
    <s v="REDACTED"/>
    <x v="6"/>
    <s v="West Midlands"/>
    <x v="46"/>
    <s v="Stone"/>
    <s v="Private"/>
    <d v="2020-12-02T00:00:00"/>
    <d v="2021-01-08T00:00:00"/>
  </r>
  <r>
    <s v="Ofsted Social Care Provider Webpage"/>
    <n v="1155775"/>
    <x v="0"/>
    <d v="2015-09-24T00:00:00"/>
    <s v="Active"/>
    <s v="REDACTED"/>
    <x v="5"/>
    <s v="North West"/>
    <x v="11"/>
    <s v="Manchester, Gorton"/>
    <s v="Private"/>
    <d v="2020-12-02T00:00:00"/>
    <d v="2021-01-20T00:00:00"/>
  </r>
  <r>
    <s v="Ofsted Social Care Provider Webpage"/>
    <n v="2563216"/>
    <x v="0"/>
    <d v="2019-11-21T00:00:00"/>
    <s v="Active"/>
    <s v="REDACTED"/>
    <x v="3"/>
    <s v="Yorkshire and The Humber"/>
    <x v="61"/>
    <s v="Great Grimsby"/>
    <s v="Local Authority"/>
    <d v="2020-09-03T00:00:00"/>
    <d v="2020-11-04T00:00:00"/>
  </r>
  <r>
    <s v="Ofsted Social Care Provider Webpage"/>
    <s v="SC481631"/>
    <x v="0"/>
    <d v="2015-02-16T00:00:00"/>
    <s v="Active"/>
    <s v="REDACTED"/>
    <x v="3"/>
    <s v="Yorkshire and The Humber"/>
    <x v="60"/>
    <s v="Richmond (Yorks)"/>
    <s v="Private"/>
    <d v="2020-09-03T00:00:00"/>
    <d v="2020-10-15T00:00:00"/>
  </r>
  <r>
    <s v="Ofsted Social Care Provider Webpage"/>
    <s v="SC361789"/>
    <x v="0"/>
    <d v="2007-10-05T00:00:00"/>
    <s v="Active"/>
    <s v="REDACTED"/>
    <x v="1"/>
    <s v="South West"/>
    <x v="62"/>
    <s v="St Austell and Newquay"/>
    <s v="Local Authority"/>
    <d v="2020-09-03T00:00:00"/>
    <d v="2020-10-16T00:00:00"/>
  </r>
  <r>
    <s v="Ofsted Social Care Provider Webpage"/>
    <s v="SC472392"/>
    <x v="0"/>
    <d v="2014-01-03T00:00:00"/>
    <s v="Active"/>
    <s v="REDACTED"/>
    <x v="3"/>
    <s v="North East"/>
    <x v="63"/>
    <s v="Middlesbrough"/>
    <s v="Local Authority"/>
    <d v="2020-09-03T00:00:00"/>
    <d v="2020-11-24T00:00:00"/>
  </r>
  <r>
    <s v="Ofsted Social Care Provider Webpage"/>
    <s v="SC374640"/>
    <x v="0"/>
    <d v="2008-05-09T00:00:00"/>
    <s v="Active"/>
    <s v="REDACTED"/>
    <x v="1"/>
    <s v="South West"/>
    <x v="49"/>
    <s v="Filton and Bradley Stoke"/>
    <s v="Private"/>
    <d v="2020-09-03T00:00:00"/>
    <d v="2020-10-06T00:00:00"/>
  </r>
  <r>
    <s v="Ofsted Social Care Provider Webpage"/>
    <s v="SC034797"/>
    <x v="0"/>
    <d v="2003-12-24T00:00:00"/>
    <s v="Active"/>
    <s v="REDACTED"/>
    <x v="0"/>
    <s v="East of England"/>
    <x v="33"/>
    <s v="South Norfolk"/>
    <s v="Local Authority"/>
    <d v="2020-09-03T00:00:00"/>
    <d v="2020-10-07T00:00:00"/>
  </r>
  <r>
    <s v="Ofsted Social Care Provider Webpage"/>
    <s v="SC447645"/>
    <x v="0"/>
    <d v="2012-10-18T00:00:00"/>
    <s v="Active"/>
    <s v="REDACTED"/>
    <x v="6"/>
    <s v="West Midlands"/>
    <x v="46"/>
    <s v="Stone"/>
    <s v="Private"/>
    <d v="2020-09-03T00:00:00"/>
    <d v="2020-10-09T00:00:00"/>
  </r>
  <r>
    <s v="Ofsted Social Care Provider Webpage"/>
    <n v="2513340"/>
    <x v="0"/>
    <d v="2020-01-13T00:00:00"/>
    <s v="Active"/>
    <s v="REDACTED"/>
    <x v="6"/>
    <s v="West Midlands"/>
    <x v="64"/>
    <s v="Wolverhampton North East"/>
    <s v="Private"/>
    <d v="2020-09-03T00:00:00"/>
    <d v="2020-10-07T00:00:00"/>
  </r>
  <r>
    <s v="Ofsted Social Care Provider Webpage"/>
    <s v="SC037256"/>
    <x v="0"/>
    <d v="2003-03-17T00:00:00"/>
    <s v="Active"/>
    <s v="REDACTED"/>
    <x v="0"/>
    <s v="East of England"/>
    <x v="50"/>
    <s v="Waveney"/>
    <s v="Local Authority"/>
    <d v="2020-09-03T00:00:00"/>
    <d v="2020-10-23T00:00:00"/>
  </r>
  <r>
    <s v="Ofsted Social Care Provider Webpage"/>
    <n v="2530253"/>
    <x v="0"/>
    <d v="2019-08-12T00:00:00"/>
    <s v="Active"/>
    <s v="REDACTED"/>
    <x v="3"/>
    <s v="North East"/>
    <x v="65"/>
    <s v="Wansbeck"/>
    <s v="Private"/>
    <d v="2020-09-03T00:00:00"/>
    <d v="2020-10-07T00:00:00"/>
  </r>
  <r>
    <s v="Ofsted Social Care Provider Webpage"/>
    <s v="SC397933"/>
    <x v="0"/>
    <d v="2009-07-30T00:00:00"/>
    <s v="Active"/>
    <s v="REDACTED"/>
    <x v="6"/>
    <s v="West Midlands"/>
    <x v="51"/>
    <s v="Telford"/>
    <s v="Private"/>
    <d v="2020-11-03T00:00:00"/>
    <d v="2020-12-16T00:00:00"/>
  </r>
  <r>
    <s v="Ofsted Social Care Provider Webpage"/>
    <n v="2549629"/>
    <x v="0"/>
    <d v="2020-03-09T00:00:00"/>
    <s v="Active"/>
    <s v="REDACTED"/>
    <x v="1"/>
    <s v="South West"/>
    <x v="10"/>
    <s v="Tiverton and Honiton"/>
    <s v="Private"/>
    <d v="2020-11-03T00:00:00"/>
    <d v="2020-12-07T00:00:00"/>
  </r>
  <r>
    <s v="Ofsted Social Care Provider Webpage"/>
    <s v="SC039900"/>
    <x v="0"/>
    <d v="2003-04-22T00:00:00"/>
    <s v="Active"/>
    <s v="REDACTED"/>
    <x v="6"/>
    <s v="West Midlands"/>
    <x v="66"/>
    <s v="Dudley North"/>
    <s v="Local Authority"/>
    <d v="2020-11-03T00:00:00"/>
    <d v="2020-12-09T00:00:00"/>
  </r>
  <r>
    <s v="Ofsted Social Care Provider Webpage"/>
    <s v="SC456911"/>
    <x v="0"/>
    <d v="2013-02-25T00:00:00"/>
    <s v="Active"/>
    <s v="REDACTED"/>
    <x v="0"/>
    <s v="East of England"/>
    <x v="48"/>
    <s v="North East Cambridgeshire"/>
    <s v="Private"/>
    <d v="2020-11-03T00:00:00"/>
    <d v="2020-11-30T00:00:00"/>
  </r>
  <r>
    <s v="Ofsted Social Care Provider Webpage"/>
    <s v="SC004085"/>
    <x v="0"/>
    <d v="1995-09-04T00:00:00"/>
    <s v="Active"/>
    <s v="REDACTED"/>
    <x v="1"/>
    <s v="South West"/>
    <x v="67"/>
    <s v="Bournemouth West"/>
    <s v="Voluntary"/>
    <d v="2020-11-03T00:00:00"/>
    <d v="2020-12-03T00:00:00"/>
  </r>
  <r>
    <s v="Ofsted Social Care Provider Webpage"/>
    <s v="SC055153"/>
    <x v="0"/>
    <d v="2003-12-23T00:00:00"/>
    <s v="Active"/>
    <s v="REDACTED"/>
    <x v="5"/>
    <s v="North West"/>
    <x v="16"/>
    <s v="West Lancashire"/>
    <s v="Private"/>
    <d v="2020-11-03T00:00:00"/>
    <d v="2020-12-01T00:00:00"/>
  </r>
  <r>
    <s v="Ofsted Social Care Provider Webpage"/>
    <n v="2555815"/>
    <x v="4"/>
    <d v="2019-12-06T00:00:00"/>
    <s v="Active"/>
    <s v="Care 2 Share Ltd"/>
    <x v="7"/>
    <s v="London"/>
    <x v="68"/>
    <s v="Chingford and Woodford Green"/>
    <s v="Private"/>
    <d v="2020-11-03T00:00:00"/>
    <d v="2020-12-30T00:00:00"/>
  </r>
  <r>
    <s v="Ofsted Social Care Provider Webpage"/>
    <s v="SC425708"/>
    <x v="5"/>
    <d v="2011-02-03T00:00:00"/>
    <s v="Active"/>
    <s v="Gretton School"/>
    <x v="0"/>
    <s v="East of England"/>
    <x v="48"/>
    <s v="South Cambridgeshire"/>
    <s v="Private"/>
    <d v="2020-11-03T00:00:00"/>
    <d v="2020-11-25T00:00:00"/>
  </r>
  <r>
    <s v="Ofsted Social Care Provider Webpage"/>
    <n v="1247776"/>
    <x v="0"/>
    <d v="2016-12-01T00:00:00"/>
    <s v="Active"/>
    <s v="REDACTED"/>
    <x v="5"/>
    <s v="North West"/>
    <x v="69"/>
    <s v="Liverpool, Walton"/>
    <s v="Private"/>
    <d v="2020-11-03T00:00:00"/>
    <d v="2020-12-30T00:00:00"/>
  </r>
  <r>
    <s v="Ofsted Social Care Provider Webpage"/>
    <s v="SC023744"/>
    <x v="0"/>
    <d v="2001-07-16T00:00:00"/>
    <s v="Active"/>
    <s v="REDACTED"/>
    <x v="2"/>
    <s v="South East"/>
    <x v="2"/>
    <s v="South Thanet"/>
    <s v="Private"/>
    <d v="2020-11-03T00:00:00"/>
    <d v="2020-12-16T00:00:00"/>
  </r>
  <r>
    <s v="Ofsted Social Care Provider Webpage"/>
    <s v="SC034922"/>
    <x v="0"/>
    <d v="2003-09-19T00:00:00"/>
    <s v="Active"/>
    <s v="REDACTED"/>
    <x v="5"/>
    <s v="North West"/>
    <x v="53"/>
    <s v="Heywood and Middleton"/>
    <s v="Local Authority"/>
    <d v="2020-11-03T00:00:00"/>
    <d v="2020-12-08T00:00:00"/>
  </r>
  <r>
    <s v="Ofsted Social Care Provider Webpage"/>
    <s v="SC423617"/>
    <x v="0"/>
    <d v="2011-04-08T00:00:00"/>
    <s v="Active"/>
    <s v="REDACTED"/>
    <x v="6"/>
    <s v="West Midlands"/>
    <x v="34"/>
    <s v="Sutton Coldfield"/>
    <s v="Private"/>
    <d v="2020-11-03T00:00:00"/>
    <d v="2020-12-14T00:00:00"/>
  </r>
  <r>
    <s v="Ofsted Social Care Provider Webpage"/>
    <s v="SC483828"/>
    <x v="0"/>
    <d v="2014-12-04T00:00:00"/>
    <s v="Active"/>
    <s v="REDACTED"/>
    <x v="5"/>
    <s v="North West"/>
    <x v="70"/>
    <s v="Denton and Reddish"/>
    <s v="Private"/>
    <d v="2020-11-03T00:00:00"/>
    <d v="2020-12-14T00:00:00"/>
  </r>
  <r>
    <s v="Ofsted Social Care Provider Webpage"/>
    <s v="SC488930"/>
    <x v="0"/>
    <d v="2015-07-28T00:00:00"/>
    <s v="Active"/>
    <s v="REDACTED"/>
    <x v="4"/>
    <s v="East Midlands"/>
    <x v="71"/>
    <s v="Leicester West"/>
    <s v="Private"/>
    <d v="2020-11-03T00:00:00"/>
    <d v="2020-11-30T00:00:00"/>
  </r>
  <r>
    <s v="Ofsted Social Care Provider Webpage"/>
    <n v="1231311"/>
    <x v="0"/>
    <d v="2016-08-08T00:00:00"/>
    <s v="Active"/>
    <s v="REDACTED"/>
    <x v="6"/>
    <s v="West Midlands"/>
    <x v="51"/>
    <s v="The Wrekin"/>
    <s v="Private"/>
    <d v="2020-11-03T00:00:00"/>
    <d v="2020-11-30T00:00:00"/>
  </r>
  <r>
    <s v="Ofsted Social Care Provider Webpage"/>
    <n v="1266835"/>
    <x v="0"/>
    <d v="2017-10-25T00:00:00"/>
    <s v="Active"/>
    <s v="REDACTED"/>
    <x v="1"/>
    <s v="South West"/>
    <x v="54"/>
    <s v="Bath"/>
    <s v="Private"/>
    <d v="2020-11-03T00:00:00"/>
    <d v="2020-11-30T00:00:00"/>
  </r>
  <r>
    <s v="Ofsted Social Care Provider Webpage"/>
    <n v="1280412"/>
    <x v="0"/>
    <d v="2018-06-25T00:00:00"/>
    <s v="Active"/>
    <s v="REDACTED"/>
    <x v="5"/>
    <s v="North West"/>
    <x v="72"/>
    <s v="Leigh"/>
    <s v="Private"/>
    <d v="2020-11-03T00:00:00"/>
    <d v="2020-11-27T00:00:00"/>
  </r>
  <r>
    <s v="Ofsted Social Care Provider Webpage"/>
    <s v="SC374268"/>
    <x v="0"/>
    <d v="2008-07-17T00:00:00"/>
    <s v="Active"/>
    <s v="REDACTED"/>
    <x v="6"/>
    <s v="West Midlands"/>
    <x v="17"/>
    <s v="Warley"/>
    <s v="Private"/>
    <d v="2020-11-03T00:00:00"/>
    <d v="2020-11-26T00:00:00"/>
  </r>
  <r>
    <s v="Ofsted Social Care Provider Webpage"/>
    <n v="1267537"/>
    <x v="0"/>
    <d v="2017-12-11T00:00:00"/>
    <s v="Active"/>
    <s v="REDACTED"/>
    <x v="4"/>
    <s v="East Midlands"/>
    <x v="14"/>
    <s v="Erewash"/>
    <s v="Private"/>
    <d v="2020-11-03T00:00:00"/>
    <d v="2020-11-27T00:00:00"/>
  </r>
  <r>
    <s v="Ofsted Social Care Provider Webpage"/>
    <s v="SC472795"/>
    <x v="0"/>
    <d v="2014-01-02T00:00:00"/>
    <s v="Active"/>
    <s v="REDACTED"/>
    <x v="3"/>
    <s v="North East"/>
    <x v="73"/>
    <s v="Newcastle upon Tyne East"/>
    <s v="Private"/>
    <d v="2020-11-03T00:00:00"/>
    <d v="2020-12-16T00:00:00"/>
  </r>
  <r>
    <s v="Ofsted Social Care Provider Webpage"/>
    <s v="SC429369"/>
    <x v="0"/>
    <d v="2011-06-14T00:00:00"/>
    <s v="Active"/>
    <s v="REDACTED"/>
    <x v="0"/>
    <s v="East of England"/>
    <x v="74"/>
    <s v="Bedford"/>
    <s v="Private"/>
    <d v="2020-11-03T00:00:00"/>
    <d v="2020-12-02T00:00:00"/>
  </r>
  <r>
    <s v="Ofsted Social Care Provider Webpage"/>
    <s v="SC065374"/>
    <x v="0"/>
    <d v="2005-08-03T00:00:00"/>
    <s v="Active"/>
    <s v="REDACTED"/>
    <x v="5"/>
    <s v="North West"/>
    <x v="70"/>
    <s v="Stockport"/>
    <s v="Private"/>
    <d v="2020-11-03T00:00:00"/>
    <d v="2020-12-01T00:00:00"/>
  </r>
  <r>
    <s v="Ofsted Social Care Provider Webpage"/>
    <s v="SC040723"/>
    <x v="0"/>
    <d v="2003-07-18T00:00:00"/>
    <s v="Active"/>
    <s v="REDACTED"/>
    <x v="5"/>
    <s v="North West"/>
    <x v="32"/>
    <s v="Bolton North East"/>
    <s v="Local Authority"/>
    <d v="2020-11-03T00:00:00"/>
    <d v="2020-12-08T00:00:00"/>
  </r>
  <r>
    <s v="Ofsted Social Care Provider Webpage"/>
    <n v="2496288"/>
    <x v="0"/>
    <d v="2019-06-13T00:00:00"/>
    <s v="Active"/>
    <s v="REDACTED"/>
    <x v="6"/>
    <s v="West Midlands"/>
    <x v="64"/>
    <s v="Wolverhampton South West"/>
    <s v="Local Authority"/>
    <d v="2020-11-03T00:00:00"/>
    <d v="2020-12-03T00:00:00"/>
  </r>
  <r>
    <s v="Ofsted Social Care Provider Webpage"/>
    <n v="1264696"/>
    <x v="0"/>
    <d v="2018-01-12T00:00:00"/>
    <s v="Suspended"/>
    <s v="REDACTED"/>
    <x v="5"/>
    <s v="North West"/>
    <x v="8"/>
    <s v="Oldham West and Royton"/>
    <s v="Private"/>
    <d v="2020-11-03T00:00:00"/>
    <d v="2020-12-29T00:00:00"/>
  </r>
  <r>
    <s v="Ofsted Social Care Provider Webpage"/>
    <s v="SC437486"/>
    <x v="0"/>
    <d v="2012-02-24T00:00:00"/>
    <s v="Active"/>
    <s v="REDACTED"/>
    <x v="6"/>
    <s v="West Midlands"/>
    <x v="17"/>
    <s v="Halesowen and Rowley Regis"/>
    <s v="Private"/>
    <d v="2020-11-03T00:00:00"/>
    <d v="2020-12-07T00:00:00"/>
  </r>
  <r>
    <s v="Ofsted Social Care Provider Webpage"/>
    <s v="SC033056"/>
    <x v="0"/>
    <d v="2003-03-31T00:00:00"/>
    <s v="Active"/>
    <s v="REDACTED"/>
    <x v="6"/>
    <s v="West Midlands"/>
    <x v="75"/>
    <s v="Coventry North East"/>
    <s v="Local Authority"/>
    <d v="2020-11-03T00:00:00"/>
    <d v="2020-12-08T00:00:00"/>
  </r>
  <r>
    <s v="Ofsted Social Care Provider Webpage"/>
    <n v="1212117"/>
    <x v="0"/>
    <d v="2015-12-01T00:00:00"/>
    <s v="Active"/>
    <s v="REDACTED"/>
    <x v="4"/>
    <s v="East Midlands"/>
    <x v="20"/>
    <s v="Gedling"/>
    <s v="Private"/>
    <d v="2020-11-03T00:00:00"/>
    <d v="2020-12-21T00:00:00"/>
  </r>
  <r>
    <s v="Ofsted Social Care Provider Webpage"/>
    <n v="2532036"/>
    <x v="0"/>
    <d v="2019-05-01T00:00:00"/>
    <s v="Active"/>
    <s v="REDACTED"/>
    <x v="5"/>
    <s v="North West"/>
    <x v="16"/>
    <s v="Fylde"/>
    <s v="Private"/>
    <d v="2020-12-03T00:00:00"/>
    <d v="2021-01-13T00:00:00"/>
  </r>
  <r>
    <s v="Ofsted Social Care Provider Webpage"/>
    <n v="1247559"/>
    <x v="0"/>
    <d v="2017-02-21T00:00:00"/>
    <s v="Active"/>
    <s v="REDACTED"/>
    <x v="5"/>
    <s v="North West"/>
    <x v="16"/>
    <s v="Morecambe and Lunesdale"/>
    <s v="Private"/>
    <d v="2020-12-03T00:00:00"/>
    <d v="2021-01-13T00:00:00"/>
  </r>
  <r>
    <s v="Ofsted Social Care Provider Webpage"/>
    <s v="SC030967"/>
    <x v="0"/>
    <d v="2003-03-17T00:00:00"/>
    <s v="Active"/>
    <s v="REDACTED"/>
    <x v="3"/>
    <s v="North East"/>
    <x v="76"/>
    <s v="Hartlepool"/>
    <s v="Local Authority"/>
    <d v="2020-12-03T00:00:00"/>
    <d v="2021-01-20T00:00:00"/>
  </r>
  <r>
    <s v="Ofsted Social Care Provider Webpage"/>
    <n v="2592531"/>
    <x v="0"/>
    <d v="2020-07-01T00:00:00"/>
    <s v="Active"/>
    <s v="REDACTED"/>
    <x v="1"/>
    <s v="South West"/>
    <x v="30"/>
    <s v="Bridgwater and West Somerset"/>
    <s v="Private"/>
    <d v="2020-12-03T00:00:00"/>
    <d v="2021-01-11T00:00:00"/>
  </r>
  <r>
    <s v="Ofsted Social Care Provider Webpage"/>
    <s v="SC020611"/>
    <x v="0"/>
    <d v="2001-08-06T00:00:00"/>
    <s v="Active"/>
    <s v="REDACTED"/>
    <x v="6"/>
    <s v="West Midlands"/>
    <x v="55"/>
    <s v="North Shropshire"/>
    <s v="Private"/>
    <d v="2020-12-03T00:00:00"/>
    <d v="2021-01-12T00:00:00"/>
  </r>
  <r>
    <s v="Ofsted Social Care Provider Webpage"/>
    <s v="SC011972"/>
    <x v="0"/>
    <d v="1992-12-15T00:00:00"/>
    <s v="Active"/>
    <s v="REDACTED"/>
    <x v="2"/>
    <s v="South East"/>
    <x v="22"/>
    <s v="North West Hampshire"/>
    <s v="Private"/>
    <d v="2020-12-03T00:00:00"/>
    <d v="2021-01-21T00:00:00"/>
  </r>
  <r>
    <s v="Ofsted Social Care Provider Webpage"/>
    <n v="1245390"/>
    <x v="0"/>
    <d v="2016-11-04T00:00:00"/>
    <s v="Active"/>
    <s v="REDACTED"/>
    <x v="4"/>
    <s v="East Midlands"/>
    <x v="14"/>
    <s v="South Derbyshire"/>
    <s v="Private"/>
    <d v="2020-12-03T00:00:00"/>
    <d v="2021-01-12T00:00:00"/>
  </r>
  <r>
    <s v="Ofsted Social Care Provider Webpage"/>
    <n v="1268883"/>
    <x v="1"/>
    <d v="2017-12-21T00:00:00"/>
    <s v="Active"/>
    <s v="Caring Hearts Fostering Ltd"/>
    <x v="7"/>
    <s v="London"/>
    <x v="77"/>
    <s v="Ealing North"/>
    <s v="Private"/>
    <d v="2020-12-03T00:00:00"/>
    <d v="2021-01-13T00:00:00"/>
  </r>
  <r>
    <s v="Ofsted Social Care Provider Webpage"/>
    <n v="1247885"/>
    <x v="0"/>
    <d v="2017-01-30T00:00:00"/>
    <s v="Active"/>
    <s v="REDACTED"/>
    <x v="5"/>
    <s v="North West"/>
    <x v="78"/>
    <s v="Penrith and The Border"/>
    <s v="Voluntary"/>
    <d v="2020-12-03T00:00:00"/>
    <d v="2021-01-13T00:00:00"/>
  </r>
  <r>
    <s v="Ofsted Social Care Provider Webpage"/>
    <s v="SC397987"/>
    <x v="0"/>
    <d v="2009-10-20T00:00:00"/>
    <s v="Active"/>
    <s v="REDACTED"/>
    <x v="5"/>
    <s v="North West"/>
    <x v="79"/>
    <s v="Tatton"/>
    <s v="Private"/>
    <d v="2020-12-03T00:00:00"/>
    <d v="2021-01-08T00:00:00"/>
  </r>
  <r>
    <s v="Ofsted Social Care Provider Webpage"/>
    <s v="SC008608"/>
    <x v="0"/>
    <d v="2001-07-02T00:00:00"/>
    <s v="Active"/>
    <s v="REDACTED"/>
    <x v="5"/>
    <s v="North West"/>
    <x v="70"/>
    <s v="Denton and Reddish"/>
    <s v="Private"/>
    <d v="2020-12-03T00:00:00"/>
    <d v="2021-01-19T00:00:00"/>
  </r>
  <r>
    <s v="Ofsted Social Care Provider Webpage"/>
    <n v="2530977"/>
    <x v="0"/>
    <d v="2019-05-31T00:00:00"/>
    <s v="Active"/>
    <s v="REDACTED"/>
    <x v="1"/>
    <s v="South West"/>
    <x v="62"/>
    <s v="Truro and Falmouth"/>
    <s v="Voluntary"/>
    <d v="2020-11-04T00:00:00"/>
    <d v="2020-12-07T00:00:00"/>
  </r>
  <r>
    <s v="Ofsted Social Care Provider Webpage"/>
    <s v="SC069128"/>
    <x v="0"/>
    <d v="2007-02-19T00:00:00"/>
    <s v="Active"/>
    <s v="REDACTED"/>
    <x v="2"/>
    <s v="South East"/>
    <x v="13"/>
    <s v="Oxford East"/>
    <s v="Voluntary"/>
    <d v="2020-11-04T00:00:00"/>
    <d v="2021-01-04T00:00:00"/>
  </r>
  <r>
    <s v="Ofsted Social Care Provider Webpage"/>
    <s v="SC028460"/>
    <x v="0"/>
    <d v="2002-04-30T00:00:00"/>
    <s v="Active"/>
    <s v="REDACTED"/>
    <x v="7"/>
    <s v="London"/>
    <x v="80"/>
    <s v="Tottenham"/>
    <s v="Private"/>
    <d v="2020-11-04T00:00:00"/>
    <d v="2020-12-08T00:00:00"/>
  </r>
  <r>
    <s v="Ofsted Social Care Provider Webpage"/>
    <n v="2538287"/>
    <x v="0"/>
    <d v="2019-07-10T00:00:00"/>
    <s v="Active"/>
    <s v="REDACTED"/>
    <x v="6"/>
    <s v="West Midlands"/>
    <x v="81"/>
    <s v="Stoke-on-Trent South"/>
    <s v="Local Authority"/>
    <d v="2020-11-04T00:00:00"/>
    <d v="2020-11-27T00:00:00"/>
  </r>
  <r>
    <s v="Ofsted Social Care Provider Webpage"/>
    <s v="SC035976"/>
    <x v="0"/>
    <d v="2003-12-22T00:00:00"/>
    <s v="Active"/>
    <s v="REDACTED"/>
    <x v="4"/>
    <s v="East Midlands"/>
    <x v="14"/>
    <s v="Chesterfield"/>
    <s v="Local Authority"/>
    <d v="2020-11-04T00:00:00"/>
    <d v="2020-11-30T00:00:00"/>
  </r>
  <r>
    <s v="Ofsted Social Care Provider Webpage"/>
    <n v="2507038"/>
    <x v="0"/>
    <d v="2019-03-04T00:00:00"/>
    <s v="Active"/>
    <s v="REDACTED"/>
    <x v="6"/>
    <s v="West Midlands"/>
    <x v="55"/>
    <s v="North Shropshire"/>
    <s v="Private"/>
    <d v="2020-11-04T00:00:00"/>
    <d v="2020-12-03T00:00:00"/>
  </r>
  <r>
    <s v="Ofsted Social Care Provider Webpage"/>
    <n v="2568244"/>
    <x v="0"/>
    <d v="2020-03-16T00:00:00"/>
    <s v="Active"/>
    <s v="REDACTED"/>
    <x v="3"/>
    <s v="North East"/>
    <x v="82"/>
    <s v="Stockton South"/>
    <s v="Local Authority"/>
    <d v="2020-11-04T00:00:00"/>
    <d v="2020-12-16T00:00:00"/>
  </r>
  <r>
    <s v="Ofsted Social Care Provider Webpage"/>
    <s v="SC437305"/>
    <x v="0"/>
    <d v="2011-12-12T00:00:00"/>
    <s v="Active"/>
    <s v="REDACTED"/>
    <x v="3"/>
    <s v="Yorkshire and The Humber"/>
    <x v="83"/>
    <s v="Shipley"/>
    <s v="Private"/>
    <d v="2020-11-04T00:00:00"/>
    <d v="2020-12-14T00:00:00"/>
  </r>
  <r>
    <s v="Ofsted Social Care Provider Webpage"/>
    <s v="SC467264"/>
    <x v="0"/>
    <d v="2013-08-28T00:00:00"/>
    <s v="Active"/>
    <s v="REDACTED"/>
    <x v="6"/>
    <s v="West Midlands"/>
    <x v="34"/>
    <s v="Birmingham, Perry Barr"/>
    <s v="Private"/>
    <d v="2020-11-04T00:00:00"/>
    <d v="2020-12-07T00:00:00"/>
  </r>
  <r>
    <s v="Ofsted Social Care Provider Webpage"/>
    <n v="2584899"/>
    <x v="0"/>
    <d v="2020-06-18T00:00:00"/>
    <s v="Active"/>
    <s v="REDACTED"/>
    <x v="3"/>
    <s v="North East"/>
    <x v="84"/>
    <s v="Redcar"/>
    <s v="Private"/>
    <d v="2020-11-04T00:00:00"/>
    <d v="2020-12-08T00:00:00"/>
  </r>
  <r>
    <s v="Ofsted Social Care Provider Webpage"/>
    <n v="1227335"/>
    <x v="0"/>
    <d v="2016-05-27T00:00:00"/>
    <s v="Active"/>
    <s v="REDACTED"/>
    <x v="5"/>
    <s v="North West"/>
    <x v="16"/>
    <s v="West Lancashire"/>
    <s v="Private"/>
    <d v="2020-11-04T00:00:00"/>
    <d v="2020-12-10T00:00:00"/>
  </r>
  <r>
    <s v="Ofsted Social Care Provider Webpage"/>
    <n v="2537375"/>
    <x v="0"/>
    <d v="2019-08-09T00:00:00"/>
    <s v="Active"/>
    <s v="REDACTED"/>
    <x v="6"/>
    <s v="West Midlands"/>
    <x v="46"/>
    <s v="South Staffordshire"/>
    <s v="Private"/>
    <d v="2020-11-04T00:00:00"/>
    <d v="2020-12-08T00:00:00"/>
  </r>
  <r>
    <s v="Ofsted Social Care Provider Webpage"/>
    <s v="SC434806"/>
    <x v="0"/>
    <d v="2011-09-15T00:00:00"/>
    <s v="Active"/>
    <s v="REDACTED"/>
    <x v="4"/>
    <s v="East Midlands"/>
    <x v="4"/>
    <s v="North West Leicestershire"/>
    <s v="Private"/>
    <d v="2020-11-04T00:00:00"/>
    <d v="2020-12-04T00:00:00"/>
  </r>
  <r>
    <s v="Ofsted Social Care Provider Webpage"/>
    <n v="2519269"/>
    <x v="0"/>
    <d v="2019-07-05T00:00:00"/>
    <s v="Active"/>
    <s v="REDACTED"/>
    <x v="6"/>
    <s v="West Midlands"/>
    <x v="64"/>
    <s v="Wolverhampton South East"/>
    <s v="Private"/>
    <d v="2020-11-04T00:00:00"/>
    <d v="2020-12-08T00:00:00"/>
  </r>
  <r>
    <s v="Ofsted Social Care Provider Webpage"/>
    <s v="SC457923"/>
    <x v="0"/>
    <d v="2012-12-11T00:00:00"/>
    <s v="Active"/>
    <s v="REDACTED"/>
    <x v="6"/>
    <s v="West Midlands"/>
    <x v="43"/>
    <s v="North Herefordshire"/>
    <s v="Private"/>
    <d v="2020-11-04T00:00:00"/>
    <d v="2020-12-02T00:00:00"/>
  </r>
  <r>
    <s v="Ofsted Social Care Provider Webpage"/>
    <s v="SC405713"/>
    <x v="0"/>
    <d v="2010-01-11T00:00:00"/>
    <s v="Active"/>
    <s v="REDACTED"/>
    <x v="6"/>
    <s v="West Midlands"/>
    <x v="17"/>
    <s v="Warley"/>
    <s v="Private"/>
    <d v="2020-10-05T00:00:00"/>
    <d v="2020-11-04T00:00:00"/>
  </r>
  <r>
    <s v="Ofsted Social Care Provider Webpage"/>
    <n v="2503076"/>
    <x v="0"/>
    <d v="2019-02-17T00:00:00"/>
    <s v="Active"/>
    <s v="REDACTED"/>
    <x v="6"/>
    <s v="West Midlands"/>
    <x v="46"/>
    <s v="Stafford"/>
    <s v="Private"/>
    <d v="2020-10-05T00:00:00"/>
    <d v="2020-11-05T00:00:00"/>
  </r>
  <r>
    <s v="Ofsted Social Care Provider Webpage"/>
    <s v="SC390167"/>
    <x v="0"/>
    <d v="2010-05-11T00:00:00"/>
    <s v="Active"/>
    <s v="REDACTED"/>
    <x v="2"/>
    <s v="South East"/>
    <x v="2"/>
    <s v="North Thanet"/>
    <s v="Private"/>
    <d v="2020-10-05T00:00:00"/>
    <d v="2020-11-23T00:00:00"/>
  </r>
  <r>
    <s v="Ofsted Social Care Provider Webpage"/>
    <s v="SC030677"/>
    <x v="0"/>
    <d v="2004-11-11T00:00:00"/>
    <s v="Active"/>
    <s v="REDACTED"/>
    <x v="2"/>
    <s v="South East"/>
    <x v="47"/>
    <s v="Newbury"/>
    <s v="Local Authority"/>
    <d v="2020-10-05T00:00:00"/>
    <d v="2020-11-26T00:00:00"/>
  </r>
  <r>
    <s v="Ofsted Social Care Provider Webpage"/>
    <n v="1280210"/>
    <x v="0"/>
    <d v="2018-08-02T00:00:00"/>
    <s v="Active"/>
    <s v="REDACTED"/>
    <x v="6"/>
    <s v="West Midlands"/>
    <x v="46"/>
    <s v="Cannock Chase"/>
    <s v="Private"/>
    <d v="2020-10-05T00:00:00"/>
    <d v="2020-11-18T00:00:00"/>
  </r>
  <r>
    <s v="Ofsted Social Care Provider Webpage"/>
    <n v="1224093"/>
    <x v="0"/>
    <d v="2015-11-04T00:00:00"/>
    <s v="Active"/>
    <s v="REDACTED"/>
    <x v="0"/>
    <s v="East of England"/>
    <x v="19"/>
    <s v="Hemel Hempstead"/>
    <s v="Private"/>
    <d v="2020-10-05T00:00:00"/>
    <d v="2020-10-30T00:00:00"/>
  </r>
  <r>
    <s v="Ofsted Social Care Provider Webpage"/>
    <s v="SC068991"/>
    <x v="0"/>
    <d v="2007-01-15T00:00:00"/>
    <s v="Active"/>
    <s v="REDACTED"/>
    <x v="0"/>
    <s v="East of England"/>
    <x v="48"/>
    <s v="North East Cambridgeshire"/>
    <s v="Private"/>
    <d v="2020-10-05T00:00:00"/>
    <d v="2020-10-30T00:00:00"/>
  </r>
  <r>
    <s v="Ofsted Social Care Provider Webpage"/>
    <s v="SC063794"/>
    <x v="0"/>
    <d v="2005-05-11T00:00:00"/>
    <s v="Active"/>
    <s v="REDACTED"/>
    <x v="6"/>
    <s v="West Midlands"/>
    <x v="46"/>
    <s v="Staffordshire Moorlands"/>
    <s v="Private"/>
    <d v="2020-10-05T00:00:00"/>
    <d v="2020-10-26T00:00:00"/>
  </r>
  <r>
    <s v="Ofsted Social Care Provider Webpage"/>
    <s v="SC413078"/>
    <x v="0"/>
    <d v="2010-07-28T00:00:00"/>
    <s v="Active"/>
    <s v="REDACTED"/>
    <x v="4"/>
    <s v="East Midlands"/>
    <x v="20"/>
    <s v="Sherwood"/>
    <s v="Private"/>
    <d v="2020-10-05T00:00:00"/>
    <d v="2020-11-11T00:00:00"/>
  </r>
  <r>
    <s v="Ofsted Social Care Provider Webpage"/>
    <s v="SC426530"/>
    <x v="0"/>
    <d v="2011-09-05T00:00:00"/>
    <s v="Active"/>
    <s v="REDACTED"/>
    <x v="2"/>
    <s v="South East"/>
    <x v="29"/>
    <s v="East Surrey"/>
    <s v="Private"/>
    <d v="2020-10-05T00:00:00"/>
    <d v="2020-11-24T00:00:00"/>
  </r>
  <r>
    <s v="Ofsted Social Care Provider Webpage"/>
    <n v="1271581"/>
    <x v="0"/>
    <d v="2018-04-04T00:00:00"/>
    <s v="Active"/>
    <s v="REDACTED"/>
    <x v="5"/>
    <s v="North West"/>
    <x v="32"/>
    <s v="Bolton South East"/>
    <s v="Private"/>
    <d v="2020-10-05T00:00:00"/>
    <d v="2020-11-03T00:00:00"/>
  </r>
  <r>
    <s v="Ofsted Social Care Provider Webpage"/>
    <s v="SC013884"/>
    <x v="5"/>
    <d v="2002-02-14T00:00:00"/>
    <s v="Active"/>
    <s v="Linden Bridge School"/>
    <x v="2"/>
    <s v="South East"/>
    <x v="29"/>
    <s v="Epsom and Ewell"/>
    <s v="Academy"/>
    <d v="2020-10-05T00:00:00"/>
    <d v="2020-12-03T00:00:00"/>
  </r>
  <r>
    <s v="Ofsted Social Care Provider Webpage"/>
    <s v="SC359836"/>
    <x v="0"/>
    <d v="2007-09-05T00:00:00"/>
    <s v="Active"/>
    <s v="REDACTED"/>
    <x v="5"/>
    <s v="North West"/>
    <x v="16"/>
    <s v="Chorley"/>
    <s v="Local Authority"/>
    <d v="2020-10-06T00:00:00"/>
    <d v="2020-11-10T00:00:00"/>
  </r>
  <r>
    <s v="Ofsted Social Care Provider Webpage"/>
    <s v="SC409738"/>
    <x v="0"/>
    <d v="2010-06-21T00:00:00"/>
    <s v="Active"/>
    <s v="REDACTED"/>
    <x v="5"/>
    <s v="North West"/>
    <x v="85"/>
    <s v="Knowsley"/>
    <s v="Voluntary"/>
    <d v="2020-10-06T00:00:00"/>
    <d v="2020-11-13T00:00:00"/>
  </r>
  <r>
    <s v="Ofsted Social Care Provider Webpage"/>
    <s v="SC065535"/>
    <x v="0"/>
    <d v="2005-09-30T00:00:00"/>
    <s v="Active"/>
    <s v="REDACTED"/>
    <x v="7"/>
    <s v="London"/>
    <x v="86"/>
    <s v="Dulwich and West Norwood"/>
    <s v="Private"/>
    <d v="2020-10-06T00:00:00"/>
    <d v="2020-11-16T00:00:00"/>
  </r>
  <r>
    <s v="Ofsted Social Care Provider Webpage"/>
    <s v="SC060811"/>
    <x v="0"/>
    <d v="2004-09-14T00:00:00"/>
    <s v="Active"/>
    <s v="REDACTED"/>
    <x v="3"/>
    <s v="Yorkshire and The Humber"/>
    <x v="5"/>
    <s v="Hemsworth"/>
    <s v="Private"/>
    <d v="2020-10-06T00:00:00"/>
    <d v="2020-11-17T00:00:00"/>
  </r>
  <r>
    <s v="Ofsted Social Care Provider Webpage"/>
    <n v="1240936"/>
    <x v="0"/>
    <d v="2016-11-14T00:00:00"/>
    <s v="Active"/>
    <s v="REDACTED"/>
    <x v="6"/>
    <s v="West Midlands"/>
    <x v="34"/>
    <s v="Birmingham, Hall Green"/>
    <s v="Private"/>
    <d v="2020-10-06T00:00:00"/>
    <d v="2020-10-27T00:00:00"/>
  </r>
  <r>
    <s v="Ofsted Social Care Provider Webpage"/>
    <s v="SC424141"/>
    <x v="0"/>
    <d v="2011-03-10T00:00:00"/>
    <s v="Active"/>
    <s v="REDACTED"/>
    <x v="3"/>
    <s v="Yorkshire and The Humber"/>
    <x v="83"/>
    <s v="Bradford East"/>
    <s v="Private"/>
    <d v="2020-10-06T00:00:00"/>
    <d v="2020-11-18T00:00:00"/>
  </r>
  <r>
    <s v="Ofsted Social Care Provider Webpage"/>
    <s v="SC488290"/>
    <x v="1"/>
    <d v="2015-07-07T00:00:00"/>
    <s v="Active"/>
    <s v="Fostering Ltd"/>
    <x v="5"/>
    <s v="North West"/>
    <x v="16"/>
    <s v="Rossendale and Darwen"/>
    <s v="Private"/>
    <d v="2020-10-06T00:00:00"/>
    <d v="2020-11-11T00:00:00"/>
  </r>
  <r>
    <s v="Ofsted Social Care Provider Webpage"/>
    <s v="SC366343"/>
    <x v="0"/>
    <d v="2008-02-06T00:00:00"/>
    <s v="Active"/>
    <s v="REDACTED"/>
    <x v="5"/>
    <s v="North West"/>
    <x v="87"/>
    <s v="Stalybridge and Hyde"/>
    <s v="Private"/>
    <d v="2020-10-06T00:00:00"/>
    <d v="2020-11-19T00:00:00"/>
  </r>
  <r>
    <s v="Ofsted Social Care Provider Webpage"/>
    <s v="SC024594"/>
    <x v="5"/>
    <d v="2002-02-18T00:00:00"/>
    <s v="Active"/>
    <s v="Chalk Hill"/>
    <x v="0"/>
    <s v="East of England"/>
    <x v="50"/>
    <s v="South Suffolk"/>
    <s v="Local Authority"/>
    <d v="2020-10-06T00:00:00"/>
    <d v="2020-11-09T00:00:00"/>
  </r>
  <r>
    <s v="Ofsted Social Care Provider Webpage"/>
    <s v="SC050390"/>
    <x v="5"/>
    <d v="2003-07-22T00:00:00"/>
    <s v="Active"/>
    <s v="St Mary's school and sixth form college (part of the Talking Trust)"/>
    <x v="2"/>
    <s v="South East"/>
    <x v="52"/>
    <s v="Bexhill and Battle"/>
    <s v="Voluntary"/>
    <d v="2020-10-06T00:00:00"/>
    <d v="2020-12-10T00:00:00"/>
  </r>
  <r>
    <s v="Ofsted Social Care Provider Webpage"/>
    <s v="SC356604"/>
    <x v="0"/>
    <d v="2007-09-04T00:00:00"/>
    <s v="Active"/>
    <s v="REDACTED"/>
    <x v="3"/>
    <s v="Yorkshire and The Humber"/>
    <x v="88"/>
    <s v="Barnsley East"/>
    <s v="Private"/>
    <d v="2020-10-06T00:00:00"/>
    <d v="2020-11-20T00:00:00"/>
  </r>
  <r>
    <s v="Ofsted Social Care Provider Webpage"/>
    <n v="2525774"/>
    <x v="0"/>
    <d v="2019-05-28T00:00:00"/>
    <s v="Active"/>
    <s v="REDACTED"/>
    <x v="5"/>
    <s v="North West"/>
    <x v="8"/>
    <s v="Oldham East and Saddleworth"/>
    <s v="Private"/>
    <d v="2020-10-06T00:00:00"/>
    <d v="2020-11-13T00:00:00"/>
  </r>
  <r>
    <s v="Ofsted Social Care Provider Webpage"/>
    <s v="SC432404"/>
    <x v="0"/>
    <d v="2011-09-08T00:00:00"/>
    <s v="Active"/>
    <s v="REDACTED"/>
    <x v="1"/>
    <s v="South West"/>
    <x v="62"/>
    <s v="Camborne and Redruth"/>
    <s v="Health Authority"/>
    <d v="2020-10-06T00:00:00"/>
    <d v="2020-11-02T00:00:00"/>
  </r>
  <r>
    <s v="Ofsted Social Care Provider Webpage"/>
    <s v="SC482668"/>
    <x v="0"/>
    <d v="2015-02-25T00:00:00"/>
    <s v="Active"/>
    <s v="REDACTED"/>
    <x v="6"/>
    <s v="West Midlands"/>
    <x v="75"/>
    <s v="Coventry North East"/>
    <s v="Private"/>
    <d v="2020-10-06T00:00:00"/>
    <d v="2020-11-13T00:00:00"/>
  </r>
  <r>
    <s v="Ofsted Social Care Provider Webpage"/>
    <s v="SC483688"/>
    <x v="0"/>
    <d v="2014-12-03T00:00:00"/>
    <s v="Active"/>
    <s v="REDACTED"/>
    <x v="5"/>
    <s v="North West"/>
    <x v="16"/>
    <s v="Fylde"/>
    <s v="Private"/>
    <d v="2020-10-06T00:00:00"/>
    <d v="2020-11-11T00:00:00"/>
  </r>
  <r>
    <s v="Ofsted Social Care Provider Webpage"/>
    <s v="SC060354"/>
    <x v="6"/>
    <d v="2004-02-24T00:00:00"/>
    <s v="Active"/>
    <s v="Cranbrook School"/>
    <x v="2"/>
    <s v="South East"/>
    <x v="2"/>
    <s v="Maidstone and The Weald"/>
    <s v="Academy"/>
    <d v="2020-10-06T00:00:00"/>
    <d v="2020-11-06T00:00:00"/>
  </r>
  <r>
    <s v="Ofsted Social Care Provider Webpage"/>
    <s v="SC066115"/>
    <x v="0"/>
    <d v="2006-05-31T00:00:00"/>
    <s v="Active"/>
    <s v="REDACTED"/>
    <x v="5"/>
    <s v="North West"/>
    <x v="16"/>
    <s v="Rossendale and Darwen"/>
    <s v="Private"/>
    <d v="2020-10-06T00:00:00"/>
    <d v="2020-11-09T00:00:00"/>
  </r>
  <r>
    <s v="Ofsted Social Care Provider Webpage"/>
    <s v="SC479632"/>
    <x v="0"/>
    <d v="2014-08-06T00:00:00"/>
    <s v="Active"/>
    <s v="REDACTED"/>
    <x v="5"/>
    <s v="North West"/>
    <x v="78"/>
    <s v="Carlisle"/>
    <s v="Private"/>
    <d v="2020-10-06T00:00:00"/>
    <d v="2020-11-18T00:00:00"/>
  </r>
  <r>
    <s v="Ofsted Social Care Provider Webpage"/>
    <s v="SC023651"/>
    <x v="0"/>
    <d v="1994-12-16T00:00:00"/>
    <s v="Active"/>
    <s v="REDACTED"/>
    <x v="2"/>
    <s v="South East"/>
    <x v="2"/>
    <s v="Ashford"/>
    <s v="Private"/>
    <d v="2020-10-06T00:00:00"/>
    <d v="2020-11-30T00:00:00"/>
  </r>
  <r>
    <s v="Ofsted Social Care Provider Webpage"/>
    <s v="SC001831"/>
    <x v="5"/>
    <d v="2002-02-12T00:00:00"/>
    <s v="Active"/>
    <s v="The Grange Therapeutic School"/>
    <x v="4"/>
    <s v="East Midlands"/>
    <x v="4"/>
    <s v="Rutland and Melton"/>
    <s v="Private"/>
    <d v="2020-10-06T00:00:00"/>
    <d v="2020-11-10T00:00:00"/>
  </r>
  <r>
    <s v="Ofsted Social Care Provider Webpage"/>
    <n v="2547837"/>
    <x v="0"/>
    <d v="2019-12-17T00:00:00"/>
    <s v="Active"/>
    <s v="REDACTED"/>
    <x v="5"/>
    <s v="North West"/>
    <x v="89"/>
    <s v="Southport"/>
    <s v="Private"/>
    <d v="2020-10-06T00:00:00"/>
    <d v="2020-11-13T00:00:00"/>
  </r>
  <r>
    <s v="Ofsted Social Care Provider Webpage"/>
    <s v="SC383941"/>
    <x v="0"/>
    <d v="2008-12-23T00:00:00"/>
    <s v="Active"/>
    <s v="REDACTED"/>
    <x v="6"/>
    <s v="West Midlands"/>
    <x v="90"/>
    <s v="Wyre Forest"/>
    <s v="Private"/>
    <d v="2020-10-06T00:00:00"/>
    <d v="2020-10-30T00:00:00"/>
  </r>
  <r>
    <s v="Ofsted Social Care Provider Webpage"/>
    <s v="SC435322"/>
    <x v="3"/>
    <d v="2011-09-15T00:00:00"/>
    <s v="Active"/>
    <s v="REDACTED"/>
    <x v="0"/>
    <s v="East of England"/>
    <x v="33"/>
    <s v="South West Norfolk"/>
    <s v="Private"/>
    <d v="2020-10-06T00:00:00"/>
    <d v="2020-10-29T00:00:00"/>
  </r>
  <r>
    <s v="Ofsted Social Care Provider Webpage"/>
    <s v="SC482293"/>
    <x v="0"/>
    <d v="2014-09-22T00:00:00"/>
    <s v="Active"/>
    <s v="REDACTED"/>
    <x v="2"/>
    <s v="South East"/>
    <x v="22"/>
    <s v="Havant"/>
    <s v="Private"/>
    <d v="2020-10-06T00:00:00"/>
    <d v="2020-11-19T00:00:00"/>
  </r>
  <r>
    <s v="Ofsted Social Care Provider Webpage"/>
    <s v="SC037647"/>
    <x v="0"/>
    <d v="2003-03-03T00:00:00"/>
    <s v="Active"/>
    <s v="REDACTED"/>
    <x v="5"/>
    <s v="North West"/>
    <x v="85"/>
    <s v="Knowsley"/>
    <s v="Local Authority"/>
    <d v="2020-10-06T00:00:00"/>
    <d v="2020-11-09T00:00:00"/>
  </r>
  <r>
    <s v="Ofsted Social Care Provider Webpage"/>
    <n v="1259508"/>
    <x v="0"/>
    <d v="2017-09-21T00:00:00"/>
    <s v="Active"/>
    <s v="REDACTED"/>
    <x v="2"/>
    <s v="South East"/>
    <x v="13"/>
    <s v="Witney"/>
    <s v="Private"/>
    <d v="2020-10-06T00:00:00"/>
    <d v="2020-11-23T00:00:00"/>
  </r>
  <r>
    <s v="Ofsted Social Care Provider Webpage"/>
    <s v="SC010699"/>
    <x v="0"/>
    <d v="2001-12-27T00:00:00"/>
    <s v="Active"/>
    <s v="REDACTED"/>
    <x v="7"/>
    <s v="London"/>
    <x v="57"/>
    <s v="Enfield North"/>
    <s v="Private"/>
    <d v="2020-10-06T00:00:00"/>
    <d v="2020-11-12T00:00:00"/>
  </r>
  <r>
    <s v="Ofsted Social Care Provider Webpage"/>
    <s v="SC489036"/>
    <x v="0"/>
    <d v="2015-09-03T00:00:00"/>
    <s v="Active"/>
    <s v="REDACTED"/>
    <x v="4"/>
    <s v="East Midlands"/>
    <x v="4"/>
    <s v="Bosworth"/>
    <s v="Private"/>
    <d v="2020-10-06T00:00:00"/>
    <d v="2020-11-11T00:00:00"/>
  </r>
  <r>
    <s v="Ofsted Social Care Provider Webpage"/>
    <s v="SC035805"/>
    <x v="5"/>
    <d v="2002-08-12T00:00:00"/>
    <s v="Active"/>
    <s v="Wennington Hall School"/>
    <x v="5"/>
    <s v="North West"/>
    <x v="16"/>
    <s v="Morecambe and Lunesdale"/>
    <s v="Local Authority"/>
    <d v="2020-10-06T00:00:00"/>
    <d v="2020-11-26T00:00:00"/>
  </r>
  <r>
    <s v="Ofsted Social Care Provider Webpage"/>
    <n v="2561970"/>
    <x v="0"/>
    <d v="2020-01-13T00:00:00"/>
    <s v="Active"/>
    <s v="REDACTED"/>
    <x v="5"/>
    <s v="North West"/>
    <x v="91"/>
    <s v="Crewe and Nantwich"/>
    <s v="Private"/>
    <d v="2020-10-06T00:00:00"/>
    <d v="2020-11-06T00:00:00"/>
  </r>
  <r>
    <s v="Ofsted Social Care Provider Webpage"/>
    <n v="1252120"/>
    <x v="0"/>
    <d v="2017-05-19T00:00:00"/>
    <s v="Active"/>
    <s v="REDACTED"/>
    <x v="3"/>
    <s v="North East"/>
    <x v="92"/>
    <s v="Easington"/>
    <s v="Private"/>
    <d v="2020-10-06T00:00:00"/>
    <d v="2020-11-09T00:00:00"/>
  </r>
  <r>
    <s v="Ofsted Social Care Provider Webpage"/>
    <s v="SC063550"/>
    <x v="0"/>
    <d v="2005-03-22T00:00:00"/>
    <s v="Active"/>
    <s v="REDACTED"/>
    <x v="5"/>
    <s v="North West"/>
    <x v="24"/>
    <s v="St Helens North"/>
    <s v="Local Authority"/>
    <d v="2020-10-06T00:00:00"/>
    <d v="2020-11-05T00:00:00"/>
  </r>
  <r>
    <s v="Ofsted Social Care Provider Webpage"/>
    <n v="2534827"/>
    <x v="0"/>
    <d v="2019-06-20T00:00:00"/>
    <s v="Active"/>
    <s v="REDACTED"/>
    <x v="0"/>
    <s v="East of England"/>
    <x v="0"/>
    <s v="North East Bedfordshire"/>
    <s v="Private"/>
    <d v="2020-09-07T00:00:00"/>
    <d v="2020-10-06T00:00:00"/>
  </r>
  <r>
    <s v="Ofsted Social Care Provider Webpage"/>
    <s v="SC060936"/>
    <x v="0"/>
    <d v="2004-09-22T00:00:00"/>
    <s v="Active"/>
    <s v="REDACTED"/>
    <x v="0"/>
    <s v="East of England"/>
    <x v="50"/>
    <s v="West Suffolk"/>
    <s v="Private"/>
    <d v="2020-09-07T00:00:00"/>
    <d v="2020-10-08T00:00:00"/>
  </r>
  <r>
    <s v="Ofsted Social Care Provider Webpage"/>
    <s v="SC059717"/>
    <x v="0"/>
    <d v="2007-03-29T00:00:00"/>
    <s v="Active"/>
    <s v="REDACTED"/>
    <x v="1"/>
    <s v="South West"/>
    <x v="1"/>
    <s v="Salisbury"/>
    <s v="Private"/>
    <d v="2020-09-07T00:00:00"/>
    <d v="2020-10-21T00:00:00"/>
  </r>
  <r>
    <s v="Ofsted Social Care Provider Webpage"/>
    <n v="1254745"/>
    <x v="0"/>
    <d v="2017-05-24T00:00:00"/>
    <s v="Active"/>
    <s v="REDACTED"/>
    <x v="4"/>
    <s v="East Midlands"/>
    <x v="36"/>
    <s v="Nottingham East"/>
    <s v="Private"/>
    <d v="2020-09-07T00:00:00"/>
    <d v="2020-10-22T00:00:00"/>
  </r>
  <r>
    <s v="Ofsted Social Care Provider Webpage"/>
    <s v="SC034241"/>
    <x v="3"/>
    <d v="2002-12-27T00:00:00"/>
    <s v="Active"/>
    <s v="REDACTED"/>
    <x v="4"/>
    <s v="East Midlands"/>
    <x v="40"/>
    <s v="Sleaford and North Hykeham"/>
    <s v="Private"/>
    <d v="2020-09-07T00:00:00"/>
    <d v="2020-10-21T00:00:00"/>
  </r>
  <r>
    <s v="Ofsted Social Care Provider Webpage"/>
    <n v="2495371"/>
    <x v="0"/>
    <d v="2018-10-10T00:00:00"/>
    <s v="Active"/>
    <s v="REDACTED"/>
    <x v="4"/>
    <s v="East Midlands"/>
    <x v="18"/>
    <s v="Corby"/>
    <s v="Private"/>
    <d v="2020-09-07T00:00:00"/>
    <d v="2020-10-12T00:00:00"/>
  </r>
  <r>
    <s v="Ofsted Social Care Provider Webpage"/>
    <s v="SC033362"/>
    <x v="2"/>
    <d v="2003-06-09T00:00:00"/>
    <s v="Active"/>
    <s v="REDACTED"/>
    <x v="0"/>
    <s v="East of England"/>
    <x v="21"/>
    <s v="North West Cambridgeshire"/>
    <s v="Local Authority"/>
    <d v="2020-09-07T00:00:00"/>
    <d v="2020-10-07T00:00:00"/>
  </r>
  <r>
    <s v="Ofsted Social Care Provider Webpage"/>
    <s v="SC387148"/>
    <x v="0"/>
    <d v="2008-12-01T00:00:00"/>
    <s v="Active"/>
    <s v="REDACTED"/>
    <x v="5"/>
    <s v="North West"/>
    <x v="93"/>
    <s v="Stretford and Urmston"/>
    <s v="Private"/>
    <d v="2020-09-07T00:00:00"/>
    <d v="2020-10-29T00:00:00"/>
  </r>
  <r>
    <s v="Ofsted Social Care Provider Webpage"/>
    <n v="1246831"/>
    <x v="0"/>
    <d v="2016-12-12T00:00:00"/>
    <s v="Active"/>
    <s v="REDACTED"/>
    <x v="1"/>
    <s v="South West"/>
    <x v="67"/>
    <s v="Bournemouth East"/>
    <s v="Private"/>
    <d v="2020-09-07T00:00:00"/>
    <d v="2020-10-13T00:00:00"/>
  </r>
  <r>
    <s v="Ofsted Social Care Provider Webpage"/>
    <s v="SC483623"/>
    <x v="0"/>
    <d v="2015-06-29T00:00:00"/>
    <s v="Active"/>
    <s v="REDACTED"/>
    <x v="7"/>
    <s v="London"/>
    <x v="80"/>
    <s v="Hornsey and Wood Green"/>
    <s v="Private"/>
    <d v="2020-09-07T00:00:00"/>
    <d v="2020-10-09T00:00:00"/>
  </r>
  <r>
    <s v="Ofsted Social Care Provider Webpage"/>
    <n v="2548418"/>
    <x v="0"/>
    <d v="2019-10-08T00:00:00"/>
    <s v="Active"/>
    <s v="REDACTED"/>
    <x v="2"/>
    <s v="South East"/>
    <x v="58"/>
    <s v="Wycombe"/>
    <s v="Private"/>
    <d v="2020-09-07T00:00:00"/>
    <d v="2020-10-19T00:00:00"/>
  </r>
  <r>
    <s v="Ofsted Social Care Provider Webpage"/>
    <n v="1245565"/>
    <x v="0"/>
    <d v="2016-11-16T00:00:00"/>
    <s v="Active"/>
    <s v="REDACTED"/>
    <x v="4"/>
    <s v="East Midlands"/>
    <x v="4"/>
    <s v="South Leicestershire"/>
    <s v="Private"/>
    <d v="2020-09-07T00:00:00"/>
    <d v="2020-10-12T00:00:00"/>
  </r>
  <r>
    <s v="Ofsted Social Care Provider Webpage"/>
    <s v="SC480240"/>
    <x v="0"/>
    <d v="2014-10-23T00:00:00"/>
    <s v="Active"/>
    <s v="REDACTED"/>
    <x v="5"/>
    <s v="North West"/>
    <x v="16"/>
    <s v="Hyndburn"/>
    <s v="Private"/>
    <d v="2020-09-07T00:00:00"/>
    <d v="2020-10-30T00:00:00"/>
  </r>
  <r>
    <s v="Ofsted Social Care Provider Webpage"/>
    <n v="1249259"/>
    <x v="0"/>
    <d v="2017-03-03T00:00:00"/>
    <s v="Active"/>
    <s v="REDACTED"/>
    <x v="2"/>
    <s v="South East"/>
    <x v="22"/>
    <s v="North West Hampshire"/>
    <s v="Private"/>
    <d v="2020-09-07T00:00:00"/>
    <d v="2020-10-19T00:00:00"/>
  </r>
  <r>
    <s v="Ofsted Social Care Provider Webpage"/>
    <n v="2510201"/>
    <x v="0"/>
    <d v="2019-05-07T00:00:00"/>
    <s v="Active"/>
    <s v="REDACTED"/>
    <x v="5"/>
    <s v="North West"/>
    <x v="94"/>
    <s v="Blackpool South"/>
    <s v="Private"/>
    <d v="2020-09-07T00:00:00"/>
    <d v="2020-10-06T00:00:00"/>
  </r>
  <r>
    <s v="Ofsted Social Care Provider Webpage"/>
    <s v="SC459168"/>
    <x v="0"/>
    <d v="2013-02-20T00:00:00"/>
    <s v="Active"/>
    <s v="REDACTED"/>
    <x v="0"/>
    <s v="East of England"/>
    <x v="33"/>
    <s v="South West Norfolk"/>
    <s v="Private"/>
    <d v="2020-09-07T00:00:00"/>
    <d v="2020-10-07T00:00:00"/>
  </r>
  <r>
    <s v="Ofsted Social Care Provider Webpage"/>
    <s v="SC040105"/>
    <x v="0"/>
    <d v="2003-04-01T00:00:00"/>
    <s v="Active"/>
    <s v="REDACTED"/>
    <x v="3"/>
    <s v="Yorkshire and The Humber"/>
    <x v="95"/>
    <s v="Kingston upon Hull West and Hessle"/>
    <s v="Local Authority"/>
    <d v="2020-09-07T00:00:00"/>
    <d v="2020-10-15T00:00:00"/>
  </r>
  <r>
    <s v="Ofsted Social Care Provider Webpage"/>
    <n v="2528516"/>
    <x v="0"/>
    <d v="2019-05-30T00:00:00"/>
    <s v="Active"/>
    <s v="REDACTED"/>
    <x v="0"/>
    <s v="East of England"/>
    <x v="50"/>
    <s v="Suffolk Coastal"/>
    <s v="Private"/>
    <d v="2020-09-07T00:00:00"/>
    <d v="2020-10-07T00:00:00"/>
  </r>
  <r>
    <s v="Ofsted Social Care Provider Webpage"/>
    <s v="SC036740"/>
    <x v="2"/>
    <d v="2003-11-28T00:00:00"/>
    <s v="Active"/>
    <s v="REDACTED"/>
    <x v="4"/>
    <s v="East Midlands"/>
    <x v="20"/>
    <s v="Broxtowe"/>
    <s v="Local Authority"/>
    <d v="2020-09-07T00:00:00"/>
    <d v="2020-10-15T00:00:00"/>
  </r>
  <r>
    <s v="Ofsted Social Care Provider Webpage"/>
    <s v="SC448209"/>
    <x v="3"/>
    <d v="2012-07-27T00:00:00"/>
    <s v="Active"/>
    <s v="REDACTED"/>
    <x v="6"/>
    <s v="West Midlands"/>
    <x v="55"/>
    <s v="The Wrekin"/>
    <s v="Private"/>
    <d v="2020-10-07T00:00:00"/>
    <d v="2020-11-09T00:00:00"/>
  </r>
  <r>
    <s v="Ofsted Social Care Provider Webpage"/>
    <n v="1264756"/>
    <x v="0"/>
    <d v="2017-10-21T00:00:00"/>
    <s v="Active"/>
    <s v="REDACTED"/>
    <x v="1"/>
    <s v="South West"/>
    <x v="10"/>
    <s v="Tiverton and Honiton"/>
    <s v="Private"/>
    <d v="2020-10-07T00:00:00"/>
    <d v="2020-11-11T00:00:00"/>
  </r>
  <r>
    <s v="Ofsted Social Care Provider Webpage"/>
    <s v="SC035380"/>
    <x v="0"/>
    <d v="2003-03-25T00:00:00"/>
    <s v="Active"/>
    <s v="REDACTED"/>
    <x v="3"/>
    <s v="North East"/>
    <x v="82"/>
    <s v="Stockton South"/>
    <s v="Local Authority"/>
    <d v="2020-10-07T00:00:00"/>
    <d v="2020-11-20T00:00:00"/>
  </r>
  <r>
    <s v="Ofsted Social Care Provider Webpage"/>
    <s v="SC489820"/>
    <x v="0"/>
    <d v="2015-10-09T00:00:00"/>
    <s v="Active"/>
    <s v="REDACTED"/>
    <x v="1"/>
    <s v="South West"/>
    <x v="96"/>
    <s v="South Dorset"/>
    <s v="Private"/>
    <d v="2020-10-07T00:00:00"/>
    <d v="2020-11-03T00:00:00"/>
  </r>
  <r>
    <s v="Ofsted Social Care Provider Webpage"/>
    <s v="SC458352"/>
    <x v="0"/>
    <d v="2013-03-14T00:00:00"/>
    <s v="Active"/>
    <s v="REDACTED"/>
    <x v="1"/>
    <s v="South West"/>
    <x v="10"/>
    <s v="Newton Abbot"/>
    <s v="Private"/>
    <d v="2020-10-07T00:00:00"/>
    <d v="2020-11-19T00:00:00"/>
  </r>
  <r>
    <s v="Ofsted Social Care Provider Webpage"/>
    <n v="2563818"/>
    <x v="0"/>
    <d v="2020-01-03T00:00:00"/>
    <s v="Active"/>
    <s v="REDACTED"/>
    <x v="6"/>
    <s v="West Midlands"/>
    <x v="55"/>
    <s v="North Shropshire"/>
    <s v="Private"/>
    <d v="2020-10-07T00:00:00"/>
    <d v="2020-11-13T00:00:00"/>
  </r>
  <r>
    <s v="Ofsted Social Care Provider Webpage"/>
    <n v="2567607"/>
    <x v="0"/>
    <d v="2020-02-03T00:00:00"/>
    <s v="Active"/>
    <s v="REDACTED"/>
    <x v="4"/>
    <s v="East Midlands"/>
    <x v="4"/>
    <s v="Loughborough"/>
    <s v="Private"/>
    <d v="2020-10-07T00:00:00"/>
    <d v="2020-11-16T00:00:00"/>
  </r>
  <r>
    <s v="Ofsted Social Care Provider Webpage"/>
    <n v="1241975"/>
    <x v="0"/>
    <d v="2017-03-12T00:00:00"/>
    <s v="Active"/>
    <s v="REDACTED"/>
    <x v="6"/>
    <s v="West Midlands"/>
    <x v="66"/>
    <s v="Dudley North"/>
    <s v="Private"/>
    <d v="2020-10-07T00:00:00"/>
    <d v="2020-11-05T00:00:00"/>
  </r>
  <r>
    <s v="Ofsted Social Care Provider Webpage"/>
    <n v="2548569"/>
    <x v="0"/>
    <d v="2019-10-01T00:00:00"/>
    <s v="Active"/>
    <s v="REDACTED"/>
    <x v="6"/>
    <s v="West Midlands"/>
    <x v="90"/>
    <s v="Mid Worcestershire"/>
    <s v="Private"/>
    <d v="2020-10-07T00:00:00"/>
    <d v="2020-10-30T00:00:00"/>
  </r>
  <r>
    <s v="Ofsted Social Care Provider Webpage"/>
    <s v="SC486398"/>
    <x v="0"/>
    <d v="2015-05-14T00:00:00"/>
    <s v="Active"/>
    <s v="REDACTED"/>
    <x v="4"/>
    <s v="East Midlands"/>
    <x v="4"/>
    <s v="Harborough"/>
    <s v="Private"/>
    <d v="2020-10-07T00:00:00"/>
    <d v="2020-11-12T00:00:00"/>
  </r>
  <r>
    <s v="Ofsted Social Care Provider Webpage"/>
    <s v="SC029560"/>
    <x v="0"/>
    <d v="2002-05-22T00:00:00"/>
    <s v="Active"/>
    <s v="REDACTED"/>
    <x v="0"/>
    <s v="East of England"/>
    <x v="9"/>
    <s v="Rochford and Southend East"/>
    <s v="Private"/>
    <d v="2020-10-07T00:00:00"/>
    <d v="2020-11-05T00:00:00"/>
  </r>
  <r>
    <s v="Ofsted Social Care Provider Webpage"/>
    <n v="1256658"/>
    <x v="0"/>
    <d v="2017-07-04T00:00:00"/>
    <s v="Active"/>
    <s v="REDACTED"/>
    <x v="5"/>
    <s v="North West"/>
    <x v="97"/>
    <s v="Halton"/>
    <s v="Private"/>
    <d v="2020-10-07T00:00:00"/>
    <d v="2020-11-09T00:00:00"/>
  </r>
  <r>
    <s v="Ofsted Social Care Provider Webpage"/>
    <s v="SC437171"/>
    <x v="0"/>
    <d v="2011-09-28T00:00:00"/>
    <s v="Active"/>
    <s v="REDACTED"/>
    <x v="1"/>
    <s v="South West"/>
    <x v="31"/>
    <s v="North Swindon"/>
    <s v="Private"/>
    <d v="2020-10-07T00:00:00"/>
    <d v="2020-11-09T00:00:00"/>
  </r>
  <r>
    <s v="Ofsted Social Care Provider Webpage"/>
    <n v="1244493"/>
    <x v="0"/>
    <d v="2017-02-10T00:00:00"/>
    <s v="Active"/>
    <s v="REDACTED"/>
    <x v="5"/>
    <s v="North West"/>
    <x v="87"/>
    <s v="Stalybridge and Hyde"/>
    <s v="Private"/>
    <d v="2020-10-07T00:00:00"/>
    <d v="2020-11-17T00:00:00"/>
  </r>
  <r>
    <s v="Ofsted Social Care Provider Webpage"/>
    <s v="SC007943"/>
    <x v="5"/>
    <d v="2002-02-13T00:00:00"/>
    <s v="Active"/>
    <s v="Welburn Hall School"/>
    <x v="3"/>
    <s v="Yorkshire and The Humber"/>
    <x v="60"/>
    <s v="Thirsk and Malton"/>
    <s v="Local Authority"/>
    <d v="2020-10-07T00:00:00"/>
    <d v="2020-11-12T00:00:00"/>
  </r>
  <r>
    <s v="Ofsted Social Care Provider Webpage"/>
    <s v="SC474179"/>
    <x v="0"/>
    <d v="2014-04-29T00:00:00"/>
    <s v="Active"/>
    <s v="REDACTED"/>
    <x v="6"/>
    <s v="West Midlands"/>
    <x v="46"/>
    <s v="Burton"/>
    <s v="Private"/>
    <d v="2020-10-07T00:00:00"/>
    <d v="2020-11-09T00:00:00"/>
  </r>
  <r>
    <s v="Ofsted Social Care Provider Webpage"/>
    <n v="1232658"/>
    <x v="0"/>
    <d v="2016-10-17T00:00:00"/>
    <s v="Active"/>
    <s v="REDACTED"/>
    <x v="5"/>
    <s v="North West"/>
    <x v="91"/>
    <s v="Congleton"/>
    <s v="Private"/>
    <d v="2020-10-07T00:00:00"/>
    <d v="2020-11-11T00:00:00"/>
  </r>
  <r>
    <s v="Ofsted Social Care Provider Webpage"/>
    <n v="1271375"/>
    <x v="0"/>
    <d v="2018-03-12T00:00:00"/>
    <s v="Active"/>
    <s v="REDACTED"/>
    <x v="5"/>
    <s v="North West"/>
    <x v="16"/>
    <s v="Preston"/>
    <s v="Private"/>
    <d v="2020-10-07T00:00:00"/>
    <d v="2020-11-27T00:00:00"/>
  </r>
  <r>
    <s v="Ofsted Social Care Provider Webpage"/>
    <s v="SC481295"/>
    <x v="0"/>
    <d v="2014-09-23T00:00:00"/>
    <s v="Active"/>
    <s v="REDACTED"/>
    <x v="5"/>
    <s v="North West"/>
    <x v="79"/>
    <s v="Eddisbury"/>
    <s v="Private"/>
    <d v="2020-10-07T00:00:00"/>
    <d v="2020-11-06T00:00:00"/>
  </r>
  <r>
    <s v="Ofsted Social Care Provider Webpage"/>
    <s v="SC386258"/>
    <x v="0"/>
    <d v="2008-12-15T00:00:00"/>
    <s v="Active"/>
    <s v="REDACTED"/>
    <x v="0"/>
    <s v="East of England"/>
    <x v="50"/>
    <s v="Ipswich"/>
    <s v="Private"/>
    <d v="2020-10-07T00:00:00"/>
    <d v="2020-11-09T00:00:00"/>
  </r>
  <r>
    <s v="Ofsted Social Care Provider Webpage"/>
    <n v="1159397"/>
    <x v="0"/>
    <d v="2016-04-04T00:00:00"/>
    <s v="Active"/>
    <s v="REDACTED"/>
    <x v="3"/>
    <s v="Yorkshire and The Humber"/>
    <x v="60"/>
    <s v="Selby and Ainsty"/>
    <s v="Private"/>
    <d v="2020-10-07T00:00:00"/>
    <d v="2020-11-12T00:00:00"/>
  </r>
  <r>
    <s v="Ofsted Social Care Provider Webpage"/>
    <n v="1225136"/>
    <x v="0"/>
    <d v="2016-05-18T00:00:00"/>
    <s v="Active"/>
    <s v="REDACTED"/>
    <x v="5"/>
    <s v="North West"/>
    <x v="16"/>
    <s v="Preston"/>
    <s v="Private"/>
    <d v="2020-10-07T00:00:00"/>
    <d v="2020-11-11T00:00:00"/>
  </r>
  <r>
    <s v="Ofsted Social Care Provider Webpage"/>
    <s v="SC378600"/>
    <x v="0"/>
    <d v="2008-07-24T00:00:00"/>
    <s v="Active"/>
    <s v="REDACTED"/>
    <x v="4"/>
    <s v="East Midlands"/>
    <x v="4"/>
    <s v="Bosworth"/>
    <s v="Private"/>
    <d v="2020-10-07T00:00:00"/>
    <d v="2020-11-11T00:00:00"/>
  </r>
  <r>
    <s v="Ofsted Social Care Provider Webpage"/>
    <s v="SC489610"/>
    <x v="0"/>
    <d v="2015-05-29T00:00:00"/>
    <s v="Active"/>
    <s v="REDACTED"/>
    <x v="4"/>
    <s v="East Midlands"/>
    <x v="14"/>
    <s v="South Derbyshire"/>
    <s v="Private"/>
    <d v="2020-10-07T00:00:00"/>
    <d v="2020-11-10T00:00:00"/>
  </r>
  <r>
    <s v="Ofsted Social Care Provider Webpage"/>
    <s v="SC456800"/>
    <x v="0"/>
    <d v="2013-02-14T00:00:00"/>
    <s v="Active"/>
    <s v="REDACTED"/>
    <x v="5"/>
    <s v="North West"/>
    <x v="15"/>
    <s v="Warrington North"/>
    <s v="Private"/>
    <d v="2020-10-07T00:00:00"/>
    <d v="2020-11-17T00:00:00"/>
  </r>
  <r>
    <s v="Ofsted Social Care Provider Webpage"/>
    <s v="SC403890"/>
    <x v="0"/>
    <d v="2010-05-20T00:00:00"/>
    <s v="Active"/>
    <s v="REDACTED"/>
    <x v="3"/>
    <s v="Yorkshire and The Humber"/>
    <x v="26"/>
    <s v="Leeds West"/>
    <s v="Private"/>
    <d v="2020-12-07T00:00:00"/>
    <d v="2021-01-12T00:00:00"/>
  </r>
  <r>
    <s v="Ofsted Social Care Provider Webpage"/>
    <s v="SC025938"/>
    <x v="0"/>
    <d v="1996-08-09T00:00:00"/>
    <s v="Active"/>
    <s v="REDACTED"/>
    <x v="7"/>
    <s v="London"/>
    <x v="98"/>
    <s v="Ilford South"/>
    <s v="Private"/>
    <d v="2020-12-07T00:00:00"/>
    <d v="2021-01-14T00:00:00"/>
  </r>
  <r>
    <s v="Ofsted Social Care Provider Webpage"/>
    <s v="SC066458"/>
    <x v="0"/>
    <d v="2006-03-30T00:00:00"/>
    <s v="Active"/>
    <s v="REDACTED"/>
    <x v="3"/>
    <s v="Yorkshire and The Humber"/>
    <x v="26"/>
    <s v="Leeds North East"/>
    <s v="Private"/>
    <d v="2020-12-07T00:00:00"/>
    <d v="2021-01-13T00:00:00"/>
  </r>
  <r>
    <s v="Ofsted Social Care Provider Webpage"/>
    <n v="1240802"/>
    <x v="0"/>
    <d v="2016-07-13T00:00:00"/>
    <s v="Active"/>
    <s v="REDACTED"/>
    <x v="1"/>
    <s v="South West"/>
    <x v="30"/>
    <s v="Taunton Deane"/>
    <s v="Private"/>
    <d v="2020-09-08T00:00:00"/>
    <d v="2020-10-26T00:00:00"/>
  </r>
  <r>
    <s v="Ofsted Social Care Provider Webpage"/>
    <s v="SC368032"/>
    <x v="0"/>
    <d v="2008-03-03T00:00:00"/>
    <s v="Resigned"/>
    <s v="REDACTED"/>
    <x v="6"/>
    <s v="West Midlands"/>
    <x v="99"/>
    <s v="Aldridge-Brownhills"/>
    <s v="Private"/>
    <d v="2020-09-08T00:00:00"/>
    <d v="2020-11-02T00:00:00"/>
  </r>
  <r>
    <s v="Ofsted Social Care Provider Webpage"/>
    <n v="1253711"/>
    <x v="0"/>
    <d v="2017-07-10T00:00:00"/>
    <s v="Active"/>
    <s v="REDACTED"/>
    <x v="6"/>
    <s v="West Midlands"/>
    <x v="34"/>
    <s v="Birmingham, Selly Oak"/>
    <s v="Private"/>
    <d v="2020-09-08T00:00:00"/>
    <d v="2020-10-12T00:00:00"/>
  </r>
  <r>
    <s v="Ofsted Social Care Provider Webpage"/>
    <s v="SC405985"/>
    <x v="0"/>
    <d v="2010-03-02T00:00:00"/>
    <s v="Active"/>
    <s v="REDACTED"/>
    <x v="0"/>
    <s v="East of England"/>
    <x v="41"/>
    <s v="Witham"/>
    <s v="Private"/>
    <d v="2020-09-08T00:00:00"/>
    <d v="2020-10-13T00:00:00"/>
  </r>
  <r>
    <s v="Ofsted Social Care Provider Webpage"/>
    <s v="SC406636"/>
    <x v="0"/>
    <d v="2010-03-24T00:00:00"/>
    <s v="Active"/>
    <s v="REDACTED"/>
    <x v="5"/>
    <s v="North West"/>
    <x v="24"/>
    <s v="St Helens North"/>
    <s v="Private"/>
    <d v="2020-09-08T00:00:00"/>
    <d v="2020-11-03T00:00:00"/>
  </r>
  <r>
    <s v="Ofsted Social Care Provider Webpage"/>
    <s v="SC478134"/>
    <x v="0"/>
    <d v="2014-06-24T00:00:00"/>
    <s v="Active"/>
    <s v="REDACTED"/>
    <x v="6"/>
    <s v="West Midlands"/>
    <x v="90"/>
    <s v="West Worcestershire"/>
    <s v="Private"/>
    <d v="2020-09-08T00:00:00"/>
    <d v="2020-10-07T00:00:00"/>
  </r>
  <r>
    <s v="Ofsted Social Care Provider Webpage"/>
    <n v="1234166"/>
    <x v="0"/>
    <d v="2016-09-20T00:00:00"/>
    <s v="Active"/>
    <s v="REDACTED"/>
    <x v="7"/>
    <s v="London"/>
    <x v="100"/>
    <s v="West Ham"/>
    <s v="Private"/>
    <d v="2020-09-08T00:00:00"/>
    <d v="2020-10-07T00:00:00"/>
  </r>
  <r>
    <s v="Ofsted Social Care Provider Webpage"/>
    <n v="1264438"/>
    <x v="0"/>
    <d v="2017-12-13T00:00:00"/>
    <s v="Active"/>
    <s v="REDACTED"/>
    <x v="3"/>
    <s v="Yorkshire and The Humber"/>
    <x v="3"/>
    <s v="Don Valley"/>
    <s v="Private"/>
    <d v="2020-09-08T00:00:00"/>
    <d v="2020-10-15T00:00:00"/>
  </r>
  <r>
    <s v="Ofsted Social Care Provider Webpage"/>
    <n v="1247560"/>
    <x v="0"/>
    <d v="2017-03-09T00:00:00"/>
    <s v="Active"/>
    <s v="REDACTED"/>
    <x v="5"/>
    <s v="North West"/>
    <x v="78"/>
    <s v="Westmorland and Lonsdale"/>
    <s v="Private"/>
    <d v="2020-09-08T00:00:00"/>
    <d v="2020-10-30T00:00:00"/>
  </r>
  <r>
    <s v="Ofsted Social Care Provider Webpage"/>
    <s v="SC487549"/>
    <x v="0"/>
    <d v="2015-06-12T00:00:00"/>
    <s v="Active"/>
    <s v="REDACTED"/>
    <x v="5"/>
    <s v="North West"/>
    <x v="78"/>
    <s v="Penrith and The Border"/>
    <s v="Private"/>
    <d v="2020-09-08T00:00:00"/>
    <d v="2020-10-13T00:00:00"/>
  </r>
  <r>
    <s v="Ofsted Social Care Provider Webpage"/>
    <s v="SC483533"/>
    <x v="0"/>
    <d v="2015-01-27T00:00:00"/>
    <s v="Active"/>
    <s v="REDACTED"/>
    <x v="5"/>
    <s v="North West"/>
    <x v="32"/>
    <s v="Bolton North East"/>
    <s v="Voluntary"/>
    <d v="2020-09-08T00:00:00"/>
    <d v="2020-10-15T00:00:00"/>
  </r>
  <r>
    <s v="Ofsted Social Care Provider Webpage"/>
    <n v="1234990"/>
    <x v="0"/>
    <d v="2017-05-02T00:00:00"/>
    <s v="Active"/>
    <s v="REDACTED"/>
    <x v="3"/>
    <s v="North East"/>
    <x v="73"/>
    <s v="Newcastle upon Tyne East"/>
    <s v="Voluntary"/>
    <d v="2020-09-08T00:00:00"/>
    <d v="2020-10-15T00:00:00"/>
  </r>
  <r>
    <s v="Ofsted Social Care Provider Webpage"/>
    <s v="SC033896"/>
    <x v="0"/>
    <d v="2003-03-06T00:00:00"/>
    <s v="Active"/>
    <s v="REDACTED"/>
    <x v="2"/>
    <s v="South East"/>
    <x v="13"/>
    <s v="Oxford West and Abingdon"/>
    <s v="Local Authority"/>
    <d v="2020-09-08T00:00:00"/>
    <d v="2020-10-06T00:00:00"/>
  </r>
  <r>
    <s v="Ofsted Social Care Provider Webpage"/>
    <n v="1156098"/>
    <x v="0"/>
    <d v="2016-01-06T00:00:00"/>
    <s v="Active"/>
    <s v="REDACTED"/>
    <x v="5"/>
    <s v="North West"/>
    <x v="32"/>
    <s v="Bolton South East"/>
    <s v="Private"/>
    <d v="2020-09-08T00:00:00"/>
    <d v="2020-10-16T00:00:00"/>
  </r>
  <r>
    <s v="Ofsted Social Care Provider Webpage"/>
    <n v="1159884"/>
    <x v="0"/>
    <d v="2016-03-07T00:00:00"/>
    <s v="Active"/>
    <s v="REDACTED"/>
    <x v="3"/>
    <s v="North East"/>
    <x v="82"/>
    <s v="Stockton North"/>
    <s v="Private"/>
    <d v="2020-09-08T00:00:00"/>
    <d v="2020-11-03T00:00:00"/>
  </r>
  <r>
    <s v="Ofsted Social Care Provider Webpage"/>
    <s v="SC040631"/>
    <x v="0"/>
    <d v="2003-11-18T00:00:00"/>
    <s v="Active"/>
    <s v="REDACTED"/>
    <x v="2"/>
    <s v="South East"/>
    <x v="29"/>
    <s v="Esher and Walton"/>
    <s v="Local Authority"/>
    <d v="2020-09-08T00:00:00"/>
    <d v="2020-10-19T00:00:00"/>
  </r>
  <r>
    <s v="Ofsted Social Care Provider Webpage"/>
    <n v="2537149"/>
    <x v="0"/>
    <d v="2019-09-05T00:00:00"/>
    <s v="Active"/>
    <s v="REDACTED"/>
    <x v="1"/>
    <s v="South West"/>
    <x v="101"/>
    <s v="North Somerset"/>
    <s v="Private"/>
    <d v="2020-09-08T00:00:00"/>
    <d v="2020-10-08T00:00:00"/>
  </r>
  <r>
    <s v="Ofsted Social Care Provider Webpage"/>
    <s v="SC482415"/>
    <x v="0"/>
    <d v="2015-10-09T00:00:00"/>
    <s v="Active"/>
    <s v="REDACTED"/>
    <x v="3"/>
    <s v="Yorkshire and The Humber"/>
    <x v="26"/>
    <s v="Morley and Outwood"/>
    <s v="Private"/>
    <d v="2020-09-08T00:00:00"/>
    <d v="2020-10-14T00:00:00"/>
  </r>
  <r>
    <s v="Ofsted Social Care Provider Webpage"/>
    <s v="SC033174"/>
    <x v="0"/>
    <d v="2003-12-05T00:00:00"/>
    <s v="Active"/>
    <s v="REDACTED"/>
    <x v="2"/>
    <s v="South East"/>
    <x v="22"/>
    <s v="North East Hampshire"/>
    <s v="Local Authority"/>
    <d v="2020-09-08T00:00:00"/>
    <d v="2020-10-13T00:00:00"/>
  </r>
  <r>
    <s v="Ofsted Social Care Provider Webpage"/>
    <s v="SC033502"/>
    <x v="0"/>
    <d v="2003-06-26T00:00:00"/>
    <s v="Active"/>
    <s v="REDACTED"/>
    <x v="3"/>
    <s v="Yorkshire and The Humber"/>
    <x v="83"/>
    <s v="Bradford East"/>
    <s v="Local Authority"/>
    <d v="2020-09-08T00:00:00"/>
    <d v="2020-10-08T00:00:00"/>
  </r>
  <r>
    <s v="Ofsted Social Care Provider Webpage"/>
    <s v="SC000802"/>
    <x v="0"/>
    <d v="2001-05-02T00:00:00"/>
    <s v="Active"/>
    <s v="REDACTED"/>
    <x v="3"/>
    <s v="North East"/>
    <x v="102"/>
    <s v="Sedgefield"/>
    <s v="Private"/>
    <d v="2020-09-08T00:00:00"/>
    <d v="2020-10-20T00:00:00"/>
  </r>
  <r>
    <s v="Ofsted Social Care Provider Webpage"/>
    <s v="SC003884"/>
    <x v="0"/>
    <d v="2001-10-19T00:00:00"/>
    <s v="Active"/>
    <s v="REDACTED"/>
    <x v="1"/>
    <s v="South West"/>
    <x v="10"/>
    <s v="Newton Abbot"/>
    <s v="Private"/>
    <d v="2020-10-08T00:00:00"/>
    <d v="2020-11-16T00:00:00"/>
  </r>
  <r>
    <s v="Ofsted Social Care Provider Webpage"/>
    <n v="1254840"/>
    <x v="0"/>
    <d v="2018-01-05T00:00:00"/>
    <s v="Active"/>
    <s v="REDACTED"/>
    <x v="6"/>
    <s v="West Midlands"/>
    <x v="64"/>
    <s v="Wolverhampton South West"/>
    <s v="Private"/>
    <d v="2020-10-08T00:00:00"/>
    <d v="2020-11-09T00:00:00"/>
  </r>
  <r>
    <s v="Ofsted Social Care Provider Webpage"/>
    <n v="1242216"/>
    <x v="0"/>
    <d v="2016-09-22T00:00:00"/>
    <s v="Active"/>
    <s v="REDACTED"/>
    <x v="4"/>
    <s v="East Midlands"/>
    <x v="4"/>
    <s v="North West Leicestershire"/>
    <s v="Private"/>
    <d v="2020-10-08T00:00:00"/>
    <d v="2020-11-11T00:00:00"/>
  </r>
  <r>
    <s v="Ofsted Social Care Provider Webpage"/>
    <s v="SC394283"/>
    <x v="0"/>
    <d v="2009-05-13T00:00:00"/>
    <s v="Active"/>
    <s v="REDACTED"/>
    <x v="5"/>
    <s v="North West"/>
    <x v="35"/>
    <s v="Worsley and Eccles South"/>
    <s v="Local Authority"/>
    <d v="2020-10-08T00:00:00"/>
    <d v="2020-11-04T00:00:00"/>
  </r>
  <r>
    <s v="Ofsted Social Care Provider Webpage"/>
    <s v="SC064011"/>
    <x v="0"/>
    <d v="2005-04-11T00:00:00"/>
    <s v="Active"/>
    <s v="REDACTED"/>
    <x v="2"/>
    <s v="South East"/>
    <x v="52"/>
    <s v="Hastings and Rye"/>
    <s v="Private"/>
    <d v="2020-10-08T00:00:00"/>
    <d v="2020-12-08T00:00:00"/>
  </r>
  <r>
    <s v="Ofsted Social Care Provider Webpage"/>
    <n v="1234243"/>
    <x v="0"/>
    <d v="2016-05-27T00:00:00"/>
    <s v="Active"/>
    <s v="REDACTED"/>
    <x v="4"/>
    <s v="East Midlands"/>
    <x v="4"/>
    <s v="Charnwood"/>
    <s v="Private"/>
    <d v="2020-12-08T00:00:00"/>
    <d v="2021-01-20T00:00:00"/>
  </r>
  <r>
    <s v="Ofsted Social Care Provider Webpage"/>
    <n v="2517054"/>
    <x v="0"/>
    <d v="2020-02-11T00:00:00"/>
    <s v="Active"/>
    <s v="REDACTED"/>
    <x v="7"/>
    <s v="London"/>
    <x v="103"/>
    <s v="Lewisham, Deptford"/>
    <s v="Private"/>
    <d v="2020-12-08T00:00:00"/>
    <d v="2021-01-13T00:00:00"/>
  </r>
  <r>
    <s v="Ofsted Social Care Provider Webpage"/>
    <s v="SC023746"/>
    <x v="0"/>
    <d v="2001-06-26T00:00:00"/>
    <s v="Active"/>
    <s v="REDACTED"/>
    <x v="2"/>
    <s v="South East"/>
    <x v="2"/>
    <s v="South Thanet"/>
    <s v="Private"/>
    <d v="2020-12-08T00:00:00"/>
    <d v="2021-01-26T00:00:00"/>
  </r>
  <r>
    <s v="Ofsted Social Care Provider Webpage"/>
    <n v="2545733"/>
    <x v="0"/>
    <d v="2019-10-23T00:00:00"/>
    <s v="Active"/>
    <s v="REDACTED"/>
    <x v="5"/>
    <s v="North West"/>
    <x v="16"/>
    <s v="Fylde"/>
    <s v="Private"/>
    <d v="2020-12-08T00:00:00"/>
    <d v="2021-01-19T00:00:00"/>
  </r>
  <r>
    <s v="Ofsted Social Care Provider Webpage"/>
    <s v="SC068410"/>
    <x v="3"/>
    <d v="2006-11-17T00:00:00"/>
    <s v="Active"/>
    <s v="REDACTED"/>
    <x v="6"/>
    <s v="West Midlands"/>
    <x v="104"/>
    <s v="North Warwickshire"/>
    <s v="Private"/>
    <d v="2020-12-08T00:00:00"/>
    <d v="2021-01-22T00:00:00"/>
  </r>
  <r>
    <s v="Ofsted Social Care Provider Webpage"/>
    <n v="2580303"/>
    <x v="0"/>
    <d v="2020-04-24T00:00:00"/>
    <s v="Active"/>
    <s v="REDACTED"/>
    <x v="6"/>
    <s v="West Midlands"/>
    <x v="55"/>
    <s v="Ludlow"/>
    <s v="Private"/>
    <d v="2020-12-08T00:00:00"/>
    <d v="2021-01-15T00:00:00"/>
  </r>
  <r>
    <s v="Ofsted Social Care Provider Webpage"/>
    <s v="SC459857"/>
    <x v="0"/>
    <d v="2013-04-26T00:00:00"/>
    <s v="Active"/>
    <s v="REDACTED"/>
    <x v="7"/>
    <s v="London"/>
    <x v="77"/>
    <s v="Ealing Central and Acton"/>
    <s v="Voluntary"/>
    <d v="2020-12-08T00:00:00"/>
    <d v="2021-01-21T00:00:00"/>
  </r>
  <r>
    <s v="Ofsted Social Care Provider Webpage"/>
    <s v="SC031698"/>
    <x v="0"/>
    <d v="2003-07-31T00:00:00"/>
    <s v="Active"/>
    <s v="REDACTED"/>
    <x v="2"/>
    <s v="South East"/>
    <x v="52"/>
    <s v="Bexhill and Battle"/>
    <s v="Local Authority"/>
    <d v="2020-12-08T00:00:00"/>
    <d v="2021-01-27T00:00:00"/>
  </r>
  <r>
    <s v="Ofsted Social Care Provider Webpage"/>
    <s v="SC377825"/>
    <x v="0"/>
    <d v="2008-07-08T00:00:00"/>
    <s v="Active"/>
    <s v="REDACTED"/>
    <x v="6"/>
    <s v="West Midlands"/>
    <x v="34"/>
    <s v="Birmingham, Perry Barr"/>
    <s v="Private"/>
    <d v="2020-12-08T00:00:00"/>
    <d v="2021-01-25T00:00:00"/>
  </r>
  <r>
    <s v="Ofsted Social Care Provider Webpage"/>
    <s v="SC458141"/>
    <x v="0"/>
    <d v="2013-01-10T00:00:00"/>
    <s v="Active"/>
    <s v="REDACTED"/>
    <x v="0"/>
    <s v="East of England"/>
    <x v="19"/>
    <s v="Welwyn Hatfield"/>
    <s v="Local Authority"/>
    <d v="2020-12-08T00:00:00"/>
    <d v="2020-12-29T00:00:00"/>
  </r>
  <r>
    <s v="Ofsted Social Care Provider Webpage"/>
    <n v="1256973"/>
    <x v="0"/>
    <d v="2017-08-04T00:00:00"/>
    <s v="Active"/>
    <s v="REDACTED"/>
    <x v="2"/>
    <s v="South East"/>
    <x v="29"/>
    <s v="Esher and Walton"/>
    <s v="Private"/>
    <d v="2020-12-08T00:00:00"/>
    <d v="2021-01-15T00:00:00"/>
  </r>
  <r>
    <s v="Ofsted Social Care Provider Webpage"/>
    <s v="SC034746"/>
    <x v="0"/>
    <d v="2003-04-01T00:00:00"/>
    <s v="Active"/>
    <s v="REDACTED"/>
    <x v="3"/>
    <s v="Yorkshire and The Humber"/>
    <x v="95"/>
    <s v="Kingston upon Hull West and Hessle"/>
    <s v="Local Authority"/>
    <d v="2020-12-08T00:00:00"/>
    <d v="2021-01-25T00:00:00"/>
  </r>
  <r>
    <s v="Ofsted Social Care Provider Webpage"/>
    <s v="SC490365"/>
    <x v="0"/>
    <d v="2015-05-05T00:00:00"/>
    <s v="Active"/>
    <s v="REDACTED"/>
    <x v="7"/>
    <s v="London"/>
    <x v="105"/>
    <s v="Hackney North and Stoke Newington"/>
    <s v="Private"/>
    <d v="2020-12-08T00:00:00"/>
    <d v="2021-01-19T00:00:00"/>
  </r>
  <r>
    <s v="Ofsted Social Care Provider Webpage"/>
    <s v="SC014848"/>
    <x v="0"/>
    <d v="2001-07-01T00:00:00"/>
    <s v="Active"/>
    <s v="REDACTED"/>
    <x v="2"/>
    <s v="South East"/>
    <x v="12"/>
    <s v="Crawley"/>
    <s v="Private"/>
    <d v="2020-12-08T00:00:00"/>
    <d v="2021-01-27T00:00:00"/>
  </r>
  <r>
    <s v="Ofsted Social Care Provider Webpage"/>
    <s v="SC429748"/>
    <x v="0"/>
    <d v="2011-07-22T00:00:00"/>
    <s v="Active"/>
    <s v="REDACTED"/>
    <x v="0"/>
    <s v="East of England"/>
    <x v="50"/>
    <s v="South Suffolk"/>
    <s v="Private"/>
    <d v="2020-12-08T00:00:00"/>
    <d v="2021-01-19T00:00:00"/>
  </r>
  <r>
    <s v="Ofsted Social Care Provider Webpage"/>
    <n v="2552036"/>
    <x v="0"/>
    <d v="2020-01-13T00:00:00"/>
    <s v="Active"/>
    <s v="REDACTED"/>
    <x v="3"/>
    <s v="North East"/>
    <x v="73"/>
    <s v="Newcastle upon Tyne East"/>
    <s v="Private"/>
    <d v="2020-12-08T00:00:00"/>
    <d v="2021-01-07T00:00:00"/>
  </r>
  <r>
    <s v="Ofsted Social Care Provider Webpage"/>
    <n v="1259631"/>
    <x v="0"/>
    <d v="2017-10-13T00:00:00"/>
    <s v="Active"/>
    <s v="REDACTED"/>
    <x v="3"/>
    <s v="Yorkshire and The Humber"/>
    <x v="83"/>
    <s v="Bradford South"/>
    <s v="Private"/>
    <d v="2020-12-08T00:00:00"/>
    <d v="2021-01-25T00:00:00"/>
  </r>
  <r>
    <s v="Ofsted Social Care Provider Webpage"/>
    <n v="2546196"/>
    <x v="0"/>
    <d v="2019-09-26T00:00:00"/>
    <s v="Active"/>
    <s v="REDACTED"/>
    <x v="0"/>
    <s v="East of England"/>
    <x v="41"/>
    <s v="Clacton"/>
    <s v="Private"/>
    <d v="2020-12-08T00:00:00"/>
    <d v="2021-01-18T00:00:00"/>
  </r>
  <r>
    <s v="Ofsted Social Care Provider Webpage"/>
    <s v="SC482301"/>
    <x v="0"/>
    <d v="2014-09-22T00:00:00"/>
    <s v="Active"/>
    <s v="REDACTED"/>
    <x v="2"/>
    <s v="South East"/>
    <x v="22"/>
    <s v="Havant"/>
    <s v="Private"/>
    <d v="2020-12-08T00:00:00"/>
    <d v="2021-01-27T00:00:00"/>
  </r>
  <r>
    <s v="Ofsted Social Care Provider Webpage"/>
    <s v="SC372504"/>
    <x v="3"/>
    <d v="2009-08-14T00:00:00"/>
    <s v="Active"/>
    <s v="REDACTED"/>
    <x v="4"/>
    <s v="East Midlands"/>
    <x v="14"/>
    <s v="South Derbyshire"/>
    <s v="Private"/>
    <d v="2020-12-08T00:00:00"/>
    <d v="2021-01-18T00:00:00"/>
  </r>
  <r>
    <s v="Ofsted Social Care Provider Webpage"/>
    <n v="1258091"/>
    <x v="0"/>
    <d v="2017-08-20T00:00:00"/>
    <s v="Active"/>
    <s v="REDACTED"/>
    <x v="6"/>
    <s v="West Midlands"/>
    <x v="46"/>
    <s v="Tamworth"/>
    <s v="Private"/>
    <d v="2020-12-08T00:00:00"/>
    <d v="2021-01-15T00:00:00"/>
  </r>
  <r>
    <s v="Ofsted Social Care Provider Webpage"/>
    <s v="SC470797"/>
    <x v="0"/>
    <d v="2013-10-16T00:00:00"/>
    <s v="Active"/>
    <s v="REDACTED"/>
    <x v="5"/>
    <s v="North West"/>
    <x v="32"/>
    <s v="Bolton North East"/>
    <s v="Voluntary"/>
    <d v="2020-12-08T00:00:00"/>
    <d v="2021-01-19T00:00:00"/>
  </r>
  <r>
    <s v="Ofsted Social Care Provider Webpage"/>
    <s v="SC040628"/>
    <x v="0"/>
    <d v="2003-10-10T00:00:00"/>
    <s v="Active"/>
    <s v="REDACTED"/>
    <x v="2"/>
    <s v="South East"/>
    <x v="29"/>
    <s v="Epsom and Ewell"/>
    <s v="Local Authority"/>
    <d v="2020-12-08T00:00:00"/>
    <d v="2021-01-26T00:00:00"/>
  </r>
  <r>
    <s v="Ofsted Social Care Provider Webpage"/>
    <s v="SC480850"/>
    <x v="0"/>
    <d v="2014-11-11T00:00:00"/>
    <s v="Active"/>
    <s v="REDACTED"/>
    <x v="3"/>
    <s v="Yorkshire and The Humber"/>
    <x v="106"/>
    <s v="York Central"/>
    <s v="Private"/>
    <d v="2020-12-08T00:00:00"/>
    <d v="2021-01-21T00:00:00"/>
  </r>
  <r>
    <s v="Ofsted Social Care Provider Webpage"/>
    <s v="SC043732"/>
    <x v="0"/>
    <d v="2003-10-09T00:00:00"/>
    <s v="Active"/>
    <s v="REDACTED"/>
    <x v="4"/>
    <s v="East Midlands"/>
    <x v="40"/>
    <s v="Grantham and Stamford"/>
    <s v="Local Authority"/>
    <d v="2020-12-08T00:00:00"/>
    <d v="2021-01-18T00:00:00"/>
  </r>
  <r>
    <s v="Ofsted Social Care Provider Webpage"/>
    <s v="SC481221"/>
    <x v="0"/>
    <d v="2014-10-29T00:00:00"/>
    <s v="Active"/>
    <s v="REDACTED"/>
    <x v="0"/>
    <s v="East of England"/>
    <x v="50"/>
    <s v="West Suffolk"/>
    <s v="Private"/>
    <d v="2020-12-08T00:00:00"/>
    <d v="2021-01-05T00:00:00"/>
  </r>
  <r>
    <s v="Ofsted Social Care Provider Webpage"/>
    <n v="2541467"/>
    <x v="0"/>
    <d v="2019-12-16T00:00:00"/>
    <s v="Active"/>
    <s v="REDACTED"/>
    <x v="5"/>
    <s v="North West"/>
    <x v="69"/>
    <s v="Liverpool, Wavertree"/>
    <s v="Private"/>
    <d v="2020-12-08T00:00:00"/>
    <d v="2021-01-18T00:00:00"/>
  </r>
  <r>
    <s v="Ofsted Social Care Provider Webpage"/>
    <s v="SC482275"/>
    <x v="0"/>
    <d v="2014-11-14T00:00:00"/>
    <s v="Active"/>
    <s v="REDACTED"/>
    <x v="1"/>
    <s v="South West"/>
    <x v="62"/>
    <s v="Camborne and Redruth"/>
    <s v="Private"/>
    <d v="2020-12-08T00:00:00"/>
    <d v="2021-01-25T00:00:00"/>
  </r>
  <r>
    <s v="Ofsted Social Care Provider Webpage"/>
    <n v="2557141"/>
    <x v="0"/>
    <d v="2020-07-13T00:00:00"/>
    <s v="Active"/>
    <s v="REDACTED"/>
    <x v="7"/>
    <s v="London"/>
    <x v="107"/>
    <s v="Erith and Thamesmead"/>
    <s v="Private"/>
    <d v="2020-12-08T00:00:00"/>
    <d v="2021-01-19T00:00:00"/>
  </r>
  <r>
    <s v="Ofsted Social Care Provider Webpage"/>
    <n v="2552727"/>
    <x v="0"/>
    <d v="2019-12-02T00:00:00"/>
    <s v="Active"/>
    <s v="REDACTED"/>
    <x v="0"/>
    <s v="East of England"/>
    <x v="50"/>
    <s v="South Suffolk"/>
    <s v="Private"/>
    <d v="2020-12-08T00:00:00"/>
    <d v="2021-01-08T00:00:00"/>
  </r>
  <r>
    <s v="Ofsted Social Care Provider Webpage"/>
    <n v="1155757"/>
    <x v="0"/>
    <d v="2015-05-18T00:00:00"/>
    <s v="Active"/>
    <s v="REDACTED"/>
    <x v="3"/>
    <s v="North East"/>
    <x v="65"/>
    <s v="Wansbeck"/>
    <s v="Local Authority"/>
    <d v="2020-09-09T00:00:00"/>
    <d v="2020-10-07T00:00:00"/>
  </r>
  <r>
    <s v="Ofsted Social Care Provider Webpage"/>
    <s v="SC489187"/>
    <x v="0"/>
    <d v="2015-10-08T00:00:00"/>
    <s v="Active"/>
    <s v="REDACTED"/>
    <x v="3"/>
    <s v="North East"/>
    <x v="84"/>
    <s v="Redcar"/>
    <s v="Private"/>
    <d v="2020-09-09T00:00:00"/>
    <d v="2020-10-15T00:00:00"/>
  </r>
  <r>
    <s v="Ofsted Social Care Provider Webpage"/>
    <s v="SC457488"/>
    <x v="0"/>
    <d v="2013-02-14T00:00:00"/>
    <s v="Active"/>
    <s v="REDACTED"/>
    <x v="6"/>
    <s v="West Midlands"/>
    <x v="104"/>
    <s v="Stratford-on-Avon"/>
    <s v="Private"/>
    <d v="2020-09-09T00:00:00"/>
    <d v="2020-10-13T00:00:00"/>
  </r>
  <r>
    <s v="Ofsted Social Care Provider Webpage"/>
    <n v="1277079"/>
    <x v="0"/>
    <d v="2018-04-16T00:00:00"/>
    <s v="Active"/>
    <s v="REDACTED"/>
    <x v="3"/>
    <s v="Yorkshire and The Humber"/>
    <x v="23"/>
    <s v="Calder Valley"/>
    <s v="Private"/>
    <d v="2020-09-09T00:00:00"/>
    <d v="2020-10-09T00:00:00"/>
  </r>
  <r>
    <s v="Ofsted Social Care Provider Webpage"/>
    <s v="SC040509"/>
    <x v="0"/>
    <d v="2004-02-25T00:00:00"/>
    <s v="Active"/>
    <s v="REDACTED"/>
    <x v="5"/>
    <s v="North West"/>
    <x v="35"/>
    <s v="Blackley and Broughton"/>
    <s v="Local Authority"/>
    <d v="2020-09-09T00:00:00"/>
    <d v="2020-10-28T00:00:00"/>
  </r>
  <r>
    <s v="Ofsted Social Care Provider Webpage"/>
    <s v="SC035428"/>
    <x v="0"/>
    <d v="2004-01-05T00:00:00"/>
    <s v="Active"/>
    <s v="REDACTED"/>
    <x v="5"/>
    <s v="North West"/>
    <x v="16"/>
    <s v="Wyre and Preston North"/>
    <s v="Local Authority"/>
    <d v="2020-09-09T00:00:00"/>
    <d v="2020-10-21T00:00:00"/>
  </r>
  <r>
    <s v="Ofsted Social Care Provider Webpage"/>
    <s v="SC034953"/>
    <x v="0"/>
    <d v="2003-08-05T00:00:00"/>
    <s v="Active"/>
    <s v="REDACTED"/>
    <x v="3"/>
    <s v="Yorkshire and The Humber"/>
    <x v="23"/>
    <s v="Halifax"/>
    <s v="Local Authority"/>
    <d v="2020-09-09T00:00:00"/>
    <d v="2020-10-14T00:00:00"/>
  </r>
  <r>
    <s v="Ofsted Social Care Provider Webpage"/>
    <s v="SC454900"/>
    <x v="0"/>
    <d v="2012-11-23T00:00:00"/>
    <s v="Active"/>
    <s v="REDACTED"/>
    <x v="1"/>
    <s v="South West"/>
    <x v="27"/>
    <s v="South West Devon"/>
    <s v="Local Authority"/>
    <d v="2020-09-09T00:00:00"/>
    <d v="2020-10-19T00:00:00"/>
  </r>
  <r>
    <s v="Ofsted Social Care Provider Webpage"/>
    <s v="SC483958"/>
    <x v="0"/>
    <d v="2014-11-11T00:00:00"/>
    <s v="Active"/>
    <s v="REDACTED"/>
    <x v="6"/>
    <s v="West Midlands"/>
    <x v="66"/>
    <s v="Halesowen and Rowley Regis"/>
    <s v="Private"/>
    <d v="2020-09-09T00:00:00"/>
    <d v="2020-10-07T00:00:00"/>
  </r>
  <r>
    <s v="Ofsted Social Care Provider Webpage"/>
    <s v="SC489970"/>
    <x v="0"/>
    <d v="2015-07-28T00:00:00"/>
    <s v="Active"/>
    <s v="REDACTED"/>
    <x v="4"/>
    <s v="East Midlands"/>
    <x v="4"/>
    <s v="Bosworth"/>
    <s v="Private"/>
    <d v="2020-09-09T00:00:00"/>
    <d v="2020-11-09T00:00:00"/>
  </r>
  <r>
    <s v="Ofsted Social Care Provider Webpage"/>
    <n v="1253623"/>
    <x v="0"/>
    <d v="2017-07-07T00:00:00"/>
    <s v="Active"/>
    <s v="REDACTED"/>
    <x v="6"/>
    <s v="West Midlands"/>
    <x v="34"/>
    <s v="Birmingham, Hall Green"/>
    <s v="Private"/>
    <d v="2020-09-09T00:00:00"/>
    <d v="2020-10-16T00:00:00"/>
  </r>
  <r>
    <s v="Ofsted Social Care Provider Webpage"/>
    <n v="1271998"/>
    <x v="0"/>
    <d v="2018-05-23T00:00:00"/>
    <s v="Active"/>
    <s v="REDACTED"/>
    <x v="5"/>
    <s v="North West"/>
    <x v="16"/>
    <s v="Preston"/>
    <s v="Private"/>
    <d v="2020-09-09T00:00:00"/>
    <d v="2020-11-17T00:00:00"/>
  </r>
  <r>
    <s v="Ofsted Social Care Provider Webpage"/>
    <n v="1227060"/>
    <x v="3"/>
    <d v="2015-12-09T00:00:00"/>
    <s v="Active"/>
    <s v="REDACTED"/>
    <x v="3"/>
    <s v="Yorkshire and The Humber"/>
    <x v="60"/>
    <s v="Skipton and Ripon"/>
    <s v="Private"/>
    <d v="2020-09-09T00:00:00"/>
    <d v="2020-11-04T00:00:00"/>
  </r>
  <r>
    <s v="Ofsted Social Care Provider Webpage"/>
    <n v="2509684"/>
    <x v="0"/>
    <d v="2018-11-30T00:00:00"/>
    <s v="Active"/>
    <s v="REDACTED"/>
    <x v="1"/>
    <s v="South West"/>
    <x v="30"/>
    <s v="Yeovil"/>
    <s v="Private"/>
    <d v="2020-09-09T00:00:00"/>
    <d v="2020-10-14T00:00:00"/>
  </r>
  <r>
    <s v="Ofsted Social Care Provider Webpage"/>
    <n v="2509300"/>
    <x v="0"/>
    <d v="2019-03-25T00:00:00"/>
    <s v="Active"/>
    <s v="REDACTED"/>
    <x v="6"/>
    <s v="West Midlands"/>
    <x v="104"/>
    <s v="Rugby"/>
    <s v="Private"/>
    <d v="2020-09-09T00:00:00"/>
    <d v="2020-10-07T00:00:00"/>
  </r>
  <r>
    <s v="Ofsted Social Care Provider Webpage"/>
    <s v="SC037910"/>
    <x v="0"/>
    <d v="2003-12-09T00:00:00"/>
    <s v="Active"/>
    <s v="REDACTED"/>
    <x v="2"/>
    <s v="South East"/>
    <x v="22"/>
    <s v="Basingstoke"/>
    <s v="Local Authority"/>
    <d v="2020-09-09T00:00:00"/>
    <d v="2020-10-06T00:00:00"/>
  </r>
  <r>
    <s v="Ofsted Social Care Provider Webpage"/>
    <n v="1246521"/>
    <x v="0"/>
    <d v="2016-11-22T00:00:00"/>
    <s v="Active"/>
    <s v="REDACTED"/>
    <x v="2"/>
    <s v="South East"/>
    <x v="22"/>
    <s v="Meon Valley"/>
    <s v="Private"/>
    <d v="2020-09-09T00:00:00"/>
    <d v="2020-10-06T00:00:00"/>
  </r>
  <r>
    <s v="Ofsted Social Care Provider Webpage"/>
    <n v="1229766"/>
    <x v="3"/>
    <d v="2016-01-14T00:00:00"/>
    <s v="Active"/>
    <s v="REDACTED"/>
    <x v="0"/>
    <s v="East of England"/>
    <x v="48"/>
    <s v="South Cambridgeshire"/>
    <s v="Private"/>
    <d v="2020-09-09T00:00:00"/>
    <d v="2020-10-14T00:00:00"/>
  </r>
  <r>
    <s v="Ofsted Social Care Provider Webpage"/>
    <n v="1244413"/>
    <x v="0"/>
    <d v="2017-02-03T00:00:00"/>
    <s v="Active"/>
    <s v="REDACTED"/>
    <x v="3"/>
    <s v="North East"/>
    <x v="82"/>
    <s v="Stockton North"/>
    <s v="Private"/>
    <d v="2020-09-09T00:00:00"/>
    <d v="2020-10-26T00:00:00"/>
  </r>
  <r>
    <s v="Ofsted Social Care Provider Webpage"/>
    <s v="SC022444"/>
    <x v="0"/>
    <d v="2001-09-26T00:00:00"/>
    <s v="Active"/>
    <s v="REDACTED"/>
    <x v="5"/>
    <s v="North West"/>
    <x v="24"/>
    <s v="St Helens South and Whiston"/>
    <s v="Private"/>
    <d v="2020-09-09T00:00:00"/>
    <d v="2020-10-08T00:00:00"/>
  </r>
  <r>
    <s v="Ofsted Social Care Provider Webpage"/>
    <n v="2538285"/>
    <x v="0"/>
    <d v="2019-11-26T00:00:00"/>
    <s v="Active"/>
    <s v="REDACTED"/>
    <x v="5"/>
    <s v="North West"/>
    <x v="16"/>
    <s v="Hyndburn"/>
    <s v="Private"/>
    <d v="2020-09-09T00:00:00"/>
    <d v="2020-10-27T00:00:00"/>
  </r>
  <r>
    <s v="Ofsted Social Care Provider Webpage"/>
    <n v="2484443"/>
    <x v="0"/>
    <d v="2018-08-20T00:00:00"/>
    <s v="Active"/>
    <s v="REDACTED"/>
    <x v="1"/>
    <s v="South West"/>
    <x v="30"/>
    <s v="Somerton and Frome"/>
    <s v="Private"/>
    <d v="2020-09-09T00:00:00"/>
    <d v="2020-10-21T00:00:00"/>
  </r>
  <r>
    <s v="Ofsted Social Care Provider Webpage"/>
    <n v="2537782"/>
    <x v="0"/>
    <d v="2019-10-18T00:00:00"/>
    <s v="Active"/>
    <s v="REDACTED"/>
    <x v="0"/>
    <s v="East of England"/>
    <x v="33"/>
    <s v="North Norfolk"/>
    <s v="Private"/>
    <d v="2020-09-09T00:00:00"/>
    <d v="2020-10-07T00:00:00"/>
  </r>
  <r>
    <s v="Ofsted Social Care Provider Webpage"/>
    <s v="SC476270"/>
    <x v="0"/>
    <d v="2014-02-28T00:00:00"/>
    <s v="Active"/>
    <s v="REDACTED"/>
    <x v="6"/>
    <s v="West Midlands"/>
    <x v="99"/>
    <s v="Aldridge-Brownhills"/>
    <s v="Private"/>
    <d v="2020-09-09T00:00:00"/>
    <d v="2020-10-27T00:00:00"/>
  </r>
  <r>
    <s v="Ofsted Social Care Provider Webpage"/>
    <s v="SC447930"/>
    <x v="0"/>
    <d v="2012-05-28T00:00:00"/>
    <s v="Active"/>
    <s v="REDACTED"/>
    <x v="5"/>
    <s v="North West"/>
    <x v="15"/>
    <s v="Warrington South"/>
    <s v="Local Authority"/>
    <d v="2020-09-09T00:00:00"/>
    <d v="2020-10-08T00:00:00"/>
  </r>
  <r>
    <s v="Ofsted Social Care Provider Webpage"/>
    <s v="SC042967"/>
    <x v="0"/>
    <d v="2004-02-20T00:00:00"/>
    <s v="Active"/>
    <s v="REDACTED"/>
    <x v="4"/>
    <s v="East Midlands"/>
    <x v="40"/>
    <s v="South Holland and The Deepings"/>
    <s v="Local Authority"/>
    <d v="2020-09-09T00:00:00"/>
    <d v="2020-10-27T00:00:00"/>
  </r>
  <r>
    <s v="Ofsted Social Care Provider Webpage"/>
    <s v="SC366002"/>
    <x v="0"/>
    <d v="2008-01-23T00:00:00"/>
    <s v="Active"/>
    <s v="REDACTED"/>
    <x v="5"/>
    <s v="North West"/>
    <x v="79"/>
    <s v="Weaver Vale"/>
    <s v="Private"/>
    <d v="2020-09-09T00:00:00"/>
    <d v="2020-10-16T00:00:00"/>
  </r>
  <r>
    <s v="Ofsted Social Care Provider Webpage"/>
    <n v="2562531"/>
    <x v="0"/>
    <d v="2019-12-02T00:00:00"/>
    <s v="Active"/>
    <s v="REDACTED"/>
    <x v="6"/>
    <s v="West Midlands"/>
    <x v="46"/>
    <s v="Stone"/>
    <s v="Private"/>
    <d v="2020-09-09T00:00:00"/>
    <d v="2020-10-13T00:00:00"/>
  </r>
  <r>
    <s v="Ofsted Social Care Provider Webpage"/>
    <s v="SC035648"/>
    <x v="2"/>
    <d v="2003-09-04T00:00:00"/>
    <s v="Active"/>
    <s v="REDACTED"/>
    <x v="3"/>
    <s v="North East"/>
    <x v="92"/>
    <s v="Sedgefield"/>
    <s v="Local Authority"/>
    <d v="2020-11-09T00:00:00"/>
    <d v="2020-12-03T00:00:00"/>
  </r>
  <r>
    <s v="Ofsted Social Care Provider Webpage"/>
    <s v="SC037447"/>
    <x v="0"/>
    <d v="2003-02-21T00:00:00"/>
    <s v="Active"/>
    <s v="REDACTED"/>
    <x v="2"/>
    <s v="South East"/>
    <x v="12"/>
    <s v="Mid Sussex"/>
    <s v="Local Authority"/>
    <d v="2020-12-09T00:00:00"/>
    <d v="2021-01-26T00:00:00"/>
  </r>
  <r>
    <s v="Ofsted Social Care Provider Webpage"/>
    <s v="SC066565"/>
    <x v="3"/>
    <d v="2006-07-18T00:00:00"/>
    <s v="Active"/>
    <s v="REDACTED"/>
    <x v="3"/>
    <s v="Yorkshire and The Humber"/>
    <x v="108"/>
    <s v="Cleethorpes"/>
    <s v="Private"/>
    <d v="2020-12-09T00:00:00"/>
    <d v="2021-01-25T00:00:00"/>
  </r>
  <r>
    <s v="Ofsted Social Care Provider Webpage"/>
    <s v="SC068955"/>
    <x v="0"/>
    <d v="2006-11-21T00:00:00"/>
    <s v="Active"/>
    <s v="REDACTED"/>
    <x v="0"/>
    <s v="East of England"/>
    <x v="33"/>
    <s v="Norwich South"/>
    <s v="Local Authority"/>
    <d v="2020-12-09T00:00:00"/>
    <d v="2021-01-18T00:00:00"/>
  </r>
  <r>
    <s v="Ofsted Social Care Provider Webpage"/>
    <s v="SC363144"/>
    <x v="5"/>
    <d v="2007-08-30T00:00:00"/>
    <s v="Active"/>
    <s v="Unsted Park School"/>
    <x v="2"/>
    <s v="South East"/>
    <x v="29"/>
    <s v="South West Surrey"/>
    <s v="Private"/>
    <d v="2020-12-09T00:00:00"/>
    <d v="2021-01-29T00:00:00"/>
  </r>
  <r>
    <s v="Ofsted Social Care Provider Webpage"/>
    <s v="SC473460"/>
    <x v="0"/>
    <d v="2014-02-28T00:00:00"/>
    <s v="Active"/>
    <s v="REDACTED"/>
    <x v="7"/>
    <s v="London"/>
    <x v="57"/>
    <s v="Enfield North"/>
    <s v="Private"/>
    <d v="2020-12-09T00:00:00"/>
    <d v="2021-01-21T00:00:00"/>
  </r>
  <r>
    <s v="Ofsted Social Care Provider Webpage"/>
    <s v="SC450992"/>
    <x v="0"/>
    <d v="2012-07-13T00:00:00"/>
    <s v="Active"/>
    <s v="REDACTED"/>
    <x v="6"/>
    <s v="West Midlands"/>
    <x v="66"/>
    <s v="Dudley South"/>
    <s v="Private"/>
    <d v="2020-12-09T00:00:00"/>
    <d v="2021-01-15T00:00:00"/>
  </r>
  <r>
    <s v="Ofsted Social Care Provider Webpage"/>
    <n v="2520922"/>
    <x v="0"/>
    <d v="2019-06-06T00:00:00"/>
    <s v="Active"/>
    <s v="REDACTED"/>
    <x v="3"/>
    <s v="North East"/>
    <x v="82"/>
    <s v="Stockton North"/>
    <s v="Private"/>
    <d v="2020-12-09T00:00:00"/>
    <d v="2021-01-26T00:00:00"/>
  </r>
  <r>
    <s v="Ofsted Social Care Provider Webpage"/>
    <n v="2569163"/>
    <x v="0"/>
    <d v="2020-03-13T00:00:00"/>
    <s v="Active"/>
    <s v="REDACTED"/>
    <x v="3"/>
    <s v="Yorkshire and The Humber"/>
    <x v="3"/>
    <s v="Don Valley"/>
    <s v="Private"/>
    <d v="2020-12-09T00:00:00"/>
    <d v="2021-01-26T00:00:00"/>
  </r>
  <r>
    <s v="Ofsted Social Care Provider Webpage"/>
    <n v="1258894"/>
    <x v="0"/>
    <d v="2017-08-03T00:00:00"/>
    <s v="Active"/>
    <s v="REDACTED"/>
    <x v="4"/>
    <s v="East Midlands"/>
    <x v="71"/>
    <s v="Leicester East"/>
    <s v="Private"/>
    <d v="2020-12-09T00:00:00"/>
    <d v="2021-01-21T00:00:00"/>
  </r>
  <r>
    <s v="Ofsted Social Care Provider Webpage"/>
    <s v="SC052946"/>
    <x v="0"/>
    <d v="2003-12-08T00:00:00"/>
    <s v="Active"/>
    <s v="REDACTED"/>
    <x v="7"/>
    <s v="London"/>
    <x v="98"/>
    <s v="Ilford North"/>
    <s v="Private"/>
    <d v="2020-12-09T00:00:00"/>
    <d v="2021-01-25T00:00:00"/>
  </r>
  <r>
    <s v="Ofsted Social Care Provider Webpage"/>
    <s v="SC482418"/>
    <x v="0"/>
    <d v="2015-04-13T00:00:00"/>
    <s v="Active"/>
    <s v="REDACTED"/>
    <x v="3"/>
    <s v="North East"/>
    <x v="92"/>
    <s v="North West Durham"/>
    <s v="Private"/>
    <d v="2020-12-09T00:00:00"/>
    <d v="2021-01-20T00:00:00"/>
  </r>
  <r>
    <s v="Ofsted Social Care Provider Webpage"/>
    <s v="SC411142"/>
    <x v="0"/>
    <d v="2010-06-03T00:00:00"/>
    <s v="Active"/>
    <s v="REDACTED"/>
    <x v="6"/>
    <s v="West Midlands"/>
    <x v="55"/>
    <s v="North Shropshire"/>
    <s v="Private"/>
    <d v="2020-12-09T00:00:00"/>
    <d v="2021-01-21T00:00:00"/>
  </r>
  <r>
    <s v="Ofsted Social Care Provider Webpage"/>
    <n v="1225371"/>
    <x v="0"/>
    <d v="2016-04-27T00:00:00"/>
    <s v="Active"/>
    <s v="REDACTED"/>
    <x v="5"/>
    <s v="North West"/>
    <x v="15"/>
    <s v="Warrington South"/>
    <s v="Private"/>
    <d v="2020-12-09T00:00:00"/>
    <d v="2021-01-25T00:00:00"/>
  </r>
  <r>
    <s v="Ofsted Social Care Provider Webpage"/>
    <s v="SC047978"/>
    <x v="0"/>
    <d v="2003-06-27T00:00:00"/>
    <s v="Active"/>
    <s v="REDACTED"/>
    <x v="4"/>
    <s v="East Midlands"/>
    <x v="20"/>
    <s v="Broxtowe"/>
    <s v="Private"/>
    <d v="2020-12-09T00:00:00"/>
    <d v="2021-01-25T00:00:00"/>
  </r>
  <r>
    <s v="Ofsted Social Care Provider Webpage"/>
    <s v="SC456409"/>
    <x v="0"/>
    <d v="2013-02-20T00:00:00"/>
    <s v="Active"/>
    <s v="REDACTED"/>
    <x v="5"/>
    <s v="North West"/>
    <x v="53"/>
    <s v="Rochdale"/>
    <s v="Private"/>
    <d v="2020-12-09T00:00:00"/>
    <d v="2021-01-28T00:00:00"/>
  </r>
  <r>
    <s v="Ofsted Social Care Provider Webpage"/>
    <n v="2483881"/>
    <x v="0"/>
    <d v="2018-08-23T00:00:00"/>
    <s v="Active"/>
    <s v="REDACTED"/>
    <x v="4"/>
    <s v="East Midlands"/>
    <x v="71"/>
    <s v="Leicester West"/>
    <s v="Private"/>
    <d v="2020-12-09T00:00:00"/>
    <d v="2021-01-25T00:00:00"/>
  </r>
  <r>
    <s v="Ofsted Social Care Provider Webpage"/>
    <n v="1276216"/>
    <x v="0"/>
    <d v="2018-07-23T00:00:00"/>
    <s v="Active"/>
    <s v="REDACTED"/>
    <x v="6"/>
    <s v="West Midlands"/>
    <x v="46"/>
    <s v="Stone"/>
    <s v="Private"/>
    <d v="2020-12-09T00:00:00"/>
    <d v="2021-01-20T00:00:00"/>
  </r>
  <r>
    <s v="Ofsted Social Care Provider Webpage"/>
    <s v="SC488943"/>
    <x v="0"/>
    <d v="2015-07-22T00:00:00"/>
    <s v="Active"/>
    <s v="REDACTED"/>
    <x v="6"/>
    <s v="West Midlands"/>
    <x v="46"/>
    <s v="Stone"/>
    <s v="Private"/>
    <d v="2020-12-09T00:00:00"/>
    <d v="2021-01-22T00:00:00"/>
  </r>
  <r>
    <s v="Ofsted Social Care Provider Webpage"/>
    <n v="1277453"/>
    <x v="0"/>
    <d v="2018-07-12T00:00:00"/>
    <s v="Active"/>
    <s v="REDACTED"/>
    <x v="2"/>
    <s v="South East"/>
    <x v="58"/>
    <s v="Aylesbury"/>
    <s v="Local Authority"/>
    <d v="2020-12-09T00:00:00"/>
    <d v="2021-02-05T00:00:00"/>
  </r>
  <r>
    <s v="Ofsted Social Care Provider Webpage"/>
    <n v="2585541"/>
    <x v="0"/>
    <d v="2020-06-17T00:00:00"/>
    <s v="Active"/>
    <s v="REDACTED"/>
    <x v="5"/>
    <s v="North West"/>
    <x v="85"/>
    <s v="Knowsley"/>
    <s v="Private"/>
    <d v="2020-12-09T00:00:00"/>
    <d v="2021-01-26T00:00:00"/>
  </r>
  <r>
    <s v="Ofsted Social Care Provider Webpage"/>
    <s v="SC436818"/>
    <x v="0"/>
    <d v="2012-02-20T00:00:00"/>
    <s v="Active"/>
    <s v="REDACTED"/>
    <x v="4"/>
    <s v="East Midlands"/>
    <x v="36"/>
    <s v="Nottingham South"/>
    <s v="Private"/>
    <d v="2020-12-09T00:00:00"/>
    <d v="2021-01-22T00:00:00"/>
  </r>
  <r>
    <s v="Ofsted Social Care Provider Webpage"/>
    <s v="SC043039"/>
    <x v="6"/>
    <d v="2003-02-14T00:00:00"/>
    <s v="Active"/>
    <s v="Madinatul Uloom Al Islamiyah "/>
    <x v="6"/>
    <s v="West Midlands"/>
    <x v="90"/>
    <s v="Wyre Forest"/>
    <s v="Voluntary"/>
    <d v="2020-12-09T00:00:00"/>
    <d v="2021-01-25T00:00:00"/>
  </r>
  <r>
    <s v="Ofsted Social Care Provider Webpage"/>
    <s v="SC065046"/>
    <x v="0"/>
    <d v="2005-09-16T00:00:00"/>
    <s v="Active"/>
    <s v="REDACTED"/>
    <x v="1"/>
    <s v="South West"/>
    <x v="67"/>
    <s v="Bournemouth East"/>
    <s v="Private"/>
    <d v="2020-12-09T00:00:00"/>
    <d v="2021-01-20T00:00:00"/>
  </r>
  <r>
    <s v="Ofsted Social Care Provider Webpage"/>
    <s v="SC021684"/>
    <x v="0"/>
    <d v="2001-12-04T00:00:00"/>
    <s v="Active"/>
    <s v="REDACTED"/>
    <x v="5"/>
    <s v="North West"/>
    <x v="11"/>
    <s v="Manchester, Gorton"/>
    <s v="Private"/>
    <d v="2020-12-09T00:00:00"/>
    <d v="2021-01-25T00:00:00"/>
  </r>
  <r>
    <s v="Ofsted Social Care Provider Webpage"/>
    <n v="1271234"/>
    <x v="0"/>
    <d v="2018-04-06T00:00:00"/>
    <s v="Active"/>
    <s v="REDACTED"/>
    <x v="6"/>
    <s v="West Midlands"/>
    <x v="46"/>
    <s v="Stoke-on-Trent North"/>
    <s v="Private"/>
    <d v="2020-12-09T00:00:00"/>
    <d v="2021-01-21T00:00:00"/>
  </r>
  <r>
    <s v="Ofsted Social Care Provider Webpage"/>
    <n v="2506232"/>
    <x v="0"/>
    <d v="2019-02-13T00:00:00"/>
    <s v="Active"/>
    <s v="REDACTED"/>
    <x v="2"/>
    <s v="South East"/>
    <x v="22"/>
    <s v="North East Hampshire"/>
    <s v="Private"/>
    <d v="2020-12-09T00:00:00"/>
    <d v="2021-01-26T00:00:00"/>
  </r>
  <r>
    <s v="Ofsted Social Care Provider Webpage"/>
    <s v="SC470290"/>
    <x v="0"/>
    <d v="2014-01-23T00:00:00"/>
    <s v="Active"/>
    <s v="REDACTED"/>
    <x v="1"/>
    <s v="South West"/>
    <x v="30"/>
    <s v="Bridgwater and West Somerset"/>
    <s v="Private"/>
    <d v="2020-12-09T00:00:00"/>
    <d v="2021-01-22T00:00:00"/>
  </r>
  <r>
    <s v="Ofsted Social Care Provider Webpage"/>
    <n v="2491062"/>
    <x v="0"/>
    <d v="2018-10-25T00:00:00"/>
    <s v="Active"/>
    <s v="REDACTED"/>
    <x v="0"/>
    <s v="East of England"/>
    <x v="19"/>
    <s v="Hitchin and Harpenden"/>
    <s v="Private"/>
    <d v="2020-09-10T00:00:00"/>
    <d v="2020-10-19T00:00:00"/>
  </r>
  <r>
    <s v="Ofsted Social Care Provider Webpage"/>
    <s v="SC473404"/>
    <x v="0"/>
    <d v="2013-11-29T00:00:00"/>
    <s v="Suspended"/>
    <s v="REDACTED"/>
    <x v="2"/>
    <s v="South East"/>
    <x v="2"/>
    <s v="Dover"/>
    <s v="Private"/>
    <d v="2020-09-10T00:00:00"/>
    <d v="2020-10-27T00:00:00"/>
  </r>
  <r>
    <s v="Ofsted Social Care Provider Webpage"/>
    <n v="1236620"/>
    <x v="0"/>
    <d v="2016-07-18T00:00:00"/>
    <s v="Active"/>
    <s v="REDACTED"/>
    <x v="1"/>
    <s v="South West"/>
    <x v="30"/>
    <s v="Bridgwater and West Somerset"/>
    <s v="Private"/>
    <d v="2020-09-10T00:00:00"/>
    <d v="2020-10-14T00:00:00"/>
  </r>
  <r>
    <s v="Ofsted Social Care Provider Webpage"/>
    <s v="SC430320"/>
    <x v="0"/>
    <d v="2011-08-09T00:00:00"/>
    <s v="Active"/>
    <s v="REDACTED"/>
    <x v="7"/>
    <s v="London"/>
    <x v="109"/>
    <s v="Barking"/>
    <s v="Private"/>
    <d v="2020-09-10T00:00:00"/>
    <d v="2020-10-13T00:00:00"/>
  </r>
  <r>
    <s v="Ofsted Social Care Provider Webpage"/>
    <s v="SC427652"/>
    <x v="0"/>
    <d v="2011-05-05T00:00:00"/>
    <s v="Active"/>
    <s v="REDACTED"/>
    <x v="0"/>
    <s v="East of England"/>
    <x v="50"/>
    <s v="West Suffolk"/>
    <s v="Private"/>
    <d v="2020-09-10T00:00:00"/>
    <d v="2020-10-07T00:00:00"/>
  </r>
  <r>
    <s v="Ofsted Social Care Provider Webpage"/>
    <s v="SC059037"/>
    <x v="0"/>
    <d v="2004-03-08T00:00:00"/>
    <s v="Active"/>
    <s v="REDACTED"/>
    <x v="2"/>
    <s v="South East"/>
    <x v="2"/>
    <s v="Sittingbourne and Sheppey"/>
    <s v="Private"/>
    <d v="2020-12-10T00:00:00"/>
    <d v="2021-01-25T00:00:00"/>
  </r>
  <r>
    <s v="Ofsted Social Care Provider Webpage"/>
    <n v="1269421"/>
    <x v="0"/>
    <d v="2018-01-23T00:00:00"/>
    <s v="Active"/>
    <s v="REDACTED"/>
    <x v="4"/>
    <s v="East Midlands"/>
    <x v="14"/>
    <s v="North East Derbyshire"/>
    <s v="Private"/>
    <d v="2020-12-10T00:00:00"/>
    <d v="2021-01-14T00:00:00"/>
  </r>
  <r>
    <s v="Ofsted Social Care Provider Webpage"/>
    <n v="2577014"/>
    <x v="0"/>
    <d v="2020-08-12T00:00:00"/>
    <s v="Active"/>
    <s v="REDACTED"/>
    <x v="3"/>
    <s v="Yorkshire and The Humber"/>
    <x v="59"/>
    <s v="Rother Valley"/>
    <s v="Private"/>
    <d v="2020-12-10T00:00:00"/>
    <d v="2021-01-21T00:00:00"/>
  </r>
  <r>
    <s v="Ofsted Social Care Provider Webpage"/>
    <s v="SC451174"/>
    <x v="0"/>
    <d v="2012-11-26T00:00:00"/>
    <s v="Active"/>
    <s v="REDACTED"/>
    <x v="5"/>
    <s v="North West"/>
    <x v="11"/>
    <s v="Manchester Central"/>
    <s v="Private"/>
    <d v="2020-12-10T00:00:00"/>
    <d v="2021-01-26T00:00:00"/>
  </r>
  <r>
    <s v="Ofsted Social Care Provider Webpage"/>
    <s v="SC466786"/>
    <x v="0"/>
    <d v="2013-09-02T00:00:00"/>
    <s v="Active"/>
    <s v="REDACTED"/>
    <x v="0"/>
    <s v="East of England"/>
    <x v="21"/>
    <s v="North West Cambridgeshire"/>
    <s v="Private"/>
    <d v="2020-12-10T00:00:00"/>
    <d v="2021-01-18T00:00:00"/>
  </r>
  <r>
    <s v="Ofsted Social Care Provider Webpage"/>
    <n v="1256367"/>
    <x v="0"/>
    <d v="2017-05-24T00:00:00"/>
    <s v="Active"/>
    <s v="REDACTED"/>
    <x v="4"/>
    <s v="East Midlands"/>
    <x v="18"/>
    <s v="Northampton North"/>
    <s v="Private"/>
    <d v="2020-12-10T00:00:00"/>
    <d v="2021-01-25T00:00:00"/>
  </r>
  <r>
    <s v="Ofsted Social Care Provider Webpage"/>
    <s v="SC032439"/>
    <x v="0"/>
    <d v="2004-02-19T00:00:00"/>
    <s v="Active"/>
    <s v="REDACTED"/>
    <x v="1"/>
    <s v="South West"/>
    <x v="1"/>
    <s v="Devizes"/>
    <s v="Local Authority"/>
    <d v="2020-12-10T00:00:00"/>
    <d v="2021-01-26T00:00:00"/>
  </r>
  <r>
    <s v="Ofsted Social Care Provider Webpage"/>
    <s v="SC457132"/>
    <x v="0"/>
    <d v="2013-02-25T00:00:00"/>
    <s v="Active"/>
    <s v="REDACTED"/>
    <x v="1"/>
    <s v="South West"/>
    <x v="10"/>
    <s v="Newton Abbot"/>
    <s v="Private"/>
    <d v="2020-12-10T00:00:00"/>
    <d v="2021-01-25T00:00:00"/>
  </r>
  <r>
    <s v="Ofsted Social Care Provider Webpage"/>
    <n v="2515380"/>
    <x v="0"/>
    <d v="2019-02-11T00:00:00"/>
    <s v="Active"/>
    <s v="REDACTED"/>
    <x v="4"/>
    <s v="East Midlands"/>
    <x v="18"/>
    <s v="Northampton South"/>
    <s v="Private"/>
    <d v="2020-12-10T00:00:00"/>
    <d v="2021-01-29T00:00:00"/>
  </r>
  <r>
    <s v="Ofsted Social Care Provider Webpage"/>
    <s v="SC446003"/>
    <x v="0"/>
    <d v="2012-10-05T00:00:00"/>
    <s v="Active"/>
    <s v="REDACTED"/>
    <x v="5"/>
    <s v="North West"/>
    <x v="78"/>
    <s v="Penrith and The Border"/>
    <s v="Voluntary"/>
    <d v="2020-12-10T00:00:00"/>
    <d v="2021-01-27T00:00:00"/>
  </r>
  <r>
    <s v="Ofsted Social Care Provider Webpage"/>
    <s v="SC430757"/>
    <x v="1"/>
    <d v="2011-08-25T00:00:00"/>
    <s v="Active"/>
    <s v="Break Fostering Service"/>
    <x v="0"/>
    <s v="East of England"/>
    <x v="33"/>
    <s v="Norwich North"/>
    <s v="Voluntary"/>
    <d v="2020-11-11T00:00:00"/>
    <d v="2020-12-10T00:00:00"/>
  </r>
  <r>
    <s v="Ofsted Social Care Provider Webpage"/>
    <s v="SC381667"/>
    <x v="0"/>
    <d v="2008-09-30T00:00:00"/>
    <s v="Active"/>
    <s v="REDACTED"/>
    <x v="5"/>
    <s v="North West"/>
    <x v="69"/>
    <s v="Liverpool, West Derby"/>
    <s v="Private"/>
    <d v="2020-12-11T00:00:00"/>
    <d v="2021-02-02T00:00:00"/>
  </r>
  <r>
    <s v="Ofsted Social Care Provider Webpage"/>
    <s v="SC370703"/>
    <x v="0"/>
    <d v="2008-05-02T00:00:00"/>
    <s v="Active"/>
    <s v="REDACTED"/>
    <x v="2"/>
    <s v="South East"/>
    <x v="29"/>
    <s v="Woking"/>
    <s v="Local Authority"/>
    <d v="2020-10-12T00:00:00"/>
    <d v="2021-01-04T00:00:00"/>
  </r>
  <r>
    <s v="Ofsted Social Care Provider Webpage"/>
    <s v="SC022448"/>
    <x v="2"/>
    <d v="2002-02-18T00:00:00"/>
    <s v="Active"/>
    <s v="REDACTED"/>
    <x v="5"/>
    <s v="North West"/>
    <x v="24"/>
    <s v="St Helens North"/>
    <s v="Voluntary"/>
    <d v="2020-10-12T00:00:00"/>
    <d v="2020-11-11T00:00:00"/>
  </r>
  <r>
    <s v="Ofsted Social Care Provider Webpage"/>
    <n v="2588370"/>
    <x v="0"/>
    <d v="2020-04-14T00:00:00"/>
    <s v="Active"/>
    <s v="REDACTED"/>
    <x v="4"/>
    <s v="East Midlands"/>
    <x v="14"/>
    <s v="Derbyshire Dales"/>
    <s v="Private"/>
    <d v="2020-10-12T00:00:00"/>
    <d v="2020-11-11T00:00:00"/>
  </r>
  <r>
    <s v="Ofsted Social Care Provider Webpage"/>
    <s v="SC046276"/>
    <x v="2"/>
    <d v="2004-03-19T00:00:00"/>
    <s v="Active"/>
    <s v="REDACTED"/>
    <x v="1"/>
    <s v="South West"/>
    <x v="10"/>
    <s v="Exeter"/>
    <s v="Local Authority"/>
    <d v="2020-10-12T00:00:00"/>
    <d v="2020-11-12T00:00:00"/>
  </r>
  <r>
    <s v="Ofsted Social Care Provider Webpage"/>
    <n v="2530832"/>
    <x v="0"/>
    <d v="2019-07-11T00:00:00"/>
    <s v="Active"/>
    <s v="REDACTED"/>
    <x v="6"/>
    <s v="West Midlands"/>
    <x v="75"/>
    <s v="Coventry North East"/>
    <s v="Private"/>
    <d v="2020-10-12T00:00:00"/>
    <d v="2020-11-18T00:00:00"/>
  </r>
  <r>
    <s v="Ofsted Social Care Provider Webpage"/>
    <s v="SC040191"/>
    <x v="0"/>
    <d v="2002-11-18T00:00:00"/>
    <s v="Active"/>
    <s v="REDACTED"/>
    <x v="0"/>
    <s v="East of England"/>
    <x v="33"/>
    <s v="Norwich North"/>
    <s v="Voluntary"/>
    <d v="2020-10-12T00:00:00"/>
    <d v="2020-10-29T00:00:00"/>
  </r>
  <r>
    <s v="Ofsted Social Care Provider Webpage"/>
    <s v="SC487165"/>
    <x v="0"/>
    <d v="2015-03-30T00:00:00"/>
    <s v="Active"/>
    <s v="REDACTED"/>
    <x v="2"/>
    <s v="South East"/>
    <x v="22"/>
    <s v="New Forest West"/>
    <s v="Private"/>
    <d v="2020-10-12T00:00:00"/>
    <d v="2020-12-08T00:00:00"/>
  </r>
  <r>
    <s v="Ofsted Social Care Provider Webpage"/>
    <n v="2523027"/>
    <x v="0"/>
    <d v="2019-07-08T00:00:00"/>
    <s v="Active"/>
    <s v="REDACTED"/>
    <x v="2"/>
    <s v="South East"/>
    <x v="110"/>
    <s v="Reading West"/>
    <s v="Private"/>
    <d v="2020-10-12T00:00:00"/>
    <d v="2020-11-24T00:00:00"/>
  </r>
  <r>
    <s v="Ofsted Social Care Provider Webpage"/>
    <n v="2495377"/>
    <x v="3"/>
    <d v="2018-09-26T00:00:00"/>
    <s v="Active"/>
    <s v="REDACTED"/>
    <x v="0"/>
    <s v="East of England"/>
    <x v="19"/>
    <s v="Hertford and Stortford"/>
    <s v="Voluntary"/>
    <d v="2020-10-12T00:00:00"/>
    <d v="2020-11-06T00:00:00"/>
  </r>
  <r>
    <s v="Ofsted Social Care Provider Webpage"/>
    <s v="SC056397"/>
    <x v="5"/>
    <d v="2003-10-20T00:00:00"/>
    <s v="Active"/>
    <s v="Hailey Hall School"/>
    <x v="0"/>
    <s v="East of England"/>
    <x v="19"/>
    <s v="Broxbourne"/>
    <s v="Academy"/>
    <d v="2020-10-12T00:00:00"/>
    <d v="2020-11-05T00:00:00"/>
  </r>
  <r>
    <s v="Ofsted Social Care Provider Webpage"/>
    <s v="SC047483"/>
    <x v="0"/>
    <d v="2003-08-19T00:00:00"/>
    <s v="Active"/>
    <s v="REDACTED"/>
    <x v="6"/>
    <s v="West Midlands"/>
    <x v="46"/>
    <s v="Stafford"/>
    <s v="Private"/>
    <d v="2020-10-12T00:00:00"/>
    <d v="2020-11-13T00:00:00"/>
  </r>
  <r>
    <s v="Ofsted Social Care Provider Webpage"/>
    <s v="SC402135"/>
    <x v="0"/>
    <d v="2009-10-11T00:00:00"/>
    <s v="Active"/>
    <s v="REDACTED"/>
    <x v="2"/>
    <s v="South East"/>
    <x v="22"/>
    <s v="New Forest East"/>
    <s v="Private"/>
    <d v="2020-10-12T00:00:00"/>
    <d v="2021-01-06T00:00:00"/>
  </r>
  <r>
    <s v="Ofsted Social Care Provider Webpage"/>
    <s v="SC390785"/>
    <x v="0"/>
    <d v="2009-04-01T00:00:00"/>
    <s v="Active"/>
    <s v="REDACTED"/>
    <x v="2"/>
    <s v="South East"/>
    <x v="12"/>
    <s v="Arundel and South Downs"/>
    <s v="Private"/>
    <d v="2020-10-12T00:00:00"/>
    <d v="2020-12-08T00:00:00"/>
  </r>
  <r>
    <s v="Ofsted Social Care Provider Webpage"/>
    <s v="SC059261"/>
    <x v="0"/>
    <d v="2004-05-25T00:00:00"/>
    <s v="Active"/>
    <s v="REDACTED"/>
    <x v="5"/>
    <s v="North West"/>
    <x v="69"/>
    <s v="Liverpool, Wavertree"/>
    <s v="Private"/>
    <d v="2020-10-12T00:00:00"/>
    <d v="2020-11-19T00:00:00"/>
  </r>
  <r>
    <s v="Ofsted Social Care Provider Webpage"/>
    <s v="SC424103"/>
    <x v="0"/>
    <d v="2011-04-08T00:00:00"/>
    <s v="Active"/>
    <s v="REDACTED"/>
    <x v="2"/>
    <s v="South East"/>
    <x v="58"/>
    <s v="Aylesbury"/>
    <s v="Voluntary"/>
    <d v="2020-10-13T00:00:00"/>
    <d v="2020-11-30T00:00:00"/>
  </r>
  <r>
    <s v="Ofsted Social Care Provider Webpage"/>
    <n v="2519084"/>
    <x v="0"/>
    <d v="2019-05-14T00:00:00"/>
    <s v="Active"/>
    <s v="REDACTED"/>
    <x v="6"/>
    <s v="West Midlands"/>
    <x v="46"/>
    <s v="Cannock Chase"/>
    <s v="Private"/>
    <d v="2020-10-13T00:00:00"/>
    <d v="2020-11-12T00:00:00"/>
  </r>
  <r>
    <s v="Ofsted Social Care Provider Webpage"/>
    <s v="SC373044"/>
    <x v="0"/>
    <d v="2008-03-18T00:00:00"/>
    <s v="Active"/>
    <s v="REDACTED"/>
    <x v="5"/>
    <s v="North West"/>
    <x v="32"/>
    <s v="Bolton North East"/>
    <s v="Voluntary"/>
    <d v="2020-10-13T00:00:00"/>
    <d v="2020-11-12T00:00:00"/>
  </r>
  <r>
    <s v="Ofsted Social Care Provider Webpage"/>
    <s v="SC457506"/>
    <x v="0"/>
    <d v="2013-03-18T00:00:00"/>
    <s v="Active"/>
    <s v="REDACTED"/>
    <x v="5"/>
    <s v="North West"/>
    <x v="8"/>
    <s v="Oldham West and Royton"/>
    <s v="Private"/>
    <d v="2020-10-13T00:00:00"/>
    <d v="2020-11-23T00:00:00"/>
  </r>
  <r>
    <s v="Ofsted Social Care Provider Webpage"/>
    <s v="SC463639"/>
    <x v="0"/>
    <d v="2013-07-19T00:00:00"/>
    <s v="Active"/>
    <s v="REDACTED"/>
    <x v="6"/>
    <s v="West Midlands"/>
    <x v="34"/>
    <s v="Sutton Coldfield"/>
    <s v="Private"/>
    <d v="2020-10-13T00:00:00"/>
    <d v="2020-11-17T00:00:00"/>
  </r>
  <r>
    <s v="Ofsted Social Care Provider Webpage"/>
    <n v="1216657"/>
    <x v="0"/>
    <d v="2015-12-23T00:00:00"/>
    <s v="Active"/>
    <s v="REDACTED"/>
    <x v="4"/>
    <s v="East Midlands"/>
    <x v="36"/>
    <s v="Nottingham East"/>
    <s v="Voluntary"/>
    <d v="2020-10-13T00:00:00"/>
    <d v="2020-11-19T00:00:00"/>
  </r>
  <r>
    <s v="Ofsted Social Care Provider Webpage"/>
    <n v="2573144"/>
    <x v="0"/>
    <d v="2020-05-04T00:00:00"/>
    <s v="Active"/>
    <s v="REDACTED"/>
    <x v="6"/>
    <s v="West Midlands"/>
    <x v="46"/>
    <s v="Cannock Chase"/>
    <s v="Private"/>
    <d v="2020-10-13T00:00:00"/>
    <d v="2020-11-12T00:00:00"/>
  </r>
  <r>
    <s v="Ofsted Social Care Provider Webpage"/>
    <n v="2569358"/>
    <x v="0"/>
    <d v="2020-05-20T00:00:00"/>
    <s v="Active"/>
    <s v="REDACTED"/>
    <x v="3"/>
    <s v="North East"/>
    <x v="37"/>
    <s v="Sunderland Central"/>
    <s v="Private"/>
    <d v="2020-10-13T00:00:00"/>
    <d v="2020-11-18T00:00:00"/>
  </r>
  <r>
    <s v="Ofsted Social Care Provider Webpage"/>
    <s v="SC392712"/>
    <x v="0"/>
    <d v="2009-05-13T00:00:00"/>
    <s v="Active"/>
    <s v="REDACTED"/>
    <x v="4"/>
    <s v="East Midlands"/>
    <x v="20"/>
    <s v="Gedling"/>
    <s v="Private"/>
    <d v="2020-10-13T00:00:00"/>
    <d v="2020-11-10T00:00:00"/>
  </r>
  <r>
    <s v="Ofsted Social Care Provider Webpage"/>
    <n v="1249111"/>
    <x v="0"/>
    <d v="2016-12-14T00:00:00"/>
    <s v="Active"/>
    <s v="REDACTED"/>
    <x v="2"/>
    <s v="South East"/>
    <x v="22"/>
    <s v="New Forest West"/>
    <s v="Private"/>
    <d v="2020-10-13T00:00:00"/>
    <d v="2020-12-11T00:00:00"/>
  </r>
  <r>
    <s v="Ofsted Social Care Provider Webpage"/>
    <n v="2534829"/>
    <x v="0"/>
    <d v="2019-08-23T00:00:00"/>
    <s v="Active"/>
    <s v="REDACTED"/>
    <x v="5"/>
    <s v="North West"/>
    <x v="16"/>
    <s v="Fylde"/>
    <s v="Private"/>
    <d v="2020-10-13T00:00:00"/>
    <d v="2020-11-19T00:00:00"/>
  </r>
  <r>
    <s v="Ofsted Social Care Provider Webpage"/>
    <s v="SC374180"/>
    <x v="0"/>
    <d v="2008-08-07T00:00:00"/>
    <s v="Resigned"/>
    <s v="REDACTED"/>
    <x v="4"/>
    <s v="East Midlands"/>
    <x v="18"/>
    <s v="Northampton North"/>
    <s v="Local Authority"/>
    <d v="2020-10-13T00:00:00"/>
    <d v="2020-12-10T00:00:00"/>
  </r>
  <r>
    <s v="Ofsted Social Care Provider Webpage"/>
    <n v="2490999"/>
    <x v="0"/>
    <d v="2018-10-04T00:00:00"/>
    <s v="Active"/>
    <s v="REDACTED"/>
    <x v="4"/>
    <s v="East Midlands"/>
    <x v="4"/>
    <s v="South Leicestershire"/>
    <s v="Private"/>
    <d v="2020-10-13T00:00:00"/>
    <d v="2020-11-13T00:00:00"/>
  </r>
  <r>
    <s v="Ofsted Social Care Provider Webpage"/>
    <s v="SC056259"/>
    <x v="0"/>
    <d v="2004-06-25T00:00:00"/>
    <s v="Active"/>
    <s v="REDACTED"/>
    <x v="3"/>
    <s v="Yorkshire and The Humber"/>
    <x v="111"/>
    <s v="Beverley and Holderness"/>
    <s v="Private"/>
    <d v="2020-10-13T00:00:00"/>
    <d v="2020-11-17T00:00:00"/>
  </r>
  <r>
    <s v="Ofsted Social Care Provider Webpage"/>
    <s v="SC362170"/>
    <x v="0"/>
    <d v="2008-01-17T00:00:00"/>
    <s v="Active"/>
    <s v="REDACTED"/>
    <x v="6"/>
    <s v="West Midlands"/>
    <x v="81"/>
    <s v="Stoke-on-Trent South"/>
    <s v="Private"/>
    <d v="2020-10-13T00:00:00"/>
    <d v="2020-11-09T00:00:00"/>
  </r>
  <r>
    <s v="Ofsted Social Care Provider Webpage"/>
    <s v="SC476602"/>
    <x v="0"/>
    <d v="2015-03-05T00:00:00"/>
    <s v="Active"/>
    <s v="REDACTED"/>
    <x v="3"/>
    <s v="North East"/>
    <x v="92"/>
    <s v="Bishop Auckland"/>
    <s v="Private"/>
    <d v="2020-10-13T00:00:00"/>
    <d v="2020-11-17T00:00:00"/>
  </r>
  <r>
    <s v="Ofsted Social Care Provider Webpage"/>
    <n v="2570253"/>
    <x v="0"/>
    <d v="2020-03-10T00:00:00"/>
    <s v="Active"/>
    <s v="REDACTED"/>
    <x v="4"/>
    <s v="East Midlands"/>
    <x v="40"/>
    <s v="Grantham and Stamford"/>
    <s v="Private"/>
    <d v="2020-10-13T00:00:00"/>
    <d v="2020-11-13T00:00:00"/>
  </r>
  <r>
    <s v="Ofsted Social Care Provider Webpage"/>
    <n v="1246449"/>
    <x v="0"/>
    <d v="2017-02-09T00:00:00"/>
    <s v="Active"/>
    <s v="REDACTED"/>
    <x v="2"/>
    <s v="South East"/>
    <x v="22"/>
    <s v="Romsey and Southampton North"/>
    <s v="Private"/>
    <d v="2020-10-13T00:00:00"/>
    <d v="2020-12-08T00:00:00"/>
  </r>
  <r>
    <s v="Ofsted Social Care Provider Webpage"/>
    <s v="SC044224"/>
    <x v="0"/>
    <d v="2003-10-10T00:00:00"/>
    <s v="Active"/>
    <s v="REDACTED"/>
    <x v="5"/>
    <s v="North West"/>
    <x v="16"/>
    <s v="South Ribble"/>
    <s v="Private"/>
    <d v="2020-10-13T00:00:00"/>
    <d v="2020-11-19T00:00:00"/>
  </r>
  <r>
    <s v="Ofsted Social Care Provider Webpage"/>
    <n v="1235653"/>
    <x v="0"/>
    <d v="2016-04-12T00:00:00"/>
    <s v="Active"/>
    <s v="REDACTED"/>
    <x v="7"/>
    <s v="London"/>
    <x v="112"/>
    <s v="Wimbledon"/>
    <s v="Private"/>
    <d v="2020-10-13T00:00:00"/>
    <d v="2020-11-17T00:00:00"/>
  </r>
  <r>
    <s v="Ofsted Social Care Provider Webpage"/>
    <n v="2526435"/>
    <x v="0"/>
    <d v="2019-07-04T00:00:00"/>
    <s v="Active"/>
    <s v="REDACTED"/>
    <x v="0"/>
    <s v="East of England"/>
    <x v="41"/>
    <s v="Braintree"/>
    <s v="Private"/>
    <d v="2020-10-13T00:00:00"/>
    <d v="2020-11-10T00:00:00"/>
  </r>
  <r>
    <s v="Ofsted Social Care Provider Webpage"/>
    <n v="1254780"/>
    <x v="0"/>
    <d v="2017-07-17T00:00:00"/>
    <s v="Active"/>
    <s v="REDACTED"/>
    <x v="6"/>
    <s v="West Midlands"/>
    <x v="99"/>
    <s v="Walsall South"/>
    <s v="Private"/>
    <d v="2020-10-13T00:00:00"/>
    <d v="2020-11-17T00:00:00"/>
  </r>
  <r>
    <s v="Ofsted Social Care Provider Webpage"/>
    <n v="1247212"/>
    <x v="0"/>
    <d v="2017-02-07T00:00:00"/>
    <s v="Active"/>
    <s v="REDACTED"/>
    <x v="5"/>
    <s v="North West"/>
    <x v="24"/>
    <s v="St Helens North"/>
    <s v="Private"/>
    <d v="2020-10-13T00:00:00"/>
    <d v="2020-11-13T00:00:00"/>
  </r>
  <r>
    <s v="Ofsted Social Care Provider Webpage"/>
    <n v="1273663"/>
    <x v="0"/>
    <d v="2018-03-20T00:00:00"/>
    <s v="Active"/>
    <s v="REDACTED"/>
    <x v="6"/>
    <s v="West Midlands"/>
    <x v="34"/>
    <s v="Birmingham, Ladywood"/>
    <s v="Voluntary"/>
    <d v="2020-10-13T00:00:00"/>
    <d v="2020-11-13T00:00:00"/>
  </r>
  <r>
    <s v="Ofsted Social Care Provider Webpage"/>
    <n v="1277076"/>
    <x v="1"/>
    <d v="2018-08-13T00:00:00"/>
    <s v="Active"/>
    <s v="F5 Foster Care Limited"/>
    <x v="6"/>
    <s v="West Midlands"/>
    <x v="34"/>
    <s v="Birmingham, Yardley"/>
    <s v="Private"/>
    <d v="2020-10-13T00:00:00"/>
    <d v="2020-11-12T00:00:00"/>
  </r>
  <r>
    <s v="Ofsted Social Care Provider Webpage"/>
    <n v="1256135"/>
    <x v="0"/>
    <d v="2017-05-24T00:00:00"/>
    <s v="Active"/>
    <s v="REDACTED"/>
    <x v="6"/>
    <s v="West Midlands"/>
    <x v="46"/>
    <s v="Burton"/>
    <s v="Private"/>
    <d v="2020-10-13T00:00:00"/>
    <d v="2021-01-05T00:00:00"/>
  </r>
  <r>
    <s v="Ofsted Social Care Provider Webpage"/>
    <s v="SC472485"/>
    <x v="3"/>
    <d v="2013-12-12T00:00:00"/>
    <s v="Active"/>
    <s v="REDACTED"/>
    <x v="1"/>
    <s v="South West"/>
    <x v="96"/>
    <s v="Christchurch"/>
    <s v="Private"/>
    <d v="2020-10-13T00:00:00"/>
    <d v="2020-11-19T00:00:00"/>
  </r>
  <r>
    <s v="Ofsted Social Care Provider Webpage"/>
    <n v="2483693"/>
    <x v="0"/>
    <d v="2018-07-22T00:00:00"/>
    <s v="Active"/>
    <s v="REDACTED"/>
    <x v="4"/>
    <s v="East Midlands"/>
    <x v="4"/>
    <s v="Rutland and Melton"/>
    <s v="Private"/>
    <d v="2020-10-13T00:00:00"/>
    <d v="2020-11-13T00:00:00"/>
  </r>
  <r>
    <s v="Ofsted Social Care Provider Webpage"/>
    <s v="SC473877"/>
    <x v="0"/>
    <d v="2014-03-28T00:00:00"/>
    <s v="Active"/>
    <s v="REDACTED"/>
    <x v="2"/>
    <s v="South East"/>
    <x v="2"/>
    <s v="North Thanet"/>
    <s v="Private"/>
    <d v="2020-10-13T00:00:00"/>
    <d v="2020-12-08T00:00:00"/>
  </r>
  <r>
    <s v="Ofsted Social Care Provider Webpage"/>
    <n v="1275500"/>
    <x v="0"/>
    <d v="2018-09-04T00:00:00"/>
    <s v="Active"/>
    <s v="REDACTED"/>
    <x v="2"/>
    <s v="South East"/>
    <x v="52"/>
    <s v="Bexhill and Battle"/>
    <s v="Private"/>
    <d v="2020-10-13T00:00:00"/>
    <d v="2020-12-14T00:00:00"/>
  </r>
  <r>
    <s v="Ofsted Social Care Provider Webpage"/>
    <n v="2491059"/>
    <x v="0"/>
    <d v="2018-10-15T00:00:00"/>
    <s v="Active"/>
    <s v="REDACTED"/>
    <x v="1"/>
    <s v="South West"/>
    <x v="30"/>
    <s v="Taunton Deane"/>
    <s v="Private"/>
    <d v="2020-10-13T00:00:00"/>
    <d v="2020-11-27T00:00:00"/>
  </r>
  <r>
    <s v="Ofsted Social Care Provider Webpage"/>
    <n v="1263248"/>
    <x v="0"/>
    <d v="2018-01-22T00:00:00"/>
    <s v="Active"/>
    <s v="REDACTED"/>
    <x v="5"/>
    <s v="North West"/>
    <x v="24"/>
    <s v="St Helens South and Whiston"/>
    <s v="Private"/>
    <d v="2020-10-13T00:00:00"/>
    <d v="2020-11-18T00:00:00"/>
  </r>
  <r>
    <s v="Ofsted Social Care Provider Webpage"/>
    <s v="SC061770"/>
    <x v="0"/>
    <d v="2004-10-14T00:00:00"/>
    <s v="Active"/>
    <s v="REDACTED"/>
    <x v="0"/>
    <s v="East of England"/>
    <x v="21"/>
    <s v="Peterborough"/>
    <s v="Private"/>
    <d v="2020-10-13T00:00:00"/>
    <d v="2020-11-06T00:00:00"/>
  </r>
  <r>
    <s v="Ofsted Social Care Provider Webpage"/>
    <s v="SC457180"/>
    <x v="0"/>
    <d v="2013-02-14T00:00:00"/>
    <s v="Active"/>
    <s v="REDACTED"/>
    <x v="5"/>
    <s v="North West"/>
    <x v="15"/>
    <s v="Warrington North"/>
    <s v="Private"/>
    <d v="2020-10-13T00:00:00"/>
    <d v="2020-11-13T00:00:00"/>
  </r>
  <r>
    <s v="Ofsted Social Care Provider Webpage"/>
    <n v="1260700"/>
    <x v="0"/>
    <d v="2017-10-10T00:00:00"/>
    <s v="Active"/>
    <s v="REDACTED"/>
    <x v="4"/>
    <s v="East Midlands"/>
    <x v="4"/>
    <s v="Bosworth"/>
    <s v="Private"/>
    <d v="2020-10-13T00:00:00"/>
    <d v="2020-11-16T00:00:00"/>
  </r>
  <r>
    <s v="Ofsted Social Care Provider Webpage"/>
    <s v="SC471856"/>
    <x v="0"/>
    <d v="2013-12-09T00:00:00"/>
    <s v="Active"/>
    <s v="REDACTED"/>
    <x v="0"/>
    <s v="East of England"/>
    <x v="33"/>
    <s v="North Norfolk"/>
    <s v="Private"/>
    <d v="2020-10-13T00:00:00"/>
    <d v="2020-11-09T00:00:00"/>
  </r>
  <r>
    <s v="Ofsted Social Care Provider Webpage"/>
    <s v="SC457639"/>
    <x v="0"/>
    <d v="2014-01-24T00:00:00"/>
    <s v="Resigned"/>
    <s v="REDACTED"/>
    <x v="2"/>
    <s v="South East"/>
    <x v="2"/>
    <s v="South Thanet"/>
    <s v="Private"/>
    <d v="2020-09-14T00:00:00"/>
    <d v="2020-10-19T00:00:00"/>
  </r>
  <r>
    <s v="Ofsted Social Care Provider Webpage"/>
    <s v="SC396813"/>
    <x v="3"/>
    <d v="2009-07-15T00:00:00"/>
    <s v="Active"/>
    <s v="REDACTED"/>
    <x v="2"/>
    <s v="South East"/>
    <x v="52"/>
    <s v="Lewes"/>
    <s v="Voluntary"/>
    <d v="2020-09-14T00:00:00"/>
    <d v="2020-10-14T00:00:00"/>
  </r>
  <r>
    <s v="Ofsted Social Care Provider Webpage"/>
    <s v="SC471581"/>
    <x v="0"/>
    <d v="2013-11-29T00:00:00"/>
    <s v="Active"/>
    <s v="REDACTED"/>
    <x v="6"/>
    <s v="West Midlands"/>
    <x v="46"/>
    <s v="Cannock Chase"/>
    <s v="Private"/>
    <d v="2020-09-14T00:00:00"/>
    <d v="2020-10-28T00:00:00"/>
  </r>
  <r>
    <s v="Ofsted Social Care Provider Webpage"/>
    <s v="SC481235"/>
    <x v="0"/>
    <d v="2014-09-04T00:00:00"/>
    <s v="Active"/>
    <s v="REDACTED"/>
    <x v="6"/>
    <s v="West Midlands"/>
    <x v="17"/>
    <s v="Warley"/>
    <s v="Private"/>
    <d v="2020-09-14T00:00:00"/>
    <d v="2020-10-09T00:00:00"/>
  </r>
  <r>
    <s v="Ofsted Social Care Provider Webpage"/>
    <n v="1274846"/>
    <x v="0"/>
    <d v="2018-06-28T00:00:00"/>
    <s v="Active"/>
    <s v="REDACTED"/>
    <x v="0"/>
    <s v="East of England"/>
    <x v="48"/>
    <s v="North East Cambridgeshire"/>
    <s v="Private"/>
    <d v="2020-09-14T00:00:00"/>
    <d v="2020-10-08T00:00:00"/>
  </r>
  <r>
    <s v="Ofsted Social Care Provider Webpage"/>
    <n v="1247390"/>
    <x v="0"/>
    <d v="2016-12-22T00:00:00"/>
    <s v="Active"/>
    <s v="REDACTED"/>
    <x v="1"/>
    <s v="South West"/>
    <x v="56"/>
    <s v="Stroud"/>
    <s v="Private"/>
    <d v="2020-09-14T00:00:00"/>
    <d v="2020-10-14T00:00:00"/>
  </r>
  <r>
    <s v="Ofsted Social Care Provider Webpage"/>
    <n v="1247144"/>
    <x v="0"/>
    <d v="2016-11-28T00:00:00"/>
    <s v="Active"/>
    <s v="REDACTED"/>
    <x v="4"/>
    <s v="East Midlands"/>
    <x v="113"/>
    <s v="Derby North"/>
    <s v="Private"/>
    <d v="2020-09-14T00:00:00"/>
    <d v="2020-10-14T00:00:00"/>
  </r>
  <r>
    <s v="Ofsted Social Care Provider Webpage"/>
    <n v="1272657"/>
    <x v="0"/>
    <d v="2018-06-07T00:00:00"/>
    <s v="Active"/>
    <s v="REDACTED"/>
    <x v="0"/>
    <s v="East of England"/>
    <x v="50"/>
    <s v="Ipswich"/>
    <s v="Private"/>
    <d v="2020-09-14T00:00:00"/>
    <d v="2020-10-21T00:00:00"/>
  </r>
  <r>
    <s v="Ofsted Social Care Provider Webpage"/>
    <n v="1185765"/>
    <x v="0"/>
    <d v="2015-12-09T00:00:00"/>
    <s v="Active"/>
    <s v="REDACTED"/>
    <x v="6"/>
    <s v="West Midlands"/>
    <x v="46"/>
    <s v="Cannock Chase"/>
    <s v="Private"/>
    <d v="2020-09-14T00:00:00"/>
    <d v="2020-10-19T00:00:00"/>
  </r>
  <r>
    <s v="Ofsted Social Care Provider Webpage"/>
    <s v="SC043994"/>
    <x v="3"/>
    <d v="2005-05-09T00:00:00"/>
    <s v="Active"/>
    <s v="REDACTED"/>
    <x v="2"/>
    <s v="South East"/>
    <x v="58"/>
    <s v="Buckingham"/>
    <s v="Voluntary"/>
    <d v="2020-09-14T00:00:00"/>
    <d v="2020-10-14T00:00:00"/>
  </r>
  <r>
    <s v="Ofsted Social Care Provider Webpage"/>
    <s v="SC478152"/>
    <x v="0"/>
    <d v="2015-03-05T00:00:00"/>
    <s v="Active"/>
    <s v="REDACTED"/>
    <x v="1"/>
    <s v="South West"/>
    <x v="30"/>
    <s v="Bridgwater and West Somerset"/>
    <s v="Private"/>
    <d v="2020-09-14T00:00:00"/>
    <d v="2020-10-28T00:00:00"/>
  </r>
  <r>
    <s v="Ofsted Social Care Provider Webpage"/>
    <n v="2528264"/>
    <x v="0"/>
    <d v="2019-08-09T00:00:00"/>
    <s v="Active"/>
    <s v="REDACTED"/>
    <x v="7"/>
    <s v="London"/>
    <x v="98"/>
    <s v="Ilford South"/>
    <s v="Private"/>
    <d v="2020-09-14T00:00:00"/>
    <d v="2020-10-21T00:00:00"/>
  </r>
  <r>
    <s v="Ofsted Social Care Provider Webpage"/>
    <s v="SC064428"/>
    <x v="0"/>
    <d v="2005-05-12T00:00:00"/>
    <s v="Active"/>
    <s v="REDACTED"/>
    <x v="5"/>
    <s v="North West"/>
    <x v="72"/>
    <s v="Wigan"/>
    <s v="Private"/>
    <d v="2020-09-14T00:00:00"/>
    <d v="2020-11-02T00:00:00"/>
  </r>
  <r>
    <s v="Ofsted Social Care Provider Webpage"/>
    <n v="1258386"/>
    <x v="0"/>
    <d v="2017-09-04T00:00:00"/>
    <s v="Active"/>
    <s v="REDACTED"/>
    <x v="2"/>
    <s v="South East"/>
    <x v="2"/>
    <s v="Ashford"/>
    <s v="Private"/>
    <d v="2020-09-14T00:00:00"/>
    <d v="2020-11-10T00:00:00"/>
  </r>
  <r>
    <s v="Ofsted Social Care Provider Webpage"/>
    <s v="SC476249"/>
    <x v="0"/>
    <d v="2014-06-30T00:00:00"/>
    <s v="Active"/>
    <s v="REDACTED"/>
    <x v="6"/>
    <s v="West Midlands"/>
    <x v="104"/>
    <s v="North Warwickshire"/>
    <s v="Private"/>
    <d v="2020-09-14T00:00:00"/>
    <d v="2020-10-13T00:00:00"/>
  </r>
  <r>
    <s v="Ofsted Social Care Provider Webpage"/>
    <s v="SC453372"/>
    <x v="0"/>
    <d v="2013-04-24T00:00:00"/>
    <s v="Active"/>
    <s v="REDACTED"/>
    <x v="3"/>
    <s v="North East"/>
    <x v="92"/>
    <s v="Bishop Auckland"/>
    <s v="Private"/>
    <d v="2020-09-14T00:00:00"/>
    <d v="2020-10-16T00:00:00"/>
  </r>
  <r>
    <s v="Ofsted Social Care Provider Webpage"/>
    <n v="1255823"/>
    <x v="0"/>
    <d v="2017-06-20T00:00:00"/>
    <s v="Active"/>
    <s v="REDACTED"/>
    <x v="2"/>
    <s v="South East"/>
    <x v="22"/>
    <s v="New Forest East"/>
    <s v="Local Authority"/>
    <d v="2020-10-14T00:00:00"/>
    <d v="2020-11-18T00:00:00"/>
  </r>
  <r>
    <s v="Ofsted Social Care Provider Webpage"/>
    <n v="2539201"/>
    <x v="0"/>
    <d v="2019-08-28T00:00:00"/>
    <s v="Active"/>
    <s v="REDACTED"/>
    <x v="4"/>
    <s v="East Midlands"/>
    <x v="20"/>
    <s v="Bassetlaw"/>
    <s v="Private"/>
    <d v="2020-10-14T00:00:00"/>
    <d v="2020-11-13T00:00:00"/>
  </r>
  <r>
    <s v="Ofsted Social Care Provider Webpage"/>
    <s v="SC026910"/>
    <x v="3"/>
    <d v="2002-02-19T00:00:00"/>
    <s v="Active"/>
    <s v="REDACTED"/>
    <x v="1"/>
    <s v="South West"/>
    <x v="96"/>
    <s v="North Dorset"/>
    <s v="Private"/>
    <d v="2020-10-14T00:00:00"/>
    <d v="2020-11-19T00:00:00"/>
  </r>
  <r>
    <s v="Ofsted Social Care Provider Webpage"/>
    <n v="1155761"/>
    <x v="0"/>
    <d v="2015-10-08T00:00:00"/>
    <s v="Active"/>
    <s v="REDACTED"/>
    <x v="1"/>
    <s v="South West"/>
    <x v="56"/>
    <s v="Gloucester"/>
    <s v="Private"/>
    <d v="2020-10-14T00:00:00"/>
    <d v="2020-11-19T00:00:00"/>
  </r>
  <r>
    <s v="Ofsted Social Care Provider Webpage"/>
    <n v="2594875"/>
    <x v="0"/>
    <d v="2020-07-13T00:00:00"/>
    <s v="Active"/>
    <s v="REDACTED"/>
    <x v="0"/>
    <s v="East of England"/>
    <x v="48"/>
    <s v="North West Cambridgeshire"/>
    <s v="Private"/>
    <d v="2020-10-14T00:00:00"/>
    <d v="2020-11-13T00:00:00"/>
  </r>
  <r>
    <s v="Ofsted Social Care Provider Webpage"/>
    <s v="SC060554"/>
    <x v="0"/>
    <d v="2004-05-28T00:00:00"/>
    <s v="Active"/>
    <s v="REDACTED"/>
    <x v="6"/>
    <s v="West Midlands"/>
    <x v="46"/>
    <s v="Cannock Chase"/>
    <s v="Private"/>
    <d v="2020-10-14T00:00:00"/>
    <d v="2020-11-13T00:00:00"/>
  </r>
  <r>
    <s v="Ofsted Social Care Provider Webpage"/>
    <n v="2529639"/>
    <x v="0"/>
    <d v="2019-08-06T00:00:00"/>
    <s v="Active"/>
    <s v="REDACTED"/>
    <x v="6"/>
    <s v="West Midlands"/>
    <x v="75"/>
    <s v="Coventry South"/>
    <s v="Local Authority"/>
    <d v="2020-10-14T00:00:00"/>
    <d v="2020-11-27T00:00:00"/>
  </r>
  <r>
    <s v="Ofsted Social Care Provider Webpage"/>
    <s v="SC389649"/>
    <x v="0"/>
    <d v="2009-02-18T00:00:00"/>
    <s v="Resigned"/>
    <s v="REDACTED"/>
    <x v="5"/>
    <s v="North West"/>
    <x v="11"/>
    <s v="Manchester, Gorton"/>
    <s v="Private"/>
    <d v="2020-10-14T00:00:00"/>
    <d v="2020-11-20T00:00:00"/>
  </r>
  <r>
    <s v="Ofsted Social Care Provider Webpage"/>
    <n v="2509452"/>
    <x v="0"/>
    <d v="2019-03-11T00:00:00"/>
    <s v="Active"/>
    <s v="REDACTED"/>
    <x v="5"/>
    <s v="North West"/>
    <x v="72"/>
    <s v="Leigh"/>
    <s v="Private"/>
    <d v="2020-10-14T00:00:00"/>
    <d v="2020-11-13T00:00:00"/>
  </r>
  <r>
    <s v="Ofsted Social Care Provider Webpage"/>
    <n v="2586949"/>
    <x v="0"/>
    <d v="2020-04-30T00:00:00"/>
    <s v="Active"/>
    <s v="REDACTED"/>
    <x v="5"/>
    <s v="North West"/>
    <x v="16"/>
    <s v="Rossendale and Darwen"/>
    <s v="Private"/>
    <d v="2020-10-14T00:00:00"/>
    <d v="2020-11-19T00:00:00"/>
  </r>
  <r>
    <s v="Ofsted Social Care Provider Webpage"/>
    <n v="2511289"/>
    <x v="0"/>
    <d v="2019-01-21T00:00:00"/>
    <s v="Active"/>
    <s v="REDACTED"/>
    <x v="1"/>
    <s v="South West"/>
    <x v="27"/>
    <s v="Plymouth, Sutton and Devonport"/>
    <s v="Private"/>
    <d v="2020-10-14T00:00:00"/>
    <d v="2020-11-17T00:00:00"/>
  </r>
  <r>
    <s v="Ofsted Social Care Provider Webpage"/>
    <s v="SC023737"/>
    <x v="0"/>
    <d v="2001-06-26T00:00:00"/>
    <s v="Active"/>
    <s v="REDACTED"/>
    <x v="2"/>
    <s v="South East"/>
    <x v="2"/>
    <s v="North Thanet"/>
    <s v="Private"/>
    <d v="2020-10-14T00:00:00"/>
    <d v="2020-11-27T00:00:00"/>
  </r>
  <r>
    <s v="Ofsted Social Care Provider Webpage"/>
    <s v="SC421197"/>
    <x v="0"/>
    <d v="2011-01-06T00:00:00"/>
    <s v="Active"/>
    <s v="REDACTED"/>
    <x v="5"/>
    <s v="North West"/>
    <x v="16"/>
    <s v="Morecambe and Lunesdale"/>
    <s v="Private"/>
    <d v="2020-10-14T00:00:00"/>
    <d v="2020-11-30T00:00:00"/>
  </r>
  <r>
    <s v="Ofsted Social Care Provider Webpage"/>
    <s v="SC059998"/>
    <x v="0"/>
    <d v="2004-02-10T00:00:00"/>
    <s v="Active"/>
    <s v="REDACTED"/>
    <x v="4"/>
    <s v="East Midlands"/>
    <x v="113"/>
    <s v="Derby South"/>
    <s v="Private"/>
    <d v="2020-10-14T00:00:00"/>
    <d v="2020-11-17T00:00:00"/>
  </r>
  <r>
    <s v="Ofsted Social Care Provider Webpage"/>
    <n v="2515609"/>
    <x v="0"/>
    <d v="2019-02-21T00:00:00"/>
    <s v="Active"/>
    <s v="REDACTED"/>
    <x v="6"/>
    <s v="West Midlands"/>
    <x v="75"/>
    <s v="Coventry North East"/>
    <s v="Private"/>
    <d v="2020-10-14T00:00:00"/>
    <d v="2020-11-19T00:00:00"/>
  </r>
  <r>
    <s v="Ofsted Social Care Provider Webpage"/>
    <s v="SC482340"/>
    <x v="0"/>
    <d v="2014-12-03T00:00:00"/>
    <s v="Active"/>
    <s v="REDACTED"/>
    <x v="5"/>
    <s v="North West"/>
    <x v="85"/>
    <s v="Knowsley"/>
    <s v="Private"/>
    <d v="2020-10-14T00:00:00"/>
    <d v="2020-11-17T00:00:00"/>
  </r>
  <r>
    <s v="Ofsted Social Care Provider Webpage"/>
    <s v="SC420388"/>
    <x v="0"/>
    <d v="2010-12-22T00:00:00"/>
    <s v="Active"/>
    <s v="REDACTED"/>
    <x v="5"/>
    <s v="North West"/>
    <x v="114"/>
    <s v="Bury North"/>
    <s v="Private"/>
    <d v="2020-10-14T00:00:00"/>
    <d v="2020-11-17T00:00:00"/>
  </r>
  <r>
    <s v="Ofsted Social Care Provider Webpage"/>
    <s v="SC439535"/>
    <x v="0"/>
    <d v="2011-12-09T00:00:00"/>
    <s v="Active"/>
    <s v="REDACTED"/>
    <x v="3"/>
    <s v="Yorkshire and The Humber"/>
    <x v="60"/>
    <s v="Selby and Ainsty"/>
    <s v="Private"/>
    <d v="2020-10-14T00:00:00"/>
    <d v="2020-12-02T00:00:00"/>
  </r>
  <r>
    <s v="Ofsted Social Care Provider Webpage"/>
    <n v="2529667"/>
    <x v="0"/>
    <d v="2019-03-15T00:00:00"/>
    <s v="Active"/>
    <s v="REDACTED"/>
    <x v="1"/>
    <s v="South West"/>
    <x v="10"/>
    <s v="Central Devon"/>
    <s v="Local Authority"/>
    <d v="2020-10-14T00:00:00"/>
    <d v="2020-11-20T00:00:00"/>
  </r>
  <r>
    <s v="Ofsted Social Care Provider Webpage"/>
    <s v="SC039847"/>
    <x v="6"/>
    <d v="2002-11-07T00:00:00"/>
    <s v="Active"/>
    <s v="Sexeys School"/>
    <x v="1"/>
    <s v="South West"/>
    <x v="30"/>
    <s v="Somerton and Frome"/>
    <s v="Academy"/>
    <d v="2020-10-14T00:00:00"/>
    <d v="2020-11-20T00:00:00"/>
  </r>
  <r>
    <s v="Ofsted Social Care Provider Webpage"/>
    <n v="1239948"/>
    <x v="0"/>
    <d v="2016-05-25T00:00:00"/>
    <s v="Active"/>
    <s v="REDACTED"/>
    <x v="2"/>
    <s v="South East"/>
    <x v="6"/>
    <s v="Portsmouth South"/>
    <s v="Local Authority"/>
    <d v="2020-10-14T00:00:00"/>
    <d v="2020-12-07T00:00:00"/>
  </r>
  <r>
    <s v="Ofsted Social Care Provider Webpage"/>
    <n v="2495951"/>
    <x v="0"/>
    <d v="2018-10-16T00:00:00"/>
    <s v="Active"/>
    <s v="REDACTED"/>
    <x v="4"/>
    <s v="East Midlands"/>
    <x v="4"/>
    <s v="North West Leicestershire"/>
    <s v="Private"/>
    <d v="2020-10-14T00:00:00"/>
    <d v="2020-11-18T00:00:00"/>
  </r>
  <r>
    <s v="Ofsted Social Care Provider Webpage"/>
    <n v="2491037"/>
    <x v="0"/>
    <d v="2018-12-03T00:00:00"/>
    <s v="Active"/>
    <s v="REDACTED"/>
    <x v="4"/>
    <s v="East Midlands"/>
    <x v="36"/>
    <s v="Nottingham North"/>
    <s v="Private"/>
    <d v="2020-10-14T00:00:00"/>
    <d v="2020-11-12T00:00:00"/>
  </r>
  <r>
    <s v="Ofsted Social Care Provider Webpage"/>
    <n v="2496864"/>
    <x v="0"/>
    <d v="2018-09-06T00:00:00"/>
    <s v="Active"/>
    <s v="REDACTED"/>
    <x v="3"/>
    <s v="North East"/>
    <x v="65"/>
    <s v="Blyth Valley"/>
    <s v="Private"/>
    <d v="2020-12-14T00:00:00"/>
    <d v="2021-01-26T00:00:00"/>
  </r>
  <r>
    <s v="Ofsted Social Care Provider Webpage"/>
    <n v="1027158"/>
    <x v="0"/>
    <d v="2015-09-04T00:00:00"/>
    <s v="Active"/>
    <s v="REDACTED"/>
    <x v="0"/>
    <s v="East of England"/>
    <x v="33"/>
    <s v="South West Norfolk"/>
    <s v="Private"/>
    <d v="2020-12-14T00:00:00"/>
    <d v="2021-01-25T00:00:00"/>
  </r>
  <r>
    <s v="Ofsted Social Care Provider Webpage"/>
    <n v="2579887"/>
    <x v="0"/>
    <d v="2020-06-18T00:00:00"/>
    <s v="Active"/>
    <s v="REDACTED"/>
    <x v="1"/>
    <s v="South West"/>
    <x v="96"/>
    <s v="West Dorset"/>
    <s v="Private"/>
    <d v="2020-12-14T00:00:00"/>
    <d v="2021-01-21T00:00:00"/>
  </r>
  <r>
    <s v="Ofsted Social Care Provider Webpage"/>
    <n v="2571759"/>
    <x v="0"/>
    <d v="2020-02-11T00:00:00"/>
    <s v="Active"/>
    <s v="REDACTED"/>
    <x v="3"/>
    <s v="Yorkshire and The Humber"/>
    <x v="45"/>
    <s v="Batley and Spen"/>
    <s v="Private"/>
    <d v="2020-12-14T00:00:00"/>
    <d v="2021-01-25T00:00:00"/>
  </r>
  <r>
    <s v="Ofsted Social Care Provider Webpage"/>
    <s v="SC426172"/>
    <x v="0"/>
    <d v="2011-04-06T00:00:00"/>
    <s v="Active"/>
    <s v="REDACTED"/>
    <x v="0"/>
    <s v="East of England"/>
    <x v="19"/>
    <s v="Hertford and Stortford"/>
    <s v="Voluntary"/>
    <d v="2020-12-14T00:00:00"/>
    <d v="2021-01-25T00:00:00"/>
  </r>
  <r>
    <s v="Ofsted Social Care Provider Webpage"/>
    <s v="SC381522"/>
    <x v="0"/>
    <d v="2008-10-06T00:00:00"/>
    <s v="Active"/>
    <s v="REDACTED"/>
    <x v="4"/>
    <s v="East Midlands"/>
    <x v="20"/>
    <s v="Ashfield"/>
    <s v="Private"/>
    <d v="2020-12-14T00:00:00"/>
    <d v="2021-01-22T00:00:00"/>
  </r>
  <r>
    <s v="Ofsted Social Care Provider Webpage"/>
    <s v="SC476008"/>
    <x v="0"/>
    <d v="2014-02-28T00:00:00"/>
    <s v="Active"/>
    <s v="REDACTED"/>
    <x v="5"/>
    <s v="North West"/>
    <x v="91"/>
    <s v="Macclesfield"/>
    <s v="Private"/>
    <d v="2020-12-14T00:00:00"/>
    <d v="2021-01-29T00:00:00"/>
  </r>
  <r>
    <s v="Ofsted Social Care Provider Webpage"/>
    <n v="1270002"/>
    <x v="0"/>
    <d v="2018-05-22T00:00:00"/>
    <s v="Active"/>
    <s v="REDACTED"/>
    <x v="5"/>
    <s v="North West"/>
    <x v="69"/>
    <s v="Garston and Halewood"/>
    <s v="Private"/>
    <d v="2020-12-14T00:00:00"/>
    <d v="2021-01-26T00:00:00"/>
  </r>
  <r>
    <s v="Ofsted Social Care Provider Webpage"/>
    <n v="2521953"/>
    <x v="0"/>
    <d v="2019-10-01T00:00:00"/>
    <s v="Active"/>
    <s v="REDACTED"/>
    <x v="5"/>
    <s v="North West"/>
    <x v="16"/>
    <s v="Blackpool North and Cleveleys"/>
    <s v="Private"/>
    <d v="2020-12-14T00:00:00"/>
    <d v="2021-01-29T00:00:00"/>
  </r>
  <r>
    <s v="Ofsted Social Care Provider Webpage"/>
    <s v="SC457434"/>
    <x v="0"/>
    <d v="2013-02-19T00:00:00"/>
    <s v="Active"/>
    <s v="REDACTED"/>
    <x v="3"/>
    <s v="North East"/>
    <x v="63"/>
    <s v="Middlesbrough"/>
    <s v="Private"/>
    <d v="2020-09-15T00:00:00"/>
    <d v="2020-10-26T00:00:00"/>
  </r>
  <r>
    <s v="Ofsted Social Care Provider Webpage"/>
    <s v="SC029865"/>
    <x v="0"/>
    <d v="2002-12-30T00:00:00"/>
    <s v="Active"/>
    <s v="REDACTED"/>
    <x v="2"/>
    <s v="South East"/>
    <x v="12"/>
    <s v="Mid Sussex"/>
    <s v="Private"/>
    <d v="2020-09-15T00:00:00"/>
    <d v="2020-10-19T00:00:00"/>
  </r>
  <r>
    <s v="Ofsted Social Care Provider Webpage"/>
    <s v="SC487702"/>
    <x v="0"/>
    <d v="2015-09-28T00:00:00"/>
    <s v="Active"/>
    <s v="REDACTED"/>
    <x v="0"/>
    <s v="East of England"/>
    <x v="50"/>
    <s v="Ipswich"/>
    <s v="Private"/>
    <d v="2020-09-15T00:00:00"/>
    <d v="2020-10-19T00:00:00"/>
  </r>
  <r>
    <s v="Ofsted Social Care Provider Webpage"/>
    <s v="SC062074"/>
    <x v="0"/>
    <d v="2004-12-23T00:00:00"/>
    <s v="Active"/>
    <s v="REDACTED"/>
    <x v="6"/>
    <s v="West Midlands"/>
    <x v="43"/>
    <s v="North Herefordshire"/>
    <s v="Private"/>
    <d v="2020-09-15T00:00:00"/>
    <d v="2020-10-22T00:00:00"/>
  </r>
  <r>
    <s v="Ofsted Social Care Provider Webpage"/>
    <n v="1238043"/>
    <x v="0"/>
    <d v="2016-07-01T00:00:00"/>
    <s v="Active"/>
    <s v="REDACTED"/>
    <x v="5"/>
    <s v="North West"/>
    <x v="16"/>
    <s v="Wyre and Preston North"/>
    <s v="Private"/>
    <d v="2020-09-15T00:00:00"/>
    <d v="2020-11-06T00:00:00"/>
  </r>
  <r>
    <s v="Ofsted Social Care Provider Webpage"/>
    <s v="SC040266"/>
    <x v="0"/>
    <d v="2003-08-15T00:00:00"/>
    <s v="Active"/>
    <s v="REDACTED"/>
    <x v="5"/>
    <s v="North West"/>
    <x v="72"/>
    <s v="Wigan"/>
    <s v="Local Authority"/>
    <d v="2020-09-15T00:00:00"/>
    <d v="2020-11-11T00:00:00"/>
  </r>
  <r>
    <s v="Ofsted Social Care Provider Webpage"/>
    <s v="SC061005"/>
    <x v="0"/>
    <d v="2004-06-24T00:00:00"/>
    <s v="Active"/>
    <s v="REDACTED"/>
    <x v="3"/>
    <s v="Yorkshire and The Humber"/>
    <x v="83"/>
    <s v="Shipley"/>
    <s v="Local Authority"/>
    <d v="2020-09-15T00:00:00"/>
    <d v="2020-10-15T00:00:00"/>
  </r>
  <r>
    <s v="Ofsted Social Care Provider Webpage"/>
    <s v="SC438648"/>
    <x v="0"/>
    <d v="2011-12-14T00:00:00"/>
    <s v="Active"/>
    <s v="REDACTED"/>
    <x v="2"/>
    <s v="South East"/>
    <x v="2"/>
    <s v="South Thanet"/>
    <s v="Private"/>
    <d v="2020-09-15T00:00:00"/>
    <d v="2020-10-19T00:00:00"/>
  </r>
  <r>
    <s v="Ofsted Social Care Provider Webpage"/>
    <n v="2540927"/>
    <x v="0"/>
    <d v="2019-07-24T00:00:00"/>
    <s v="Active"/>
    <s v="REDACTED"/>
    <x v="4"/>
    <s v="East Midlands"/>
    <x v="40"/>
    <s v="Gainsborough"/>
    <s v="Private"/>
    <d v="2020-09-15T00:00:00"/>
    <d v="2020-10-13T00:00:00"/>
  </r>
  <r>
    <s v="Ofsted Social Care Provider Webpage"/>
    <n v="1262935"/>
    <x v="0"/>
    <d v="2017-08-18T00:00:00"/>
    <s v="Active"/>
    <s v="REDACTED"/>
    <x v="5"/>
    <s v="North West"/>
    <x v="78"/>
    <s v="Penrith and The Border"/>
    <s v="Private"/>
    <d v="2020-09-15T00:00:00"/>
    <d v="2020-10-29T00:00:00"/>
  </r>
  <r>
    <s v="Ofsted Social Care Provider Webpage"/>
    <s v="SC475323"/>
    <x v="0"/>
    <d v="2014-02-06T00:00:00"/>
    <s v="Active"/>
    <s v="REDACTED"/>
    <x v="6"/>
    <s v="West Midlands"/>
    <x v="46"/>
    <s v="Staffordshire Moorlands"/>
    <s v="Private"/>
    <d v="2020-09-15T00:00:00"/>
    <d v="2020-10-30T00:00:00"/>
  </r>
  <r>
    <s v="Ofsted Social Care Provider Webpage"/>
    <s v="SC421063"/>
    <x v="0"/>
    <d v="2011-02-03T00:00:00"/>
    <s v="Active"/>
    <s v="REDACTED"/>
    <x v="2"/>
    <s v="South East"/>
    <x v="58"/>
    <s v="Buckingham"/>
    <s v="Private"/>
    <d v="2020-09-15T00:00:00"/>
    <d v="2020-10-28T00:00:00"/>
  </r>
  <r>
    <s v="Ofsted Social Care Provider Webpage"/>
    <s v="SC025420"/>
    <x v="0"/>
    <d v="2000-11-14T00:00:00"/>
    <s v="Active"/>
    <s v="REDACTED"/>
    <x v="5"/>
    <s v="North West"/>
    <x v="69"/>
    <s v="Liverpool, Riverside"/>
    <s v="Private"/>
    <d v="2020-09-15T00:00:00"/>
    <d v="2020-10-29T00:00:00"/>
  </r>
  <r>
    <s v="Ofsted Social Care Provider Webpage"/>
    <s v="SC035543"/>
    <x v="0"/>
    <d v="2003-04-01T00:00:00"/>
    <s v="Active"/>
    <s v="REDACTED"/>
    <x v="3"/>
    <s v="Yorkshire and The Humber"/>
    <x v="111"/>
    <s v="East Yorkshire"/>
    <s v="Local Authority"/>
    <d v="2020-09-15T00:00:00"/>
    <d v="2020-10-20T00:00:00"/>
  </r>
  <r>
    <s v="Ofsted Social Care Provider Webpage"/>
    <s v="SC479649"/>
    <x v="0"/>
    <d v="2014-11-30T00:00:00"/>
    <s v="Active"/>
    <s v="REDACTED"/>
    <x v="5"/>
    <s v="North West"/>
    <x v="16"/>
    <s v="Lancaster and Fleetwood"/>
    <s v="Private"/>
    <d v="2020-09-15T00:00:00"/>
    <d v="2020-10-27T00:00:00"/>
  </r>
  <r>
    <s v="Ofsted Social Care Provider Webpage"/>
    <n v="1227330"/>
    <x v="0"/>
    <d v="2016-05-04T00:00:00"/>
    <s v="Resigned"/>
    <s v="REDACTED"/>
    <x v="6"/>
    <s v="West Midlands"/>
    <x v="51"/>
    <s v="The Wrekin"/>
    <s v="Private"/>
    <d v="2020-09-15T00:00:00"/>
    <d v="2020-10-15T00:00:00"/>
  </r>
  <r>
    <s v="Ofsted Social Care Provider Webpage"/>
    <s v="SC457500"/>
    <x v="0"/>
    <d v="2013-02-27T00:00:00"/>
    <s v="Active"/>
    <s v="REDACTED"/>
    <x v="4"/>
    <s v="East Midlands"/>
    <x v="36"/>
    <s v="Nottingham East"/>
    <s v="Private"/>
    <d v="2020-09-15T00:00:00"/>
    <d v="2020-10-16T00:00:00"/>
  </r>
  <r>
    <s v="Ofsted Social Care Provider Webpage"/>
    <s v="SC060750"/>
    <x v="0"/>
    <d v="2004-06-24T00:00:00"/>
    <s v="Active"/>
    <s v="REDACTED"/>
    <x v="5"/>
    <s v="North West"/>
    <x v="16"/>
    <s v="Rossendale and Darwen"/>
    <s v="Private"/>
    <d v="2020-09-15T00:00:00"/>
    <d v="2020-10-22T00:00:00"/>
  </r>
  <r>
    <s v="Ofsted Social Care Provider Webpage"/>
    <s v="SC039414"/>
    <x v="0"/>
    <d v="2003-11-03T00:00:00"/>
    <s v="Active"/>
    <s v="REDACTED"/>
    <x v="3"/>
    <s v="Yorkshire and The Humber"/>
    <x v="42"/>
    <s v="Sheffield Central"/>
    <s v="Local Authority"/>
    <d v="2020-09-15T00:00:00"/>
    <d v="2020-10-21T00:00:00"/>
  </r>
  <r>
    <s v="Ofsted Social Care Provider Webpage"/>
    <s v="SC387671"/>
    <x v="0"/>
    <d v="2009-02-27T00:00:00"/>
    <s v="Active"/>
    <s v="REDACTED"/>
    <x v="5"/>
    <s v="North West"/>
    <x v="8"/>
    <s v="Oldham East and Saddleworth"/>
    <s v="Local Authority"/>
    <d v="2020-09-15T00:00:00"/>
    <d v="2020-10-21T00:00:00"/>
  </r>
  <r>
    <s v="Ofsted Social Care Provider Webpage"/>
    <s v="SC067865"/>
    <x v="0"/>
    <d v="2006-10-25T00:00:00"/>
    <s v="Active"/>
    <s v="REDACTED"/>
    <x v="3"/>
    <s v="Yorkshire and The Humber"/>
    <x v="88"/>
    <s v="Barnsley Central"/>
    <s v="Private"/>
    <d v="2020-09-15T00:00:00"/>
    <d v="2020-10-26T00:00:00"/>
  </r>
  <r>
    <s v="Ofsted Social Care Provider Webpage"/>
    <s v="SC036248"/>
    <x v="0"/>
    <d v="2003-12-11T00:00:00"/>
    <s v="Active"/>
    <s v="REDACTED"/>
    <x v="4"/>
    <s v="East Midlands"/>
    <x v="14"/>
    <s v="Erewash"/>
    <s v="Local Authority"/>
    <d v="2020-09-15T00:00:00"/>
    <d v="2020-10-16T00:00:00"/>
  </r>
  <r>
    <s v="Ofsted Social Care Provider Webpage"/>
    <s v="SC451819"/>
    <x v="0"/>
    <d v="2012-08-07T00:00:00"/>
    <s v="Active"/>
    <s v="REDACTED"/>
    <x v="1"/>
    <s v="South West"/>
    <x v="1"/>
    <s v="South West Wiltshire"/>
    <s v="Private"/>
    <d v="2020-09-15T00:00:00"/>
    <d v="2020-10-26T00:00:00"/>
  </r>
  <r>
    <s v="Ofsted Social Care Provider Webpage"/>
    <n v="1270393"/>
    <x v="0"/>
    <d v="2018-03-10T00:00:00"/>
    <s v="Active"/>
    <s v="REDACTED"/>
    <x v="3"/>
    <s v="Yorkshire and The Humber"/>
    <x v="59"/>
    <s v="Rother Valley"/>
    <s v="Private"/>
    <d v="2020-09-15T00:00:00"/>
    <d v="2020-10-22T00:00:00"/>
  </r>
  <r>
    <s v="Ofsted Social Care Provider Webpage"/>
    <n v="1265096"/>
    <x v="0"/>
    <d v="2018-04-19T00:00:00"/>
    <s v="Active"/>
    <s v="REDACTED"/>
    <x v="6"/>
    <s v="West Midlands"/>
    <x v="64"/>
    <s v="Wolverhampton North East"/>
    <s v="Private"/>
    <d v="2020-09-15T00:00:00"/>
    <d v="2020-10-14T00:00:00"/>
  </r>
  <r>
    <s v="Ofsted Social Care Provider Webpage"/>
    <n v="1278020"/>
    <x v="0"/>
    <d v="2018-07-10T00:00:00"/>
    <s v="Active"/>
    <s v="REDACTED"/>
    <x v="1"/>
    <s v="South West"/>
    <x v="10"/>
    <s v="North Devon"/>
    <s v="Private"/>
    <d v="2020-09-15T00:00:00"/>
    <d v="2020-11-12T00:00:00"/>
  </r>
  <r>
    <s v="Ofsted Social Care Provider Webpage"/>
    <s v="SC450045"/>
    <x v="0"/>
    <d v="2012-08-01T00:00:00"/>
    <s v="Active"/>
    <s v="REDACTED"/>
    <x v="0"/>
    <s v="East of England"/>
    <x v="33"/>
    <s v="Norwich North"/>
    <s v="Local Authority"/>
    <d v="2020-09-15T00:00:00"/>
    <d v="2020-10-14T00:00:00"/>
  </r>
  <r>
    <s v="Ofsted Social Care Provider Webpage"/>
    <s v="SC403472"/>
    <x v="0"/>
    <d v="2010-05-11T00:00:00"/>
    <s v="Active"/>
    <s v="REDACTED"/>
    <x v="3"/>
    <s v="North East"/>
    <x v="73"/>
    <s v="Newcastle upon Tyne North"/>
    <s v="Private"/>
    <d v="2020-09-15T00:00:00"/>
    <d v="2020-10-23T00:00:00"/>
  </r>
  <r>
    <s v="Ofsted Social Care Provider Webpage"/>
    <s v="SC033389"/>
    <x v="0"/>
    <d v="2003-07-17T00:00:00"/>
    <s v="Active"/>
    <s v="REDACTED"/>
    <x v="3"/>
    <s v="Yorkshire and The Humber"/>
    <x v="26"/>
    <s v="Leeds North West"/>
    <s v="Local Authority"/>
    <d v="2020-09-15T00:00:00"/>
    <d v="2020-10-20T00:00:00"/>
  </r>
  <r>
    <s v="Ofsted Social Care Provider Webpage"/>
    <n v="2532131"/>
    <x v="0"/>
    <d v="2019-07-12T00:00:00"/>
    <s v="Active"/>
    <s v="REDACTED"/>
    <x v="0"/>
    <s v="East of England"/>
    <x v="33"/>
    <s v="Norwich South"/>
    <s v="Private"/>
    <d v="2020-09-15T00:00:00"/>
    <d v="2020-10-12T00:00:00"/>
  </r>
  <r>
    <s v="Ofsted Social Care Provider Webpage"/>
    <n v="1267402"/>
    <x v="0"/>
    <d v="2018-04-13T00:00:00"/>
    <s v="Active"/>
    <s v="REDACTED"/>
    <x v="3"/>
    <s v="North East"/>
    <x v="84"/>
    <s v="Redcar"/>
    <s v="Private"/>
    <d v="2020-09-15T00:00:00"/>
    <d v="2020-11-13T00:00:00"/>
  </r>
  <r>
    <s v="Ofsted Social Care Provider Webpage"/>
    <n v="2509670"/>
    <x v="0"/>
    <d v="2019-03-28T00:00:00"/>
    <s v="Active"/>
    <s v="REDACTED"/>
    <x v="5"/>
    <s v="North West"/>
    <x v="70"/>
    <s v="Stockport"/>
    <s v="Private"/>
    <d v="2020-09-15T00:00:00"/>
    <d v="2020-11-12T00:00:00"/>
  </r>
  <r>
    <s v="Ofsted Social Care Provider Webpage"/>
    <n v="1236625"/>
    <x v="0"/>
    <d v="2016-07-21T00:00:00"/>
    <s v="Active"/>
    <s v="REDACTED"/>
    <x v="4"/>
    <s v="East Midlands"/>
    <x v="4"/>
    <s v="Charnwood"/>
    <s v="Private"/>
    <d v="2020-09-15T00:00:00"/>
    <d v="2020-10-22T00:00:00"/>
  </r>
  <r>
    <s v="Ofsted Social Care Provider Webpage"/>
    <s v="SC370982"/>
    <x v="0"/>
    <d v="2008-06-16T00:00:00"/>
    <s v="Active"/>
    <s v="REDACTED"/>
    <x v="6"/>
    <s v="West Midlands"/>
    <x v="55"/>
    <s v="Shrewsbury and Atcham"/>
    <s v="Local Authority"/>
    <d v="2020-09-15T00:00:00"/>
    <d v="2020-10-19T00:00:00"/>
  </r>
  <r>
    <s v="Ofsted Social Care Provider Webpage"/>
    <s v="SC363268"/>
    <x v="0"/>
    <d v="2008-01-09T00:00:00"/>
    <s v="Active"/>
    <s v="REDACTED"/>
    <x v="2"/>
    <s v="South East"/>
    <x v="22"/>
    <s v="New Forest East"/>
    <s v="Private"/>
    <d v="2020-09-15T00:00:00"/>
    <d v="2020-10-27T00:00:00"/>
  </r>
  <r>
    <s v="Ofsted Social Care Provider Webpage"/>
    <n v="1258343"/>
    <x v="0"/>
    <d v="2017-09-19T00:00:00"/>
    <s v="Active"/>
    <s v="REDACTED"/>
    <x v="1"/>
    <s v="South West"/>
    <x v="1"/>
    <s v="Salisbury"/>
    <s v="Private"/>
    <d v="2020-09-15T00:00:00"/>
    <d v="2020-10-28T00:00:00"/>
  </r>
  <r>
    <s v="Ofsted Social Care Provider Webpage"/>
    <n v="1249115"/>
    <x v="0"/>
    <d v="2017-03-12T00:00:00"/>
    <s v="Active"/>
    <s v="REDACTED"/>
    <x v="3"/>
    <s v="Yorkshire and The Humber"/>
    <x v="23"/>
    <s v="Calder Valley"/>
    <s v="Private"/>
    <d v="2020-09-15T00:00:00"/>
    <d v="2020-11-03T00:00:00"/>
  </r>
  <r>
    <s v="Ofsted Social Care Provider Webpage"/>
    <n v="2522240"/>
    <x v="0"/>
    <d v="2019-05-09T00:00:00"/>
    <s v="Active"/>
    <s v="REDACTED"/>
    <x v="3"/>
    <s v="North East"/>
    <x v="37"/>
    <s v="Sunderland Central"/>
    <s v="Voluntary"/>
    <d v="2020-09-15T00:00:00"/>
    <d v="2020-10-13T00:00:00"/>
  </r>
  <r>
    <s v="Ofsted Social Care Provider Webpage"/>
    <s v="SC065067"/>
    <x v="0"/>
    <d v="2005-09-01T00:00:00"/>
    <s v="Active"/>
    <s v="REDACTED"/>
    <x v="5"/>
    <s v="North West"/>
    <x v="35"/>
    <s v="Salford and Eccles"/>
    <s v="Local Authority"/>
    <d v="2020-09-15T00:00:00"/>
    <d v="2020-10-28T00:00:00"/>
  </r>
  <r>
    <s v="Ofsted Social Care Provider Webpage"/>
    <s v="SC480681"/>
    <x v="0"/>
    <d v="2015-01-27T00:00:00"/>
    <s v="Active"/>
    <s v="REDACTED"/>
    <x v="5"/>
    <s v="North West"/>
    <x v="16"/>
    <s v="Wyre and Preston North"/>
    <s v="Private"/>
    <d v="2020-09-15T00:00:00"/>
    <d v="2020-10-20T00:00:00"/>
  </r>
  <r>
    <s v="Ofsted Social Care Provider Webpage"/>
    <n v="1263270"/>
    <x v="0"/>
    <d v="2017-08-18T00:00:00"/>
    <s v="Active"/>
    <s v="REDACTED"/>
    <x v="1"/>
    <s v="South West"/>
    <x v="62"/>
    <s v="South East Cornwall"/>
    <s v="Private"/>
    <d v="2020-10-15T00:00:00"/>
    <d v="2020-11-17T00:00:00"/>
  </r>
  <r>
    <s v="Ofsted Social Care Provider Webpage"/>
    <s v="SC063219"/>
    <x v="0"/>
    <d v="2005-07-22T00:00:00"/>
    <s v="Active"/>
    <s v="REDACTED"/>
    <x v="7"/>
    <s v="London"/>
    <x v="100"/>
    <s v="West Ham"/>
    <s v="Private"/>
    <d v="2020-10-15T00:00:00"/>
    <d v="2020-11-19T00:00:00"/>
  </r>
  <r>
    <s v="Ofsted Social Care Provider Webpage"/>
    <n v="2580890"/>
    <x v="0"/>
    <d v="2020-04-29T00:00:00"/>
    <s v="Active"/>
    <s v="REDACTED"/>
    <x v="1"/>
    <s v="South West"/>
    <x v="30"/>
    <s v="Bridgwater and West Somerset"/>
    <s v="Private"/>
    <d v="2020-10-15T00:00:00"/>
    <d v="2020-11-19T00:00:00"/>
  </r>
  <r>
    <s v="Ofsted Social Care Provider Webpage"/>
    <n v="1250186"/>
    <x v="0"/>
    <d v="2017-05-17T00:00:00"/>
    <s v="Active"/>
    <s v="REDACTED"/>
    <x v="6"/>
    <s v="West Midlands"/>
    <x v="51"/>
    <s v="The Wrekin"/>
    <s v="Private"/>
    <d v="2020-10-15T00:00:00"/>
    <d v="2020-11-26T00:00:00"/>
  </r>
  <r>
    <s v="Ofsted Social Care Provider Webpage"/>
    <s v="SC446261"/>
    <x v="0"/>
    <d v="2012-04-23T00:00:00"/>
    <s v="Active"/>
    <s v="REDACTED"/>
    <x v="6"/>
    <s v="West Midlands"/>
    <x v="46"/>
    <s v="Staffordshire Moorlands"/>
    <s v="Private"/>
    <d v="2020-10-15T00:00:00"/>
    <d v="2020-11-23T00:00:00"/>
  </r>
  <r>
    <s v="Ofsted Social Care Provider Webpage"/>
    <s v="SC018958"/>
    <x v="5"/>
    <d v="2002-02-15T00:00:00"/>
    <s v="Active"/>
    <s v="West Kirby Residential School"/>
    <x v="5"/>
    <s v="North West"/>
    <x v="38"/>
    <s v="Wirral West"/>
    <s v="Voluntary"/>
    <d v="2020-10-15T00:00:00"/>
    <d v="2020-11-19T00:00:00"/>
  </r>
  <r>
    <s v="Ofsted Social Care Provider Webpage"/>
    <s v="SC489416"/>
    <x v="0"/>
    <d v="2015-08-12T00:00:00"/>
    <s v="Active"/>
    <s v="REDACTED"/>
    <x v="5"/>
    <s v="North West"/>
    <x v="16"/>
    <s v="Hyndburn"/>
    <s v="Private"/>
    <d v="2020-10-15T00:00:00"/>
    <d v="2020-11-20T00:00:00"/>
  </r>
  <r>
    <s v="Ofsted Social Care Provider Webpage"/>
    <n v="2548794"/>
    <x v="0"/>
    <d v="2020-07-02T00:00:00"/>
    <s v="Active"/>
    <s v="REDACTED"/>
    <x v="7"/>
    <s v="London"/>
    <x v="115"/>
    <s v="Finchley and Golders Green"/>
    <s v="Private"/>
    <d v="2020-12-15T00:00:00"/>
    <d v="2021-01-27T00:00:00"/>
  </r>
  <r>
    <s v="Ofsted Social Care Provider Webpage"/>
    <n v="1249196"/>
    <x v="0"/>
    <d v="2017-01-23T00:00:00"/>
    <s v="Active"/>
    <s v="REDACTED"/>
    <x v="1"/>
    <s v="South West"/>
    <x v="30"/>
    <s v="Bridgwater and West Somerset"/>
    <s v="Private"/>
    <d v="2020-12-15T00:00:00"/>
    <d v="2021-01-25T00:00:00"/>
  </r>
  <r>
    <s v="Ofsted Social Care Provider Webpage"/>
    <s v="SC069293"/>
    <x v="0"/>
    <d v="2007-02-09T00:00:00"/>
    <s v="Active"/>
    <s v="REDACTED"/>
    <x v="3"/>
    <s v="Yorkshire and The Humber"/>
    <x v="23"/>
    <s v="Calder Valley"/>
    <s v="Private"/>
    <d v="2020-12-15T00:00:00"/>
    <d v="2021-01-26T00:00:00"/>
  </r>
  <r>
    <s v="Ofsted Social Care Provider Webpage"/>
    <n v="1164089"/>
    <x v="0"/>
    <d v="2015-08-16T00:00:00"/>
    <s v="Active"/>
    <s v="REDACTED"/>
    <x v="0"/>
    <s v="East of England"/>
    <x v="19"/>
    <s v="St Albans"/>
    <s v="Private"/>
    <d v="2020-12-15T00:00:00"/>
    <d v="2021-01-25T00:00:00"/>
  </r>
  <r>
    <s v="Ofsted Social Care Provider Webpage"/>
    <s v="SC413985"/>
    <x v="0"/>
    <d v="2010-09-30T00:00:00"/>
    <s v="Active"/>
    <s v="REDACTED"/>
    <x v="5"/>
    <s v="North West"/>
    <x v="35"/>
    <s v="Worsley and Eccles South"/>
    <s v="Voluntary"/>
    <d v="2020-12-15T00:00:00"/>
    <d v="2021-01-28T00:00:00"/>
  </r>
  <r>
    <s v="Ofsted Social Care Provider Webpage"/>
    <n v="2602980"/>
    <x v="0"/>
    <d v="2020-09-03T00:00:00"/>
    <s v="Active"/>
    <s v="REDACTED"/>
    <x v="0"/>
    <s v="East of England"/>
    <x v="48"/>
    <s v="Cambridge"/>
    <s v="Local Authority"/>
    <d v="2020-12-15T00:00:00"/>
    <d v="2021-01-25T00:00:00"/>
  </r>
  <r>
    <s v="Ofsted Social Care Provider Webpage"/>
    <s v="SC411825"/>
    <x v="0"/>
    <d v="2010-06-17T00:00:00"/>
    <s v="Active"/>
    <s v="REDACTED"/>
    <x v="5"/>
    <s v="North West"/>
    <x v="72"/>
    <s v="Leigh"/>
    <s v="Private"/>
    <d v="2020-12-15T00:00:00"/>
    <d v="2021-01-28T00:00:00"/>
  </r>
  <r>
    <s v="Ofsted Social Care Provider Webpage"/>
    <n v="2555505"/>
    <x v="0"/>
    <d v="2020-04-01T00:00:00"/>
    <s v="Active"/>
    <s v="REDACTED"/>
    <x v="4"/>
    <s v="East Midlands"/>
    <x v="40"/>
    <s v="Boston and Skegness"/>
    <s v="Private"/>
    <d v="2020-12-15T00:00:00"/>
    <d v="2021-01-25T00:00:00"/>
  </r>
  <r>
    <s v="Ofsted Social Care Provider Webpage"/>
    <s v="SC458115"/>
    <x v="3"/>
    <d v="2013-02-01T00:00:00"/>
    <s v="Active"/>
    <s v="REDACTED"/>
    <x v="3"/>
    <s v="Yorkshire and The Humber"/>
    <x v="42"/>
    <s v="Sheffield, Hallam"/>
    <s v="Local Authority"/>
    <d v="2020-12-15T00:00:00"/>
    <d v="2021-01-26T00:00:00"/>
  </r>
  <r>
    <s v="Ofsted Social Care Provider Webpage"/>
    <s v="SC013553"/>
    <x v="0"/>
    <d v="1998-01-16T00:00:00"/>
    <s v="Active"/>
    <s v="REDACTED"/>
    <x v="2"/>
    <s v="South East"/>
    <x v="29"/>
    <s v="South West Surrey"/>
    <s v="Private"/>
    <d v="2020-12-15T00:00:00"/>
    <d v="2021-01-27T00:00:00"/>
  </r>
  <r>
    <s v="Ofsted Social Care Provider Webpage"/>
    <s v="SC457183"/>
    <x v="0"/>
    <d v="2013-02-14T00:00:00"/>
    <s v="Active"/>
    <s v="REDACTED"/>
    <x v="5"/>
    <s v="North West"/>
    <x v="97"/>
    <s v="Halton"/>
    <s v="Private"/>
    <d v="2020-12-15T00:00:00"/>
    <d v="2021-01-29T00:00:00"/>
  </r>
  <r>
    <s v="Ofsted Social Care Provider Webpage"/>
    <s v="SC368137"/>
    <x v="0"/>
    <d v="2007-12-10T00:00:00"/>
    <s v="Active"/>
    <s v="REDACTED"/>
    <x v="1"/>
    <s v="South West"/>
    <x v="10"/>
    <s v="Torridge and West Devon"/>
    <s v="Private"/>
    <d v="2020-12-15T00:00:00"/>
    <d v="2021-01-27T00:00:00"/>
  </r>
  <r>
    <s v="Ofsted Social Care Provider Webpage"/>
    <s v="SC408655"/>
    <x v="0"/>
    <d v="2010-05-20T00:00:00"/>
    <s v="Active"/>
    <s v="REDACTED"/>
    <x v="2"/>
    <s v="South East"/>
    <x v="22"/>
    <s v="Basingstoke"/>
    <s v="Private"/>
    <d v="2020-12-15T00:00:00"/>
    <d v="2021-01-28T00:00:00"/>
  </r>
  <r>
    <s v="Ofsted Social Care Provider Webpage"/>
    <s v="SC008490"/>
    <x v="0"/>
    <d v="2001-05-09T00:00:00"/>
    <s v="Active"/>
    <s v="REDACTED"/>
    <x v="5"/>
    <s v="North West"/>
    <x v="70"/>
    <s v="Hazel Grove"/>
    <s v="Private"/>
    <d v="2020-12-15T00:00:00"/>
    <d v="2021-01-27T00:00:00"/>
  </r>
  <r>
    <s v="Ofsted Social Care Provider Webpage"/>
    <s v="SC037596"/>
    <x v="0"/>
    <d v="2002-11-15T00:00:00"/>
    <s v="Active"/>
    <s v="REDACTED"/>
    <x v="1"/>
    <s v="South West"/>
    <x v="1"/>
    <s v="Salisbury"/>
    <s v="Private"/>
    <d v="2020-12-15T00:00:00"/>
    <d v="2021-01-26T00:00:00"/>
  </r>
  <r>
    <s v="Ofsted Social Care Provider Webpage"/>
    <n v="2483715"/>
    <x v="0"/>
    <d v="2018-07-26T00:00:00"/>
    <s v="Active"/>
    <s v="REDACTED"/>
    <x v="2"/>
    <s v="South East"/>
    <x v="47"/>
    <s v="Newbury"/>
    <s v="Private"/>
    <d v="2020-12-15T00:00:00"/>
    <d v="2021-01-19T00:00:00"/>
  </r>
  <r>
    <s v="Ofsted Social Care Provider Webpage"/>
    <s v="SC044562"/>
    <x v="3"/>
    <d v="2003-07-25T00:00:00"/>
    <s v="Active"/>
    <s v="REDACTED"/>
    <x v="4"/>
    <s v="East Midlands"/>
    <x v="40"/>
    <s v="Gainsborough"/>
    <s v="Private"/>
    <d v="2020-12-15T00:00:00"/>
    <d v="2021-01-25T00:00:00"/>
  </r>
  <r>
    <s v="Ofsted Social Care Provider Webpage"/>
    <n v="1263120"/>
    <x v="0"/>
    <d v="2017-09-22T00:00:00"/>
    <s v="Active"/>
    <s v="REDACTED"/>
    <x v="5"/>
    <s v="North West"/>
    <x v="38"/>
    <s v="Birkenhead"/>
    <s v="Private"/>
    <d v="2020-12-15T00:00:00"/>
    <d v="2021-01-26T00:00:00"/>
  </r>
  <r>
    <s v="Ofsted Social Care Provider Webpage"/>
    <n v="1256795"/>
    <x v="0"/>
    <d v="2017-06-30T00:00:00"/>
    <s v="Active"/>
    <s v="REDACTED"/>
    <x v="3"/>
    <s v="Yorkshire and The Humber"/>
    <x v="45"/>
    <s v="Batley and Spen"/>
    <s v="Private"/>
    <d v="2020-12-15T00:00:00"/>
    <d v="2021-01-28T00:00:00"/>
  </r>
  <r>
    <s v="Ofsted Social Care Provider Webpage"/>
    <n v="2531620"/>
    <x v="0"/>
    <d v="2019-06-11T00:00:00"/>
    <s v="Active"/>
    <s v="REDACTED"/>
    <x v="0"/>
    <s v="East of England"/>
    <x v="48"/>
    <s v="North West Cambridgeshire"/>
    <s v="Private"/>
    <d v="2020-12-15T00:00:00"/>
    <d v="2021-01-22T00:00:00"/>
  </r>
  <r>
    <s v="Ofsted Social Care Provider Webpage"/>
    <n v="1273591"/>
    <x v="1"/>
    <d v="2018-03-19T00:00:00"/>
    <s v="Active"/>
    <s v="Birmingham Children's Trust Fostering Agency"/>
    <x v="6"/>
    <s v="West Midlands"/>
    <x v="34"/>
    <s v="Birmingham, Ladywood"/>
    <s v="Voluntary"/>
    <d v="2020-12-15T00:00:00"/>
    <d v="2021-02-02T00:00:00"/>
  </r>
  <r>
    <s v="Ofsted Social Care Provider Webpage"/>
    <s v="SC062573"/>
    <x v="0"/>
    <d v="2005-01-20T00:00:00"/>
    <s v="Active"/>
    <s v="REDACTED"/>
    <x v="3"/>
    <s v="Yorkshire and The Humber"/>
    <x v="5"/>
    <s v="Normanton, Pontefract and Castleford"/>
    <s v="Local Authority"/>
    <d v="2020-12-15T00:00:00"/>
    <d v="2021-01-26T00:00:00"/>
  </r>
  <r>
    <s v="Ofsted Social Care Provider Webpage"/>
    <s v="SC011185"/>
    <x v="0"/>
    <d v="1992-12-29T00:00:00"/>
    <s v="Active"/>
    <s v="REDACTED"/>
    <x v="2"/>
    <s v="South East"/>
    <x v="47"/>
    <s v="Reading West"/>
    <s v="Private"/>
    <d v="2020-12-15T00:00:00"/>
    <d v="2021-01-21T00:00:00"/>
  </r>
  <r>
    <s v="Ofsted Social Care Provider Webpage"/>
    <s v="SC393940"/>
    <x v="0"/>
    <d v="2009-05-29T00:00:00"/>
    <s v="Active"/>
    <s v="REDACTED"/>
    <x v="0"/>
    <s v="East of England"/>
    <x v="41"/>
    <s v="Castle Point"/>
    <s v="Private"/>
    <d v="2020-12-15T00:00:00"/>
    <d v="2021-01-25T00:00:00"/>
  </r>
  <r>
    <s v="Ofsted Social Care Provider Webpage"/>
    <n v="2597738"/>
    <x v="0"/>
    <d v="2020-06-30T00:00:00"/>
    <s v="Active"/>
    <s v="REDACTED"/>
    <x v="5"/>
    <s v="North West"/>
    <x v="72"/>
    <s v="Leigh"/>
    <s v="Private"/>
    <d v="2020-12-15T00:00:00"/>
    <d v="2021-01-26T00:00:00"/>
  </r>
  <r>
    <s v="Ofsted Social Care Provider Webpage"/>
    <n v="1183136"/>
    <x v="0"/>
    <d v="2015-09-09T00:00:00"/>
    <s v="Active"/>
    <s v="REDACTED"/>
    <x v="4"/>
    <s v="East Midlands"/>
    <x v="36"/>
    <s v="Nottingham North"/>
    <s v="Voluntary"/>
    <d v="2020-12-15T00:00:00"/>
    <d v="2021-01-27T00:00:00"/>
  </r>
  <r>
    <s v="Ofsted Social Care Provider Webpage"/>
    <n v="2585139"/>
    <x v="0"/>
    <d v="2020-06-22T00:00:00"/>
    <s v="Active"/>
    <s v="REDACTED"/>
    <x v="5"/>
    <s v="North West"/>
    <x v="69"/>
    <s v="Liverpool, Walton"/>
    <s v="Private"/>
    <d v="2020-12-15T00:00:00"/>
    <d v="2021-01-22T00:00:00"/>
  </r>
  <r>
    <s v="Ofsted Social Care Provider Webpage"/>
    <s v="SC013598"/>
    <x v="0"/>
    <d v="1986-03-26T00:00:00"/>
    <s v="Active"/>
    <s v="REDACTED"/>
    <x v="2"/>
    <s v="South East"/>
    <x v="29"/>
    <s v="Mole Valley"/>
    <s v="Voluntary"/>
    <d v="2020-12-15T00:00:00"/>
    <d v="2021-02-05T00:00:00"/>
  </r>
  <r>
    <s v="Ofsted Social Care Provider Webpage"/>
    <n v="2566488"/>
    <x v="0"/>
    <d v="2020-03-18T00:00:00"/>
    <s v="Active"/>
    <s v="REDACTED"/>
    <x v="0"/>
    <s v="East of England"/>
    <x v="33"/>
    <s v="South Norfolk"/>
    <s v="Private"/>
    <d v="2020-12-15T00:00:00"/>
    <d v="2021-01-21T00:00:00"/>
  </r>
  <r>
    <s v="Ofsted Social Care Provider Webpage"/>
    <n v="1261138"/>
    <x v="0"/>
    <d v="2017-08-29T00:00:00"/>
    <s v="Active"/>
    <s v="REDACTED"/>
    <x v="5"/>
    <s v="North West"/>
    <x v="114"/>
    <s v="Bury North"/>
    <s v="Private"/>
    <d v="2020-12-15T00:00:00"/>
    <d v="2021-01-25T00:00:00"/>
  </r>
  <r>
    <s v="Ofsted Social Care Provider Webpage"/>
    <n v="1226978"/>
    <x v="0"/>
    <d v="2016-05-26T00:00:00"/>
    <s v="Active"/>
    <s v="REDACTED"/>
    <x v="3"/>
    <s v="Yorkshire and The Humber"/>
    <x v="60"/>
    <s v="Scarborough and Whitby"/>
    <s v="Private"/>
    <d v="2020-12-15T00:00:00"/>
    <d v="2021-01-26T00:00:00"/>
  </r>
  <r>
    <s v="Ofsted Social Care Provider Webpage"/>
    <s v="SC442864"/>
    <x v="0"/>
    <d v="2012-03-09T00:00:00"/>
    <s v="Active"/>
    <s v="REDACTED"/>
    <x v="5"/>
    <s v="North West"/>
    <x v="53"/>
    <s v="Rochdale"/>
    <s v="Private"/>
    <d v="2020-12-15T00:00:00"/>
    <d v="2021-01-26T00:00:00"/>
  </r>
  <r>
    <s v="Ofsted Social Care Provider Webpage"/>
    <n v="2575713"/>
    <x v="0"/>
    <d v="2020-04-09T00:00:00"/>
    <s v="Active"/>
    <s v="REDACTED"/>
    <x v="0"/>
    <s v="East of England"/>
    <x v="19"/>
    <s v="Hemel Hempstead"/>
    <s v="Private"/>
    <d v="2020-12-15T00:00:00"/>
    <d v="2021-01-12T00:00:00"/>
  </r>
  <r>
    <s v="Ofsted Social Care Provider Webpage"/>
    <n v="2508601"/>
    <x v="0"/>
    <d v="2019-04-11T00:00:00"/>
    <s v="Active"/>
    <s v="REDACTED"/>
    <x v="5"/>
    <s v="North West"/>
    <x v="16"/>
    <s v="West Lancashire"/>
    <s v="Private"/>
    <d v="2020-09-16T00:00:00"/>
    <d v="2020-11-18T00:00:00"/>
  </r>
  <r>
    <s v="Ofsted Social Care Provider Webpage"/>
    <s v="SC394478"/>
    <x v="0"/>
    <d v="2009-06-05T00:00:00"/>
    <s v="Active"/>
    <s v="REDACTED"/>
    <x v="5"/>
    <s v="North West"/>
    <x v="70"/>
    <s v="Stockport"/>
    <s v="Private"/>
    <d v="2020-09-16T00:00:00"/>
    <d v="2020-10-13T00:00:00"/>
  </r>
  <r>
    <s v="Ofsted Social Care Provider Webpage"/>
    <n v="2483748"/>
    <x v="4"/>
    <d v="2019-02-08T00:00:00"/>
    <s v="Active"/>
    <s v="Selina Cooper House"/>
    <x v="5"/>
    <s v="North West"/>
    <x v="24"/>
    <s v="St Helens North"/>
    <s v="Private"/>
    <d v="2020-09-16T00:00:00"/>
    <d v="2020-11-09T00:00:00"/>
  </r>
  <r>
    <s v="Ofsted Social Care Provider Webpage"/>
    <n v="1258026"/>
    <x v="0"/>
    <d v="2017-09-24T00:00:00"/>
    <s v="Active"/>
    <s v="REDACTED"/>
    <x v="6"/>
    <s v="West Midlands"/>
    <x v="34"/>
    <s v="Birmingham, Perry Barr"/>
    <s v="Private"/>
    <d v="2020-09-16T00:00:00"/>
    <d v="2020-10-29T00:00:00"/>
  </r>
  <r>
    <s v="Ofsted Social Care Provider Webpage"/>
    <s v="SC474150"/>
    <x v="0"/>
    <d v="2014-02-11T00:00:00"/>
    <s v="Active"/>
    <s v="REDACTED"/>
    <x v="2"/>
    <s v="South East"/>
    <x v="58"/>
    <s v="Buckingham"/>
    <s v="Private"/>
    <d v="2020-09-16T00:00:00"/>
    <d v="2020-11-02T00:00:00"/>
  </r>
  <r>
    <s v="Ofsted Social Care Provider Webpage"/>
    <n v="1240397"/>
    <x v="0"/>
    <d v="2016-08-03T00:00:00"/>
    <s v="Active"/>
    <s v="REDACTED"/>
    <x v="4"/>
    <s v="East Midlands"/>
    <x v="40"/>
    <s v="South Holland and The Deepings"/>
    <s v="Private"/>
    <d v="2020-09-16T00:00:00"/>
    <d v="2020-10-15T00:00:00"/>
  </r>
  <r>
    <s v="Ofsted Social Care Provider Webpage"/>
    <n v="2530021"/>
    <x v="3"/>
    <d v="2019-03-15T00:00:00"/>
    <s v="Active"/>
    <s v="REDACTED"/>
    <x v="1"/>
    <s v="South West"/>
    <x v="10"/>
    <s v="Tiverton and Honiton"/>
    <s v="Local Authority"/>
    <d v="2020-09-16T00:00:00"/>
    <d v="2020-10-19T00:00:00"/>
  </r>
  <r>
    <s v="Ofsted Social Care Provider Webpage"/>
    <s v="SC471672"/>
    <x v="0"/>
    <d v="2014-05-21T00:00:00"/>
    <s v="Active"/>
    <s v="REDACTED"/>
    <x v="6"/>
    <s v="West Midlands"/>
    <x v="34"/>
    <s v="Birmingham, Yardley"/>
    <s v="Private"/>
    <d v="2020-09-16T00:00:00"/>
    <d v="2020-10-13T00:00:00"/>
  </r>
  <r>
    <s v="Ofsted Social Care Provider Webpage"/>
    <s v="SC040638"/>
    <x v="0"/>
    <d v="2003-11-18T00:00:00"/>
    <s v="Active"/>
    <s v="REDACTED"/>
    <x v="2"/>
    <s v="South East"/>
    <x v="29"/>
    <s v="East Surrey"/>
    <s v="Local Authority"/>
    <d v="2020-09-16T00:00:00"/>
    <d v="2020-11-02T00:00:00"/>
  </r>
  <r>
    <s v="Ofsted Social Care Provider Webpage"/>
    <s v="SC457272"/>
    <x v="0"/>
    <d v="2013-02-19T00:00:00"/>
    <s v="Active"/>
    <s v="REDACTED"/>
    <x v="0"/>
    <s v="East of England"/>
    <x v="48"/>
    <s v="North West Cambridgeshire"/>
    <s v="Private"/>
    <d v="2020-09-16T00:00:00"/>
    <d v="2020-10-16T00:00:00"/>
  </r>
  <r>
    <s v="Ofsted Social Care Provider Webpage"/>
    <s v="SC452009"/>
    <x v="0"/>
    <d v="2012-10-04T00:00:00"/>
    <s v="Active"/>
    <s v="REDACTED"/>
    <x v="1"/>
    <s v="South West"/>
    <x v="30"/>
    <s v="Wells"/>
    <s v="Private"/>
    <d v="2020-09-16T00:00:00"/>
    <d v="2020-10-21T00:00:00"/>
  </r>
  <r>
    <s v="Ofsted Social Care Provider Webpage"/>
    <n v="1275569"/>
    <x v="3"/>
    <d v="2018-06-18T00:00:00"/>
    <s v="Active"/>
    <s v="REDACTED"/>
    <x v="2"/>
    <s v="South East"/>
    <x v="13"/>
    <s v="Witney"/>
    <s v="Private"/>
    <d v="2020-09-16T00:00:00"/>
    <d v="2020-10-20T00:00:00"/>
  </r>
  <r>
    <s v="Ofsted Social Care Provider Webpage"/>
    <n v="1183621"/>
    <x v="0"/>
    <d v="2016-01-20T00:00:00"/>
    <s v="Active"/>
    <s v="REDACTED"/>
    <x v="0"/>
    <s v="East of England"/>
    <x v="41"/>
    <s v="Harlow"/>
    <s v="Private"/>
    <d v="2020-09-16T00:00:00"/>
    <d v="2020-10-19T00:00:00"/>
  </r>
  <r>
    <s v="Ofsted Social Care Provider Webpage"/>
    <n v="2588486"/>
    <x v="0"/>
    <d v="2020-05-05T00:00:00"/>
    <s v="Active"/>
    <s v="REDACTED"/>
    <x v="1"/>
    <s v="South West"/>
    <x v="67"/>
    <s v="Christchurch"/>
    <s v="Private"/>
    <d v="2020-09-16T00:00:00"/>
    <d v="2020-10-22T00:00:00"/>
  </r>
  <r>
    <s v="Ofsted Social Care Provider Webpage"/>
    <n v="1244287"/>
    <x v="0"/>
    <d v="2016-10-11T00:00:00"/>
    <s v="Active"/>
    <s v="REDACTED"/>
    <x v="5"/>
    <s v="North West"/>
    <x v="16"/>
    <s v="Rossendale and Darwen"/>
    <s v="Private"/>
    <d v="2020-09-16T00:00:00"/>
    <d v="2020-10-29T00:00:00"/>
  </r>
  <r>
    <s v="Ofsted Social Care Provider Webpage"/>
    <s v="SC036243"/>
    <x v="0"/>
    <d v="2004-02-12T00:00:00"/>
    <s v="Active"/>
    <s v="REDACTED"/>
    <x v="4"/>
    <s v="East Midlands"/>
    <x v="113"/>
    <s v="Derby South"/>
    <s v="Local Authority"/>
    <d v="2020-09-16T00:00:00"/>
    <d v="2020-10-19T00:00:00"/>
  </r>
  <r>
    <s v="Ofsted Social Care Provider Webpage"/>
    <s v="SC372661"/>
    <x v="0"/>
    <d v="2008-07-29T00:00:00"/>
    <s v="Active"/>
    <s v="REDACTED"/>
    <x v="6"/>
    <s v="West Midlands"/>
    <x v="55"/>
    <s v="North Shropshire"/>
    <s v="Private"/>
    <d v="2020-09-16T00:00:00"/>
    <d v="2020-10-22T00:00:00"/>
  </r>
  <r>
    <s v="Ofsted Social Care Provider Webpage"/>
    <s v="SC372611"/>
    <x v="0"/>
    <d v="2008-07-02T00:00:00"/>
    <s v="Active"/>
    <s v="REDACTED"/>
    <x v="6"/>
    <s v="West Midlands"/>
    <x v="55"/>
    <s v="Shrewsbury and Atcham"/>
    <s v="Private"/>
    <d v="2020-09-16T00:00:00"/>
    <d v="2020-10-19T00:00:00"/>
  </r>
  <r>
    <s v="Ofsted Social Care Provider Webpage"/>
    <s v="SC470224"/>
    <x v="0"/>
    <d v="2013-11-11T00:00:00"/>
    <s v="Active"/>
    <s v="REDACTED"/>
    <x v="5"/>
    <s v="North West"/>
    <x v="16"/>
    <s v="Rossendale and Darwen"/>
    <s v="Private"/>
    <d v="2020-09-16T00:00:00"/>
    <d v="2020-11-09T00:00:00"/>
  </r>
  <r>
    <s v="Ofsted Social Care Provider Webpage"/>
    <s v="SC039689"/>
    <x v="0"/>
    <d v="2003-11-14T00:00:00"/>
    <s v="Active"/>
    <s v="REDACTED"/>
    <x v="5"/>
    <s v="North West"/>
    <x v="16"/>
    <s v="Burnley"/>
    <s v="Local Authority"/>
    <d v="2020-09-16T00:00:00"/>
    <d v="2020-10-21T00:00:00"/>
  </r>
  <r>
    <s v="Ofsted Social Care Provider Webpage"/>
    <s v="SC063116"/>
    <x v="0"/>
    <d v="2004-12-01T00:00:00"/>
    <s v="Active"/>
    <s v="REDACTED"/>
    <x v="2"/>
    <s v="South East"/>
    <x v="2"/>
    <s v="South Thanet"/>
    <s v="Private"/>
    <d v="2020-09-16T00:00:00"/>
    <d v="2020-11-02T00:00:00"/>
  </r>
  <r>
    <s v="Ofsted Social Care Provider Webpage"/>
    <n v="2534179"/>
    <x v="0"/>
    <d v="2019-06-20T00:00:00"/>
    <s v="Active"/>
    <s v="REDACTED"/>
    <x v="5"/>
    <s v="North West"/>
    <x v="16"/>
    <s v="Chorley"/>
    <s v="Private"/>
    <d v="2020-09-16T00:00:00"/>
    <d v="2020-10-22T00:00:00"/>
  </r>
  <r>
    <s v="Ofsted Social Care Provider Webpage"/>
    <s v="SC481305"/>
    <x v="0"/>
    <d v="2015-02-16T00:00:00"/>
    <s v="Active"/>
    <s v="REDACTED"/>
    <x v="3"/>
    <s v="Yorkshire and The Humber"/>
    <x v="60"/>
    <s v="Richmond (Yorks)"/>
    <s v="Private"/>
    <d v="2020-09-16T00:00:00"/>
    <d v="2020-11-06T00:00:00"/>
  </r>
  <r>
    <s v="Ofsted Social Care Provider Webpage"/>
    <s v="SC369825"/>
    <x v="0"/>
    <d v="2008-04-01T00:00:00"/>
    <s v="Active"/>
    <s v="REDACTED"/>
    <x v="6"/>
    <s v="West Midlands"/>
    <x v="81"/>
    <s v="Stoke-on-Trent South"/>
    <s v="Local Authority"/>
    <d v="2020-09-16T00:00:00"/>
    <d v="2020-10-26T00:00:00"/>
  </r>
  <r>
    <s v="Ofsted Social Care Provider Webpage"/>
    <s v="SC040719"/>
    <x v="0"/>
    <d v="2003-07-18T00:00:00"/>
    <s v="Active"/>
    <s v="REDACTED"/>
    <x v="5"/>
    <s v="North West"/>
    <x v="32"/>
    <s v="Bolton North East"/>
    <s v="Local Authority"/>
    <d v="2020-10-16T00:00:00"/>
    <d v="2020-11-17T00:00:00"/>
  </r>
  <r>
    <s v="Ofsted Social Care Provider Webpage"/>
    <s v="SC035409"/>
    <x v="2"/>
    <d v="2003-04-22T00:00:00"/>
    <s v="Active"/>
    <s v="REDACTED"/>
    <x v="3"/>
    <s v="North East"/>
    <x v="65"/>
    <s v="Hexham"/>
    <s v="Local Authority"/>
    <d v="2020-11-16T00:00:00"/>
    <d v="2020-12-29T00:00:00"/>
  </r>
  <r>
    <s v="Ofsted Social Care Provider Webpage"/>
    <s v="SC023740"/>
    <x v="0"/>
    <d v="2001-07-17T00:00:00"/>
    <s v="Active"/>
    <s v="REDACTED"/>
    <x v="2"/>
    <s v="South East"/>
    <x v="2"/>
    <s v="North Thanet"/>
    <s v="Private"/>
    <d v="2020-12-16T00:00:00"/>
    <d v="2021-02-01T00:00:00"/>
  </r>
  <r>
    <s v="Ofsted Social Care Provider Webpage"/>
    <s v="SC474728"/>
    <x v="4"/>
    <d v="2014-06-11T00:00:00"/>
    <s v="Active"/>
    <s v="Chariteens Residential Family Centre"/>
    <x v="7"/>
    <s v="London"/>
    <x v="100"/>
    <s v="West Ham"/>
    <s v="Private"/>
    <d v="2020-12-16T00:00:00"/>
    <d v="2021-01-26T00:00:00"/>
  </r>
  <r>
    <s v="Ofsted Social Care Provider Webpage"/>
    <s v="SC034804"/>
    <x v="1"/>
    <d v="2004-06-02T00:00:00"/>
    <s v="Active"/>
    <s v="The Children's Family Trust"/>
    <x v="6"/>
    <s v="West Midlands"/>
    <x v="90"/>
    <s v="Bromsgrove"/>
    <s v="Voluntary"/>
    <d v="2020-12-16T00:00:00"/>
    <d v="2021-01-26T00:00:00"/>
  </r>
  <r>
    <s v="Ofsted Social Care Provider Webpage"/>
    <n v="1280530"/>
    <x v="1"/>
    <d v="2018-12-21T00:00:00"/>
    <s v="Active"/>
    <s v="Elite Fostering Limited"/>
    <x v="6"/>
    <s v="West Midlands"/>
    <x v="17"/>
    <s v="Warley"/>
    <s v="Private"/>
    <d v="2020-12-16T00:00:00"/>
    <d v="2021-01-22T00:00:00"/>
  </r>
  <r>
    <s v="Ofsted Social Care Provider Webpage"/>
    <n v="1159272"/>
    <x v="0"/>
    <d v="2015-10-07T00:00:00"/>
    <s v="Active"/>
    <s v="REDACTED"/>
    <x v="3"/>
    <s v="Yorkshire and The Humber"/>
    <x v="60"/>
    <s v="Selby and Ainsty"/>
    <s v="Private"/>
    <d v="2020-12-16T00:00:00"/>
    <d v="2021-02-03T00:00:00"/>
  </r>
  <r>
    <s v="Ofsted Social Care Provider Webpage"/>
    <n v="2543640"/>
    <x v="0"/>
    <d v="2019-10-28T00:00:00"/>
    <s v="Active"/>
    <s v="REDACTED"/>
    <x v="5"/>
    <s v="North West"/>
    <x v="16"/>
    <s v="Burnley"/>
    <s v="Private"/>
    <d v="2020-12-16T00:00:00"/>
    <d v="2021-01-21T00:00:00"/>
  </r>
  <r>
    <s v="Ofsted Social Care Provider Webpage"/>
    <s v="SC028868"/>
    <x v="0"/>
    <d v="2002-05-09T00:00:00"/>
    <s v="Active"/>
    <s v="REDACTED"/>
    <x v="1"/>
    <s v="South West"/>
    <x v="56"/>
    <s v="Forest of Dean"/>
    <s v="Private"/>
    <d v="2020-12-16T00:00:00"/>
    <d v="2021-01-25T00:00:00"/>
  </r>
  <r>
    <s v="Ofsted Social Care Provider Webpage"/>
    <n v="2593651"/>
    <x v="0"/>
    <d v="2020-07-27T00:00:00"/>
    <s v="Active"/>
    <s v="REDACTED"/>
    <x v="3"/>
    <s v="Yorkshire and The Humber"/>
    <x v="59"/>
    <s v="Wentworth and Dearne"/>
    <s v="Private"/>
    <d v="2020-12-16T00:00:00"/>
    <d v="2021-01-27T00:00:00"/>
  </r>
  <r>
    <s v="Ofsted Social Care Provider Webpage"/>
    <n v="1233899"/>
    <x v="0"/>
    <d v="2016-10-11T00:00:00"/>
    <s v="Active"/>
    <s v="REDACTED"/>
    <x v="5"/>
    <s v="North West"/>
    <x v="78"/>
    <s v="Carlisle"/>
    <s v="Private"/>
    <d v="2020-12-16T00:00:00"/>
    <d v="2021-01-29T00:00:00"/>
  </r>
  <r>
    <s v="Ofsted Social Care Provider Webpage"/>
    <n v="2549696"/>
    <x v="1"/>
    <d v="2019-10-01T00:00:00"/>
    <s v="Active"/>
    <s v="Worcestershire Children First Fostering"/>
    <x v="6"/>
    <s v="West Midlands"/>
    <x v="90"/>
    <s v="Worcester"/>
    <s v="Private"/>
    <d v="2020-12-16T00:00:00"/>
    <d v="2021-01-27T00:00:00"/>
  </r>
  <r>
    <s v="Ofsted Social Care Provider Webpage"/>
    <n v="2529331"/>
    <x v="0"/>
    <d v="2020-05-01T00:00:00"/>
    <s v="Active"/>
    <s v="REDACTED"/>
    <x v="2"/>
    <s v="South East"/>
    <x v="22"/>
    <s v="Eastleigh"/>
    <s v="Private"/>
    <d v="2020-12-16T00:00:00"/>
    <d v="2021-01-27T00:00:00"/>
  </r>
  <r>
    <s v="Ofsted Social Care Provider Webpage"/>
    <n v="2547967"/>
    <x v="0"/>
    <d v="2019-10-04T00:00:00"/>
    <s v="Active"/>
    <s v="REDACTED"/>
    <x v="1"/>
    <s v="South West"/>
    <x v="30"/>
    <s v="Bridgwater and West Somerset"/>
    <s v="Private"/>
    <d v="2020-12-16T00:00:00"/>
    <d v="2021-01-26T00:00:00"/>
  </r>
  <r>
    <s v="Ofsted Social Care Provider Webpage"/>
    <s v="SC465257"/>
    <x v="0"/>
    <d v="2013-07-29T00:00:00"/>
    <s v="Active"/>
    <s v="REDACTED"/>
    <x v="4"/>
    <s v="East Midlands"/>
    <x v="18"/>
    <s v="Northampton North"/>
    <s v="Health Authority"/>
    <d v="2020-12-16T00:00:00"/>
    <d v="2021-01-27T00:00:00"/>
  </r>
  <r>
    <s v="Ofsted Social Care Provider Webpage"/>
    <n v="1264537"/>
    <x v="0"/>
    <d v="2017-11-29T00:00:00"/>
    <s v="Active"/>
    <s v="REDACTED"/>
    <x v="5"/>
    <s v="North West"/>
    <x v="72"/>
    <s v="Wigan"/>
    <s v="Private"/>
    <d v="2020-12-16T00:00:00"/>
    <d v="2021-02-03T00:00:00"/>
  </r>
  <r>
    <s v="Ofsted Social Care Provider Webpage"/>
    <s v="SC417504"/>
    <x v="1"/>
    <d v="2011-01-17T00:00:00"/>
    <s v="Active"/>
    <s v="Red Kite Fostering"/>
    <x v="6"/>
    <s v="West Midlands"/>
    <x v="43"/>
    <s v="North Herefordshire"/>
    <s v="Private"/>
    <d v="2020-12-16T00:00:00"/>
    <d v="2021-01-26T00:00:00"/>
  </r>
  <r>
    <s v="Ofsted Social Care Provider Webpage"/>
    <n v="2561726"/>
    <x v="0"/>
    <d v="2020-02-11T00:00:00"/>
    <s v="Active"/>
    <s v="REDACTED"/>
    <x v="3"/>
    <s v="Yorkshire and The Humber"/>
    <x v="111"/>
    <s v="East Yorkshire"/>
    <s v="Private"/>
    <d v="2020-12-16T00:00:00"/>
    <d v="2021-01-27T00:00:00"/>
  </r>
  <r>
    <s v="Ofsted Social Care Provider Webpage"/>
    <n v="1244283"/>
    <x v="0"/>
    <d v="2017-01-09T00:00:00"/>
    <s v="Active"/>
    <s v="REDACTED"/>
    <x v="5"/>
    <s v="North West"/>
    <x v="16"/>
    <s v="Chorley"/>
    <s v="Private"/>
    <d v="2020-12-16T00:00:00"/>
    <d v="2021-01-26T00:00:00"/>
  </r>
  <r>
    <s v="Ofsted Social Care Provider Webpage"/>
    <n v="2583468"/>
    <x v="0"/>
    <d v="2020-04-09T00:00:00"/>
    <s v="Active"/>
    <s v="REDACTED"/>
    <x v="4"/>
    <s v="East Midlands"/>
    <x v="4"/>
    <s v="Loughborough"/>
    <s v="Private"/>
    <d v="2020-12-16T00:00:00"/>
    <d v="2021-01-20T00:00:00"/>
  </r>
  <r>
    <s v="Ofsted Social Care Provider Webpage"/>
    <s v="SC456910"/>
    <x v="0"/>
    <d v="2013-02-25T00:00:00"/>
    <s v="Active"/>
    <s v="REDACTED"/>
    <x v="1"/>
    <s v="South West"/>
    <x v="116"/>
    <s v="Torbay"/>
    <s v="Private"/>
    <d v="2020-09-17T00:00:00"/>
    <d v="2020-10-19T00:00:00"/>
  </r>
  <r>
    <s v="Ofsted Social Care Provider Webpage"/>
    <n v="2503598"/>
    <x v="0"/>
    <d v="2019-03-20T00:00:00"/>
    <s v="Active"/>
    <s v="REDACTED"/>
    <x v="6"/>
    <s v="West Midlands"/>
    <x v="34"/>
    <s v="Birmingham, Perry Barr"/>
    <s v="Private"/>
    <d v="2020-09-17T00:00:00"/>
    <d v="2020-10-21T00:00:00"/>
  </r>
  <r>
    <s v="Ofsted Social Care Provider Webpage"/>
    <s v="SC371723"/>
    <x v="0"/>
    <d v="2008-04-23T00:00:00"/>
    <s v="Active"/>
    <s v="REDACTED"/>
    <x v="6"/>
    <s v="West Midlands"/>
    <x v="46"/>
    <s v="Stone"/>
    <s v="Private"/>
    <d v="2020-09-17T00:00:00"/>
    <d v="2020-10-14T00:00:00"/>
  </r>
  <r>
    <s v="Ofsted Social Care Provider Webpage"/>
    <s v="SC424851"/>
    <x v="0"/>
    <d v="2011-04-04T00:00:00"/>
    <s v="Active"/>
    <s v="REDACTED"/>
    <x v="6"/>
    <s v="West Midlands"/>
    <x v="34"/>
    <s v="Birmingham, Ladywood"/>
    <s v="Private"/>
    <d v="2020-09-17T00:00:00"/>
    <d v="2020-11-16T00:00:00"/>
  </r>
  <r>
    <s v="Ofsted Social Care Provider Webpage"/>
    <n v="1183495"/>
    <x v="1"/>
    <d v="2015-09-30T00:00:00"/>
    <s v="Active"/>
    <s v="Slough Children's Services Trust "/>
    <x v="2"/>
    <s v="South East"/>
    <x v="117"/>
    <s v="Slough"/>
    <s v="Voluntary"/>
    <d v="2020-11-17T00:00:00"/>
    <d v="2020-12-22T00:00:00"/>
  </r>
  <r>
    <s v="Ofsted Social Care Provider Webpage"/>
    <s v="SC043552"/>
    <x v="1"/>
    <d v="2004-01-20T00:00:00"/>
    <s v="Active"/>
    <s v="Barnardo's Fostering South East"/>
    <x v="7"/>
    <s v="London"/>
    <x v="98"/>
    <s v="Ilford North"/>
    <s v="Voluntary"/>
    <d v="2020-11-17T00:00:00"/>
    <d v="2020-12-29T00:00:00"/>
  </r>
  <r>
    <s v="Ofsted Social Care Provider Webpage"/>
    <n v="2553271"/>
    <x v="1"/>
    <d v="2020-01-17T00:00:00"/>
    <s v="Active"/>
    <s v="Ivy House Fostering Agency"/>
    <x v="4"/>
    <s v="East Midlands"/>
    <x v="20"/>
    <s v="Bassetlaw"/>
    <s v="Private"/>
    <d v="2020-11-17T00:00:00"/>
    <d v="2020-12-11T00:00:00"/>
  </r>
  <r>
    <s v="Ofsted Social Care Provider Webpage"/>
    <n v="1235576"/>
    <x v="0"/>
    <d v="2016-06-16T00:00:00"/>
    <s v="Active"/>
    <s v="REDACTED"/>
    <x v="1"/>
    <s v="South West"/>
    <x v="27"/>
    <s v="Plymouth, Sutton and Devonport"/>
    <s v="Private"/>
    <d v="2020-12-17T00:00:00"/>
    <d v="2021-01-27T00:00:00"/>
  </r>
  <r>
    <s v="Ofsted Social Care Provider Webpage"/>
    <s v="SC480075"/>
    <x v="0"/>
    <d v="2014-12-17T00:00:00"/>
    <s v="Active"/>
    <s v="REDACTED"/>
    <x v="5"/>
    <s v="North West"/>
    <x v="38"/>
    <s v="Birkenhead"/>
    <s v="Private"/>
    <d v="2020-12-17T00:00:00"/>
    <d v="2021-01-25T00:00:00"/>
  </r>
  <r>
    <s v="Ofsted Social Care Provider Webpage"/>
    <s v="SC035137"/>
    <x v="0"/>
    <d v="2003-09-04T00:00:00"/>
    <s v="Active"/>
    <s v="REDACTED"/>
    <x v="3"/>
    <s v="North East"/>
    <x v="92"/>
    <s v="Bishop Auckland"/>
    <s v="Local Authority"/>
    <d v="2020-12-17T00:00:00"/>
    <d v="2021-02-02T00:00:00"/>
  </r>
  <r>
    <s v="Ofsted Social Care Provider Webpage"/>
    <s v="SC456863"/>
    <x v="0"/>
    <d v="2013-03-14T00:00:00"/>
    <s v="Active"/>
    <s v="REDACTED"/>
    <x v="1"/>
    <s v="South West"/>
    <x v="116"/>
    <s v="Torbay"/>
    <s v="Private"/>
    <d v="2020-12-17T00:00:00"/>
    <d v="2021-01-28T00:00:00"/>
  </r>
  <r>
    <s v="Ofsted Social Care Provider Webpage"/>
    <n v="2599388"/>
    <x v="0"/>
    <d v="2020-07-21T00:00:00"/>
    <s v="Active"/>
    <s v="REDACTED"/>
    <x v="1"/>
    <s v="South West"/>
    <x v="10"/>
    <s v="Tiverton and Honiton"/>
    <s v="Private"/>
    <d v="2020-12-17T00:00:00"/>
    <d v="2021-02-01T00:00:00"/>
  </r>
  <r>
    <s v="Ofsted Social Care Provider Webpage"/>
    <n v="1263766"/>
    <x v="0"/>
    <d v="2017-10-23T00:00:00"/>
    <s v="Active"/>
    <s v="REDACTED"/>
    <x v="5"/>
    <s v="North West"/>
    <x v="87"/>
    <s v="Denton and Reddish"/>
    <s v="Local Authority"/>
    <d v="2020-12-17T00:00:00"/>
    <d v="2021-01-27T00:00:00"/>
  </r>
  <r>
    <s v="Ofsted Social Care Provider Webpage"/>
    <n v="2587132"/>
    <x v="0"/>
    <d v="2020-07-06T00:00:00"/>
    <s v="Active"/>
    <s v="REDACTED"/>
    <x v="3"/>
    <s v="North East"/>
    <x v="73"/>
    <s v="Newcastle upon Tyne East"/>
    <s v="Private"/>
    <d v="2020-12-17T00:00:00"/>
    <d v="2021-02-02T00:00:00"/>
  </r>
  <r>
    <s v="Ofsted Social Care Provider Webpage"/>
    <s v="SC362965"/>
    <x v="0"/>
    <d v="2007-11-28T00:00:00"/>
    <s v="Active"/>
    <s v="REDACTED"/>
    <x v="1"/>
    <s v="South West"/>
    <x v="96"/>
    <s v="South Dorset"/>
    <s v="Private"/>
    <d v="2020-12-17T00:00:00"/>
    <d v="2021-01-22T00:00:00"/>
  </r>
  <r>
    <s v="Ofsted Social Care Provider Webpage"/>
    <n v="2602142"/>
    <x v="0"/>
    <d v="2020-08-26T00:00:00"/>
    <s v="Active"/>
    <s v="REDACTED"/>
    <x v="3"/>
    <s v="North East"/>
    <x v="28"/>
    <s v="North Tyneside"/>
    <s v="Local Authority"/>
    <d v="2020-12-17T00:00:00"/>
    <d v="2021-01-28T00:00:00"/>
  </r>
  <r>
    <s v="Ofsted Social Care Provider Webpage"/>
    <n v="2533109"/>
    <x v="1"/>
    <d v="2019-09-01T00:00:00"/>
    <s v="Active"/>
    <s v="National Fostering Agency North"/>
    <x v="3"/>
    <s v="Yorkshire and The Humber"/>
    <x v="23"/>
    <s v="Calder Valley"/>
    <s v="Private"/>
    <d v="2020-12-17T00:00:00"/>
    <d v="2021-01-27T00:00:00"/>
  </r>
  <r>
    <s v="Ofsted Social Care Provider Webpage"/>
    <s v="SC472125"/>
    <x v="1"/>
    <d v="2014-01-30T00:00:00"/>
    <s v="Active"/>
    <s v="Ideal Fostering"/>
    <x v="6"/>
    <s v="West Midlands"/>
    <x v="99"/>
    <s v="Walsall South"/>
    <s v="Private"/>
    <d v="2020-11-18T00:00:00"/>
    <d v="2020-12-29T00:00:00"/>
  </r>
  <r>
    <s v="Ofsted Social Care Provider Webpage"/>
    <s v="SC451751"/>
    <x v="1"/>
    <d v="2012-10-17T00:00:00"/>
    <s v="Active"/>
    <s v="Apple Fostering Services"/>
    <x v="7"/>
    <s v="London"/>
    <x v="118"/>
    <s v="Brent Central"/>
    <s v="Private"/>
    <d v="2020-11-18T00:00:00"/>
    <d v="2021-01-04T00:00:00"/>
  </r>
  <r>
    <s v="Ofsted Social Care Provider Webpage"/>
    <s v="SC405567"/>
    <x v="1"/>
    <d v="2010-04-07T00:00:00"/>
    <s v="Active"/>
    <s v="Compass Fostering North Limited"/>
    <x v="3"/>
    <s v="Yorkshire and The Humber"/>
    <x v="83"/>
    <s v="Bradford East"/>
    <s v="Private"/>
    <d v="2020-11-18T00:00:00"/>
    <d v="2021-01-04T00:00:00"/>
  </r>
  <r>
    <s v="Ofsted Social Care Provider Webpage"/>
    <s v="SC461865"/>
    <x v="0"/>
    <d v="2013-11-08T00:00:00"/>
    <s v="Active"/>
    <s v="REDACTED"/>
    <x v="7"/>
    <s v="London"/>
    <x v="98"/>
    <s v="Ilford South"/>
    <s v="Private"/>
    <d v="2020-10-19T00:00:00"/>
    <d v="2020-11-18T00:00:00"/>
  </r>
  <r>
    <s v="Ofsted Social Care Provider Webpage"/>
    <s v="SC435152"/>
    <x v="0"/>
    <d v="2012-11-21T00:00:00"/>
    <s v="Active"/>
    <s v="REDACTED"/>
    <x v="2"/>
    <s v="South East"/>
    <x v="2"/>
    <s v="Sevenoaks"/>
    <s v="Voluntary"/>
    <d v="2020-10-19T00:00:00"/>
    <d v="2020-12-18T00:00:00"/>
  </r>
  <r>
    <s v="Ofsted Social Care Provider Webpage"/>
    <s v="SC037454"/>
    <x v="0"/>
    <d v="2003-02-21T00:00:00"/>
    <s v="Active"/>
    <s v="REDACTED"/>
    <x v="2"/>
    <s v="South East"/>
    <x v="12"/>
    <s v="Crawley"/>
    <s v="Local Authority"/>
    <d v="2020-10-19T00:00:00"/>
    <d v="2020-12-03T00:00:00"/>
  </r>
  <r>
    <s v="Ofsted Social Care Provider Webpage"/>
    <s v="SC066129"/>
    <x v="0"/>
    <d v="2006-05-19T00:00:00"/>
    <s v="Active"/>
    <s v="REDACTED"/>
    <x v="2"/>
    <s v="South East"/>
    <x v="2"/>
    <s v="South Thanet"/>
    <s v="Private"/>
    <d v="2020-10-19T00:00:00"/>
    <d v="2020-11-19T00:00:00"/>
  </r>
  <r>
    <s v="Ofsted Social Care Provider Webpage"/>
    <s v="SC063813"/>
    <x v="0"/>
    <d v="2005-06-13T00:00:00"/>
    <s v="Active"/>
    <s v="REDACTED"/>
    <x v="6"/>
    <s v="West Midlands"/>
    <x v="46"/>
    <s v="Lichfield"/>
    <s v="Private"/>
    <d v="2020-10-19T00:00:00"/>
    <d v="2020-11-13T00:00:00"/>
  </r>
  <r>
    <s v="Ofsted Social Care Provider Webpage"/>
    <n v="2502918"/>
    <x v="0"/>
    <d v="2019-01-21T00:00:00"/>
    <s v="Active"/>
    <s v="REDACTED"/>
    <x v="4"/>
    <s v="East Midlands"/>
    <x v="18"/>
    <s v="Corby"/>
    <s v="Private"/>
    <d v="2020-10-19T00:00:00"/>
    <d v="2020-11-16T00:00:00"/>
  </r>
  <r>
    <s v="Ofsted Social Care Provider Webpage"/>
    <n v="2567658"/>
    <x v="0"/>
    <d v="2020-06-10T00:00:00"/>
    <s v="Active"/>
    <s v="REDACTED"/>
    <x v="6"/>
    <s v="West Midlands"/>
    <x v="34"/>
    <s v="Birmingham, Yardley"/>
    <s v="Private"/>
    <d v="2020-10-19T00:00:00"/>
    <d v="2020-11-20T00:00:00"/>
  </r>
  <r>
    <s v="Ofsted Social Care Provider Webpage"/>
    <s v="SC478852"/>
    <x v="0"/>
    <d v="2014-06-25T00:00:00"/>
    <s v="Active"/>
    <s v="REDACTED"/>
    <x v="6"/>
    <s v="West Midlands"/>
    <x v="46"/>
    <s v="Stafford"/>
    <s v="Private"/>
    <d v="2020-10-19T00:00:00"/>
    <d v="2020-11-16T00:00:00"/>
  </r>
  <r>
    <s v="Ofsted Social Care Provider Webpage"/>
    <s v="SC005067"/>
    <x v="0"/>
    <d v="1998-01-05T00:00:00"/>
    <s v="Active"/>
    <s v="REDACTED"/>
    <x v="6"/>
    <s v="West Midlands"/>
    <x v="46"/>
    <s v="Staffordshire Moorlands"/>
    <s v="Private"/>
    <d v="2020-10-19T00:00:00"/>
    <d v="2020-11-13T00:00:00"/>
  </r>
  <r>
    <s v="Ofsted Social Care Provider Webpage"/>
    <s v="SC396721"/>
    <x v="0"/>
    <d v="2009-06-25T00:00:00"/>
    <s v="Active"/>
    <s v="REDACTED"/>
    <x v="6"/>
    <s v="West Midlands"/>
    <x v="55"/>
    <s v="Shrewsbury and Atcham"/>
    <s v="Private"/>
    <d v="2020-10-19T00:00:00"/>
    <d v="2020-11-17T00:00:00"/>
  </r>
  <r>
    <s v="Ofsted Social Care Provider Webpage"/>
    <n v="2501397"/>
    <x v="0"/>
    <d v="2018-12-03T00:00:00"/>
    <s v="Active"/>
    <s v="REDACTED"/>
    <x v="4"/>
    <s v="East Midlands"/>
    <x v="20"/>
    <s v="Ashfield"/>
    <s v="Private"/>
    <d v="2020-10-19T00:00:00"/>
    <d v="2020-11-30T00:00:00"/>
  </r>
  <r>
    <s v="Ofsted Social Care Provider Webpage"/>
    <n v="1236278"/>
    <x v="0"/>
    <d v="2016-06-06T00:00:00"/>
    <s v="Active"/>
    <s v="REDACTED"/>
    <x v="1"/>
    <s v="South West"/>
    <x v="62"/>
    <s v="South East Cornwall"/>
    <s v="Private"/>
    <d v="2020-10-19T00:00:00"/>
    <d v="2020-11-17T00:00:00"/>
  </r>
  <r>
    <s v="Ofsted Social Care Provider Webpage"/>
    <n v="1270767"/>
    <x v="0"/>
    <d v="2018-02-16T00:00:00"/>
    <s v="Active"/>
    <s v="REDACTED"/>
    <x v="4"/>
    <s v="East Midlands"/>
    <x v="20"/>
    <s v="Newark"/>
    <s v="Private"/>
    <d v="2020-10-19T00:00:00"/>
    <d v="2020-11-26T00:00:00"/>
  </r>
  <r>
    <s v="Ofsted Social Care Provider Webpage"/>
    <s v="SC031490"/>
    <x v="2"/>
    <d v="2003-08-11T00:00:00"/>
    <s v="Active"/>
    <s v="REDACTED"/>
    <x v="2"/>
    <s v="South East"/>
    <x v="52"/>
    <s v="Wealden"/>
    <s v="Local Authority"/>
    <d v="2020-10-19T00:00:00"/>
    <d v="2020-11-20T00:00:00"/>
  </r>
  <r>
    <s v="Ofsted Social Care Provider Webpage"/>
    <n v="1264335"/>
    <x v="1"/>
    <d v="2017-12-22T00:00:00"/>
    <s v="Active"/>
    <s v="Foundation Fostering Limited"/>
    <x v="6"/>
    <s v="West Midlands"/>
    <x v="90"/>
    <s v="West Worcestershire"/>
    <s v="Private"/>
    <d v="2020-10-19T00:00:00"/>
    <d v="2020-11-24T00:00:00"/>
  </r>
  <r>
    <s v="Ofsted Social Care Provider Webpage"/>
    <n v="2527312"/>
    <x v="0"/>
    <d v="2019-07-22T00:00:00"/>
    <s v="Active"/>
    <s v="REDACTED"/>
    <x v="1"/>
    <s v="South West"/>
    <x v="10"/>
    <s v="Newton Abbot"/>
    <s v="Private"/>
    <d v="2020-10-19T00:00:00"/>
    <d v="2020-11-16T00:00:00"/>
  </r>
  <r>
    <s v="Ofsted Social Care Provider Webpage"/>
    <s v="SC412175"/>
    <x v="0"/>
    <d v="2010-07-18T00:00:00"/>
    <s v="Active"/>
    <s v="REDACTED"/>
    <x v="6"/>
    <s v="West Midlands"/>
    <x v="34"/>
    <s v="Birmingham, Yardley"/>
    <s v="Private"/>
    <d v="2020-10-19T00:00:00"/>
    <d v="2020-12-14T00:00:00"/>
  </r>
  <r>
    <s v="Ofsted Social Care Provider Webpage"/>
    <s v="SC475703"/>
    <x v="0"/>
    <d v="2014-05-08T00:00:00"/>
    <s v="Active"/>
    <s v="REDACTED"/>
    <x v="3"/>
    <s v="Yorkshire and The Humber"/>
    <x v="60"/>
    <s v="Skipton and Ripon"/>
    <s v="Private"/>
    <d v="2020-10-20T00:00:00"/>
    <d v="2020-11-26T00:00:00"/>
  </r>
  <r>
    <s v="Ofsted Social Care Provider Webpage"/>
    <n v="1264048"/>
    <x v="0"/>
    <d v="2017-09-12T00:00:00"/>
    <s v="Active"/>
    <s v="REDACTED"/>
    <x v="7"/>
    <s v="London"/>
    <x v="118"/>
    <s v="Brent North"/>
    <s v="Private"/>
    <d v="2020-10-20T00:00:00"/>
    <d v="2020-11-18T00:00:00"/>
  </r>
  <r>
    <s v="Ofsted Social Care Provider Webpage"/>
    <n v="1221437"/>
    <x v="0"/>
    <d v="2016-03-15T00:00:00"/>
    <s v="Active"/>
    <s v="REDACTED"/>
    <x v="1"/>
    <s v="South West"/>
    <x v="96"/>
    <s v="South Dorset"/>
    <s v="Private"/>
    <d v="2020-10-20T00:00:00"/>
    <d v="2020-11-19T00:00:00"/>
  </r>
  <r>
    <s v="Ofsted Social Care Provider Webpage"/>
    <s v="SC481844"/>
    <x v="0"/>
    <d v="2014-10-01T00:00:00"/>
    <s v="Active"/>
    <s v="REDACTED"/>
    <x v="4"/>
    <s v="East Midlands"/>
    <x v="18"/>
    <s v="Northampton North"/>
    <s v="Private"/>
    <d v="2020-10-20T00:00:00"/>
    <d v="2020-11-19T00:00:00"/>
  </r>
  <r>
    <s v="Ofsted Social Care Provider Webpage"/>
    <s v="SC012450"/>
    <x v="5"/>
    <d v="2002-02-14T00:00:00"/>
    <s v="Active"/>
    <s v="Grateley House School"/>
    <x v="2"/>
    <s v="South East"/>
    <x v="22"/>
    <s v="North West Hampshire"/>
    <s v="Private"/>
    <d v="2020-10-20T00:00:00"/>
    <d v="2020-12-29T00:00:00"/>
  </r>
  <r>
    <s v="Ofsted Social Care Provider Webpage"/>
    <n v="2536455"/>
    <x v="0"/>
    <d v="2019-08-15T00:00:00"/>
    <s v="Active"/>
    <s v="REDACTED"/>
    <x v="0"/>
    <s v="East of England"/>
    <x v="0"/>
    <s v="North East Bedfordshire"/>
    <s v="Private"/>
    <d v="2020-10-20T00:00:00"/>
    <d v="2020-11-11T00:00:00"/>
  </r>
  <r>
    <s v="Ofsted Social Care Provider Webpage"/>
    <n v="2536967"/>
    <x v="0"/>
    <d v="2019-12-24T00:00:00"/>
    <s v="Active"/>
    <s v="REDACTED"/>
    <x v="2"/>
    <s v="South East"/>
    <x v="2"/>
    <s v="Ashford"/>
    <s v="Local Authority"/>
    <d v="2020-10-20T00:00:00"/>
    <d v="2020-12-16T00:00:00"/>
  </r>
  <r>
    <s v="Ofsted Social Care Provider Webpage"/>
    <s v="SC030439"/>
    <x v="0"/>
    <d v="2004-05-07T00:00:00"/>
    <s v="Active"/>
    <s v="REDACTED"/>
    <x v="1"/>
    <s v="South West"/>
    <x v="30"/>
    <s v="Taunton Deane"/>
    <s v="Local Authority"/>
    <d v="2020-10-20T00:00:00"/>
    <d v="2020-11-19T00:00:00"/>
  </r>
  <r>
    <s v="Ofsted Social Care Provider Webpage"/>
    <s v="SC425071"/>
    <x v="0"/>
    <d v="2012-03-12T00:00:00"/>
    <s v="Active"/>
    <s v="REDACTED"/>
    <x v="2"/>
    <s v="South East"/>
    <x v="2"/>
    <s v="Folkestone and Hythe"/>
    <s v="Private"/>
    <d v="2020-10-20T00:00:00"/>
    <d v="2020-12-16T00:00:00"/>
  </r>
  <r>
    <s v="Ofsted Social Care Provider Webpage"/>
    <s v="SC370956"/>
    <x v="0"/>
    <d v="2008-02-15T00:00:00"/>
    <s v="Active"/>
    <s v="REDACTED"/>
    <x v="4"/>
    <s v="East Midlands"/>
    <x v="40"/>
    <s v="South Holland and The Deepings"/>
    <s v="Private"/>
    <d v="2020-10-20T00:00:00"/>
    <d v="2020-11-12T00:00:00"/>
  </r>
  <r>
    <s v="Ofsted Social Care Provider Webpage"/>
    <n v="2509731"/>
    <x v="0"/>
    <d v="2019-04-08T00:00:00"/>
    <s v="Active"/>
    <s v="REDACTED"/>
    <x v="6"/>
    <s v="West Midlands"/>
    <x v="46"/>
    <s v="Newcastle-under-Lyme"/>
    <s v="Private"/>
    <d v="2020-10-20T00:00:00"/>
    <d v="2020-11-24T00:00:00"/>
  </r>
  <r>
    <s v="Ofsted Social Care Provider Webpage"/>
    <s v="SC063653"/>
    <x v="0"/>
    <d v="2005-05-09T00:00:00"/>
    <s v="Active"/>
    <s v="REDACTED"/>
    <x v="6"/>
    <s v="West Midlands"/>
    <x v="46"/>
    <s v="Cannock Chase"/>
    <s v="Private"/>
    <d v="2020-10-20T00:00:00"/>
    <d v="2020-11-23T00:00:00"/>
  </r>
  <r>
    <s v="Ofsted Social Care Provider Webpage"/>
    <n v="2537252"/>
    <x v="0"/>
    <d v="2019-06-12T00:00:00"/>
    <s v="Active"/>
    <s v="REDACTED"/>
    <x v="4"/>
    <s v="East Midlands"/>
    <x v="20"/>
    <s v="Newark"/>
    <s v="Private"/>
    <d v="2020-10-20T00:00:00"/>
    <d v="2020-11-19T00:00:00"/>
  </r>
  <r>
    <s v="Ofsted Social Care Provider Webpage"/>
    <n v="2572248"/>
    <x v="0"/>
    <d v="2020-02-10T00:00:00"/>
    <s v="Resigned"/>
    <s v="REDACTED"/>
    <x v="4"/>
    <s v="East Midlands"/>
    <x v="18"/>
    <s v="Wellingborough"/>
    <s v="Local Authority"/>
    <d v="2020-10-20T00:00:00"/>
    <d v="2020-11-17T00:00:00"/>
  </r>
  <r>
    <s v="Ofsted Social Care Provider Webpage"/>
    <s v="SC063689"/>
    <x v="0"/>
    <d v="2005-09-29T00:00:00"/>
    <s v="Active"/>
    <s v="REDACTED"/>
    <x v="2"/>
    <s v="South East"/>
    <x v="2"/>
    <s v="Dartford"/>
    <s v="Private"/>
    <d v="2020-10-20T00:00:00"/>
    <d v="2020-12-04T00:00:00"/>
  </r>
  <r>
    <s v="Ofsted Social Care Provider Webpage"/>
    <n v="2591911"/>
    <x v="0"/>
    <d v="2020-06-16T00:00:00"/>
    <s v="Active"/>
    <s v="REDACTED"/>
    <x v="4"/>
    <s v="East Midlands"/>
    <x v="113"/>
    <s v="Derby South"/>
    <s v="Private"/>
    <d v="2020-10-20T00:00:00"/>
    <d v="2020-12-29T00:00:00"/>
  </r>
  <r>
    <s v="Ofsted Social Care Provider Webpage"/>
    <n v="2559317"/>
    <x v="0"/>
    <d v="2020-05-11T00:00:00"/>
    <s v="Active"/>
    <s v="REDACTED"/>
    <x v="5"/>
    <s v="North West"/>
    <x v="89"/>
    <s v="Southport"/>
    <s v="Private"/>
    <d v="2020-10-20T00:00:00"/>
    <d v="2020-11-25T00:00:00"/>
  </r>
  <r>
    <s v="Ofsted Social Care Provider Webpage"/>
    <n v="2526875"/>
    <x v="0"/>
    <d v="2019-08-30T00:00:00"/>
    <s v="Active"/>
    <s v="REDACTED"/>
    <x v="6"/>
    <s v="West Midlands"/>
    <x v="46"/>
    <s v="Staffordshire Moorlands"/>
    <s v="Private"/>
    <d v="2020-10-20T00:00:00"/>
    <d v="2020-11-18T00:00:00"/>
  </r>
  <r>
    <s v="Ofsted Social Care Provider Webpage"/>
    <n v="1232200"/>
    <x v="0"/>
    <d v="2016-06-08T00:00:00"/>
    <s v="Active"/>
    <s v="REDACTED"/>
    <x v="4"/>
    <s v="East Midlands"/>
    <x v="18"/>
    <s v="Wellingborough"/>
    <s v="Private"/>
    <d v="2020-10-20T00:00:00"/>
    <d v="2020-11-18T00:00:00"/>
  </r>
  <r>
    <s v="Ofsted Social Care Provider Webpage"/>
    <n v="1254740"/>
    <x v="0"/>
    <d v="2017-04-07T00:00:00"/>
    <s v="Active"/>
    <s v="REDACTED"/>
    <x v="1"/>
    <s v="South West"/>
    <x v="27"/>
    <s v="Plymouth, Moor View"/>
    <s v="Private"/>
    <d v="2020-10-20T00:00:00"/>
    <d v="2020-11-23T00:00:00"/>
  </r>
  <r>
    <s v="Ofsted Social Care Provider Webpage"/>
    <s v="SC429918"/>
    <x v="0"/>
    <d v="2011-07-22T00:00:00"/>
    <s v="Active"/>
    <s v="REDACTED"/>
    <x v="6"/>
    <s v="West Midlands"/>
    <x v="104"/>
    <s v="North Warwickshire"/>
    <s v="Private"/>
    <d v="2020-10-20T00:00:00"/>
    <d v="2020-11-19T00:00:00"/>
  </r>
  <r>
    <s v="Ofsted Social Care Provider Webpage"/>
    <s v="SC034211"/>
    <x v="0"/>
    <d v="2003-04-17T00:00:00"/>
    <s v="Active"/>
    <s v="REDACTED"/>
    <x v="1"/>
    <s v="South West"/>
    <x v="7"/>
    <s v="Bristol East"/>
    <s v="Local Authority"/>
    <d v="2020-10-20T00:00:00"/>
    <d v="2020-11-23T00:00:00"/>
  </r>
  <r>
    <s v="Ofsted Social Care Provider Webpage"/>
    <n v="2517433"/>
    <x v="0"/>
    <d v="2019-08-02T00:00:00"/>
    <s v="Active"/>
    <s v="REDACTED"/>
    <x v="4"/>
    <s v="East Midlands"/>
    <x v="14"/>
    <s v="South Derbyshire"/>
    <s v="Private"/>
    <d v="2020-10-20T00:00:00"/>
    <d v="2020-11-23T00:00:00"/>
  </r>
  <r>
    <s v="Ofsted Social Care Provider Webpage"/>
    <s v="SC466284"/>
    <x v="0"/>
    <d v="2013-12-05T00:00:00"/>
    <s v="Active"/>
    <s v="REDACTED"/>
    <x v="4"/>
    <s v="East Midlands"/>
    <x v="20"/>
    <s v="Newark"/>
    <s v="Voluntary"/>
    <d v="2020-10-20T00:00:00"/>
    <d v="2020-11-17T00:00:00"/>
  </r>
  <r>
    <s v="Ofsted Social Care Provider Webpage"/>
    <s v="SC458746"/>
    <x v="0"/>
    <d v="2013-01-23T00:00:00"/>
    <s v="Active"/>
    <s v="REDACTED"/>
    <x v="6"/>
    <s v="West Midlands"/>
    <x v="99"/>
    <s v="Walsall South"/>
    <s v="Private"/>
    <d v="2020-10-20T00:00:00"/>
    <d v="2020-11-20T00:00:00"/>
  </r>
  <r>
    <s v="Ofsted Social Care Provider Webpage"/>
    <s v="SC033370"/>
    <x v="0"/>
    <d v="2003-07-17T00:00:00"/>
    <s v="Active"/>
    <s v="REDACTED"/>
    <x v="3"/>
    <s v="Yorkshire and The Humber"/>
    <x v="26"/>
    <s v="Leeds West"/>
    <s v="Local Authority"/>
    <d v="2020-10-20T00:00:00"/>
    <d v="2020-11-26T00:00:00"/>
  </r>
  <r>
    <s v="Ofsted Social Care Provider Webpage"/>
    <s v="SC413678"/>
    <x v="0"/>
    <d v="2011-07-12T00:00:00"/>
    <s v="Active"/>
    <s v="REDACTED"/>
    <x v="3"/>
    <s v="Yorkshire and The Humber"/>
    <x v="95"/>
    <s v="Kingston upon Hull North"/>
    <s v="Private"/>
    <d v="2020-10-20T00:00:00"/>
    <d v="2020-11-26T00:00:00"/>
  </r>
  <r>
    <s v="Ofsted Social Care Provider Webpage"/>
    <n v="2589537"/>
    <x v="0"/>
    <d v="2020-06-02T00:00:00"/>
    <s v="Active"/>
    <s v="REDACTED"/>
    <x v="3"/>
    <s v="Yorkshire and The Humber"/>
    <x v="3"/>
    <s v="Doncaster North"/>
    <s v="Private"/>
    <d v="2020-10-20T00:00:00"/>
    <d v="2020-11-18T00:00:00"/>
  </r>
  <r>
    <s v="Ofsted Social Care Provider Webpage"/>
    <n v="2591431"/>
    <x v="0"/>
    <d v="2020-07-20T00:00:00"/>
    <s v="Active"/>
    <s v="REDACTED"/>
    <x v="0"/>
    <s v="East of England"/>
    <x v="41"/>
    <s v="Clacton"/>
    <s v="Private"/>
    <d v="2020-10-20T00:00:00"/>
    <d v="2020-11-16T00:00:00"/>
  </r>
  <r>
    <s v="Ofsted Social Care Provider Webpage"/>
    <n v="1272220"/>
    <x v="0"/>
    <d v="2018-05-09T00:00:00"/>
    <s v="Active"/>
    <s v="REDACTED"/>
    <x v="3"/>
    <s v="North East"/>
    <x v="84"/>
    <s v="Middlesbrough South and East Cleveland"/>
    <s v="Private"/>
    <d v="2020-10-20T00:00:00"/>
    <d v="2020-11-20T00:00:00"/>
  </r>
  <r>
    <s v="Ofsted Social Care Provider Webpage"/>
    <s v="SC461275"/>
    <x v="0"/>
    <d v="2013-04-19T00:00:00"/>
    <s v="Active"/>
    <s v="REDACTED"/>
    <x v="6"/>
    <s v="West Midlands"/>
    <x v="46"/>
    <s v="South Staffordshire"/>
    <s v="Private"/>
    <d v="2020-10-20T00:00:00"/>
    <d v="2020-11-16T00:00:00"/>
  </r>
  <r>
    <s v="Ofsted Social Care Provider Webpage"/>
    <n v="1267324"/>
    <x v="1"/>
    <d v="2018-03-07T00:00:00"/>
    <s v="Active"/>
    <s v="Sandwell Children's Trust Fostering"/>
    <x v="6"/>
    <s v="West Midlands"/>
    <x v="17"/>
    <s v="West Bromwich West"/>
    <s v="Voluntary"/>
    <d v="2020-10-20T00:00:00"/>
    <d v="2020-12-11T00:00:00"/>
  </r>
  <r>
    <s v="Ofsted Social Care Provider Webpage"/>
    <n v="2483823"/>
    <x v="0"/>
    <d v="2018-10-29T00:00:00"/>
    <s v="Active"/>
    <s v="REDACTED"/>
    <x v="4"/>
    <s v="East Midlands"/>
    <x v="4"/>
    <s v="Rutland and Melton"/>
    <s v="Private"/>
    <d v="2020-10-20T00:00:00"/>
    <d v="2020-11-18T00:00:00"/>
  </r>
  <r>
    <s v="Ofsted Social Care Provider Webpage"/>
    <n v="1244117"/>
    <x v="0"/>
    <d v="2016-12-01T00:00:00"/>
    <s v="Active"/>
    <s v="REDACTED"/>
    <x v="4"/>
    <s v="East Midlands"/>
    <x v="20"/>
    <s v="Bassetlaw"/>
    <s v="Voluntary"/>
    <d v="2020-10-20T00:00:00"/>
    <d v="2020-11-18T00:00:00"/>
  </r>
  <r>
    <s v="Ofsted Social Care Provider Webpage"/>
    <s v="SC066747"/>
    <x v="0"/>
    <d v="2006-03-30T00:00:00"/>
    <s v="Active"/>
    <s v="REDACTED"/>
    <x v="3"/>
    <s v="Yorkshire and The Humber"/>
    <x v="42"/>
    <s v="Sheffield South East"/>
    <s v="Local Authority"/>
    <d v="2020-09-21T00:00:00"/>
    <d v="2020-10-22T00:00:00"/>
  </r>
  <r>
    <s v="Ofsted Social Care Provider Webpage"/>
    <n v="1272827"/>
    <x v="0"/>
    <d v="2018-05-29T00:00:00"/>
    <s v="Active"/>
    <s v="REDACTED"/>
    <x v="4"/>
    <s v="East Midlands"/>
    <x v="14"/>
    <s v="Chesterfield"/>
    <s v="Private"/>
    <d v="2020-09-21T00:00:00"/>
    <d v="2020-10-15T00:00:00"/>
  </r>
  <r>
    <s v="Ofsted Social Care Provider Webpage"/>
    <n v="2529815"/>
    <x v="0"/>
    <d v="2019-08-06T00:00:00"/>
    <s v="Active"/>
    <s v="REDACTED"/>
    <x v="0"/>
    <s v="East of England"/>
    <x v="50"/>
    <s v="Suffolk Coastal"/>
    <s v="Private"/>
    <d v="2020-09-21T00:00:00"/>
    <d v="2020-10-21T00:00:00"/>
  </r>
  <r>
    <s v="Ofsted Social Care Provider Webpage"/>
    <s v="SC431228"/>
    <x v="0"/>
    <d v="2011-09-01T00:00:00"/>
    <s v="Active"/>
    <s v="REDACTED"/>
    <x v="0"/>
    <s v="East of England"/>
    <x v="33"/>
    <s v="South West Norfolk"/>
    <s v="Private"/>
    <d v="2020-09-21T00:00:00"/>
    <d v="2020-10-15T00:00:00"/>
  </r>
  <r>
    <s v="Ofsted Social Care Provider Webpage"/>
    <s v="SC061837"/>
    <x v="0"/>
    <d v="2005-06-08T00:00:00"/>
    <s v="Active"/>
    <s v="REDACTED"/>
    <x v="6"/>
    <s v="West Midlands"/>
    <x v="104"/>
    <s v="North Warwickshire"/>
    <s v="Private"/>
    <d v="2020-09-21T00:00:00"/>
    <d v="2020-10-22T00:00:00"/>
  </r>
  <r>
    <s v="Ofsted Social Care Provider Webpage"/>
    <n v="1271467"/>
    <x v="0"/>
    <d v="2018-03-14T00:00:00"/>
    <s v="Active"/>
    <s v="REDACTED"/>
    <x v="1"/>
    <s v="South West"/>
    <x v="10"/>
    <s v="Torridge and West Devon"/>
    <s v="Private"/>
    <d v="2020-09-21T00:00:00"/>
    <d v="2020-10-26T00:00:00"/>
  </r>
  <r>
    <s v="Ofsted Social Care Provider Webpage"/>
    <n v="2592750"/>
    <x v="0"/>
    <d v="2020-06-10T00:00:00"/>
    <s v="Active"/>
    <s v="REDACTED"/>
    <x v="0"/>
    <s v="East of England"/>
    <x v="33"/>
    <s v="North West Norfolk"/>
    <s v="Private"/>
    <d v="2020-09-21T00:00:00"/>
    <d v="2020-10-19T00:00:00"/>
  </r>
  <r>
    <s v="Ofsted Social Care Provider Webpage"/>
    <s v="SC038719"/>
    <x v="2"/>
    <d v="2004-03-31T00:00:00"/>
    <s v="Active"/>
    <s v="REDACTED"/>
    <x v="2"/>
    <s v="South East"/>
    <x v="22"/>
    <s v="Fareham"/>
    <s v="Local Authority"/>
    <d v="2020-09-21T00:00:00"/>
    <d v="2020-11-23T00:00:00"/>
  </r>
  <r>
    <s v="Ofsted Social Care Provider Webpage"/>
    <s v="SC008488"/>
    <x v="0"/>
    <d v="1999-09-01T00:00:00"/>
    <s v="Active"/>
    <s v="REDACTED"/>
    <x v="5"/>
    <s v="North West"/>
    <x v="70"/>
    <s v="Cheadle"/>
    <s v="Private"/>
    <d v="2020-09-21T00:00:00"/>
    <d v="2020-12-17T00:00:00"/>
  </r>
  <r>
    <s v="Ofsted Social Care Provider Webpage"/>
    <s v="SC455338"/>
    <x v="0"/>
    <d v="2012-10-19T00:00:00"/>
    <s v="Active"/>
    <s v="REDACTED"/>
    <x v="0"/>
    <s v="East of England"/>
    <x v="0"/>
    <s v="Mid Bedfordshire"/>
    <s v="Private"/>
    <d v="2020-09-21T00:00:00"/>
    <d v="2020-10-21T00:00:00"/>
  </r>
  <r>
    <s v="Ofsted Social Care Provider Webpage"/>
    <s v="SC035499"/>
    <x v="0"/>
    <d v="2003-04-01T00:00:00"/>
    <s v="Active"/>
    <s v="REDACTED"/>
    <x v="3"/>
    <s v="Yorkshire and The Humber"/>
    <x v="111"/>
    <s v="East Yorkshire"/>
    <s v="Local Authority"/>
    <d v="2020-09-21T00:00:00"/>
    <d v="2020-10-27T00:00:00"/>
  </r>
  <r>
    <s v="Ofsted Social Care Provider Webpage"/>
    <n v="2547761"/>
    <x v="0"/>
    <d v="2020-02-09T00:00:00"/>
    <s v="Active"/>
    <s v="REDACTED"/>
    <x v="5"/>
    <s v="North West"/>
    <x v="16"/>
    <s v="South Ribble"/>
    <s v="Private"/>
    <d v="2020-09-21T00:00:00"/>
    <d v="2020-12-09T00:00:00"/>
  </r>
  <r>
    <s v="Ofsted Social Care Provider Webpage"/>
    <s v="SC060545"/>
    <x v="0"/>
    <d v="2005-04-20T00:00:00"/>
    <s v="Active"/>
    <s v="REDACTED"/>
    <x v="7"/>
    <s v="London"/>
    <x v="100"/>
    <s v="East Ham"/>
    <s v="Private"/>
    <d v="2020-09-21T00:00:00"/>
    <d v="2020-10-29T00:00:00"/>
  </r>
  <r>
    <s v="Ofsted Social Care Provider Webpage"/>
    <s v="SC429995"/>
    <x v="0"/>
    <d v="2011-07-22T00:00:00"/>
    <s v="Active"/>
    <s v="REDACTED"/>
    <x v="3"/>
    <s v="North East"/>
    <x v="92"/>
    <s v="North West Durham"/>
    <s v="Private"/>
    <d v="2020-09-21T00:00:00"/>
    <d v="2020-12-09T00:00:00"/>
  </r>
  <r>
    <s v="Ofsted Social Care Provider Webpage"/>
    <n v="1258095"/>
    <x v="0"/>
    <d v="2017-08-03T00:00:00"/>
    <s v="Active"/>
    <s v="REDACTED"/>
    <x v="6"/>
    <s v="West Midlands"/>
    <x v="46"/>
    <s v="Stone"/>
    <s v="Private"/>
    <d v="2020-10-21T00:00:00"/>
    <d v="2020-11-24T00:00:00"/>
  </r>
  <r>
    <s v="Ofsted Social Care Provider Webpage"/>
    <n v="1263129"/>
    <x v="0"/>
    <d v="2017-11-06T00:00:00"/>
    <s v="Active"/>
    <s v="REDACTED"/>
    <x v="2"/>
    <s v="South East"/>
    <x v="52"/>
    <s v="Lewes"/>
    <s v="Private"/>
    <d v="2020-10-21T00:00:00"/>
    <d v="2020-12-07T00:00:00"/>
  </r>
  <r>
    <s v="Ofsted Social Care Provider Webpage"/>
    <n v="2548333"/>
    <x v="0"/>
    <d v="2020-01-24T00:00:00"/>
    <s v="Active"/>
    <s v="REDACTED"/>
    <x v="6"/>
    <s v="West Midlands"/>
    <x v="34"/>
    <s v="Birmingham, Yardley"/>
    <s v="Private"/>
    <d v="2020-10-21T00:00:00"/>
    <d v="2020-11-27T00:00:00"/>
  </r>
  <r>
    <s v="Ofsted Social Care Provider Webpage"/>
    <n v="1271380"/>
    <x v="0"/>
    <d v="2018-07-25T00:00:00"/>
    <s v="Active"/>
    <s v="REDACTED"/>
    <x v="2"/>
    <s v="South East"/>
    <x v="58"/>
    <s v="Wycombe"/>
    <s v="Private"/>
    <d v="2020-10-21T00:00:00"/>
    <d v="2020-12-11T00:00:00"/>
  </r>
  <r>
    <s v="Ofsted Social Care Provider Webpage"/>
    <s v="SC487764"/>
    <x v="0"/>
    <d v="2015-09-23T00:00:00"/>
    <s v="Active"/>
    <s v="REDACTED"/>
    <x v="6"/>
    <s v="West Midlands"/>
    <x v="46"/>
    <s v="Newcastle-under-Lyme"/>
    <s v="Private"/>
    <d v="2020-10-21T00:00:00"/>
    <d v="2020-12-03T00:00:00"/>
  </r>
  <r>
    <s v="Ofsted Social Care Provider Webpage"/>
    <n v="2547560"/>
    <x v="0"/>
    <d v="2019-10-30T00:00:00"/>
    <s v="Active"/>
    <s v="REDACTED"/>
    <x v="7"/>
    <s v="London"/>
    <x v="103"/>
    <s v="Lewisham West and Penge"/>
    <s v="Private"/>
    <d v="2020-10-21T00:00:00"/>
    <d v="2020-12-29T00:00:00"/>
  </r>
  <r>
    <s v="Ofsted Social Care Provider Webpage"/>
    <n v="1249264"/>
    <x v="0"/>
    <d v="2017-02-15T00:00:00"/>
    <s v="Active"/>
    <s v="REDACTED"/>
    <x v="5"/>
    <s v="North West"/>
    <x v="78"/>
    <s v="Penrith and The Border"/>
    <s v="Private"/>
    <d v="2020-10-21T00:00:00"/>
    <d v="2020-12-01T00:00:00"/>
  </r>
  <r>
    <s v="Ofsted Social Care Provider Webpage"/>
    <n v="1249035"/>
    <x v="0"/>
    <d v="2017-03-21T00:00:00"/>
    <s v="Active"/>
    <s v="REDACTED"/>
    <x v="5"/>
    <s v="North West"/>
    <x v="16"/>
    <s v="Burnley"/>
    <s v="Private"/>
    <d v="2020-10-21T00:00:00"/>
    <d v="2020-11-13T00:00:00"/>
  </r>
  <r>
    <s v="Ofsted Social Care Provider Webpage"/>
    <s v="SC417351"/>
    <x v="0"/>
    <d v="2010-12-01T00:00:00"/>
    <s v="Resigned"/>
    <s v="REDACTED"/>
    <x v="0"/>
    <s v="East of England"/>
    <x v="41"/>
    <s v="Witham"/>
    <s v="Private"/>
    <d v="2020-10-21T00:00:00"/>
    <d v="2020-11-17T00:00:00"/>
  </r>
  <r>
    <s v="Ofsted Social Care Provider Webpage"/>
    <s v="SC457435"/>
    <x v="0"/>
    <d v="2013-01-20T00:00:00"/>
    <s v="Active"/>
    <s v="REDACTED"/>
    <x v="3"/>
    <s v="Yorkshire and The Humber"/>
    <x v="60"/>
    <s v="Scarborough and Whitby"/>
    <s v="Private"/>
    <d v="2020-10-21T00:00:00"/>
    <d v="2020-12-04T00:00:00"/>
  </r>
  <r>
    <s v="Ofsted Social Care Provider Webpage"/>
    <s v="SC359818"/>
    <x v="0"/>
    <d v="2007-03-30T00:00:00"/>
    <s v="Active"/>
    <s v="REDACTED"/>
    <x v="6"/>
    <s v="West Midlands"/>
    <x v="64"/>
    <s v="Wolverhampton North East"/>
    <s v="Private"/>
    <d v="2020-10-21T00:00:00"/>
    <d v="2020-11-24T00:00:00"/>
  </r>
  <r>
    <s v="Ofsted Social Care Provider Webpage"/>
    <s v="SC356929"/>
    <x v="0"/>
    <d v="2007-03-28T00:00:00"/>
    <s v="Active"/>
    <s v="REDACTED"/>
    <x v="5"/>
    <s v="North West"/>
    <x v="85"/>
    <s v="Knowsley"/>
    <s v="Private"/>
    <d v="2020-10-21T00:00:00"/>
    <d v="2020-11-19T00:00:00"/>
  </r>
  <r>
    <s v="Ofsted Social Care Provider Webpage"/>
    <n v="2510737"/>
    <x v="0"/>
    <d v="2019-05-17T00:00:00"/>
    <s v="Active"/>
    <s v="REDACTED"/>
    <x v="5"/>
    <s v="North West"/>
    <x v="89"/>
    <s v="Southport"/>
    <s v="Private"/>
    <d v="2020-10-21T00:00:00"/>
    <d v="2020-11-24T00:00:00"/>
  </r>
  <r>
    <s v="Ofsted Social Care Provider Webpage"/>
    <s v="SC025799"/>
    <x v="0"/>
    <d v="1996-01-23T00:00:00"/>
    <s v="Active"/>
    <s v="REDACTED"/>
    <x v="7"/>
    <s v="London"/>
    <x v="119"/>
    <s v="Croydon South"/>
    <s v="Private"/>
    <d v="2020-10-21T00:00:00"/>
    <d v="2020-11-25T00:00:00"/>
  </r>
  <r>
    <s v="Ofsted Social Care Provider Webpage"/>
    <s v="SC467704"/>
    <x v="0"/>
    <d v="2013-08-09T00:00:00"/>
    <s v="Active"/>
    <s v="REDACTED"/>
    <x v="1"/>
    <s v="South West"/>
    <x v="10"/>
    <s v="East Devon"/>
    <s v="Private"/>
    <d v="2020-10-21T00:00:00"/>
    <d v="2020-11-20T00:00:00"/>
  </r>
  <r>
    <s v="Ofsted Social Care Provider Webpage"/>
    <s v="SC391993"/>
    <x v="0"/>
    <d v="2009-07-01T00:00:00"/>
    <s v="Active"/>
    <s v="REDACTED"/>
    <x v="3"/>
    <s v="North East"/>
    <x v="102"/>
    <s v="Darlington"/>
    <s v="Voluntary"/>
    <d v="2020-10-21T00:00:00"/>
    <d v="2020-12-03T00:00:00"/>
  </r>
  <r>
    <s v="Ofsted Social Care Provider Webpage"/>
    <s v="SC449954"/>
    <x v="0"/>
    <d v="2012-10-15T00:00:00"/>
    <s v="Active"/>
    <s v="REDACTED"/>
    <x v="4"/>
    <s v="East Midlands"/>
    <x v="36"/>
    <s v="Nottingham South"/>
    <s v="Private"/>
    <d v="2020-10-21T00:00:00"/>
    <d v="2020-11-24T00:00:00"/>
  </r>
  <r>
    <s v="Ofsted Social Care Provider Webpage"/>
    <n v="1259178"/>
    <x v="0"/>
    <d v="2018-02-15T00:00:00"/>
    <s v="Active"/>
    <s v="REDACTED"/>
    <x v="6"/>
    <s v="West Midlands"/>
    <x v="34"/>
    <s v="Birmingham, Erdington"/>
    <s v="Private"/>
    <d v="2020-10-21T00:00:00"/>
    <d v="2020-11-19T00:00:00"/>
  </r>
  <r>
    <s v="Ofsted Social Care Provider Webpage"/>
    <n v="2589621"/>
    <x v="0"/>
    <d v="2020-04-27T00:00:00"/>
    <s v="Active"/>
    <s v="REDACTED"/>
    <x v="5"/>
    <s v="North West"/>
    <x v="69"/>
    <s v="Garston and Halewood"/>
    <s v="Private"/>
    <d v="2020-10-21T00:00:00"/>
    <d v="2020-11-26T00:00:00"/>
  </r>
  <r>
    <s v="Ofsted Social Care Provider Webpage"/>
    <s v="SC485529"/>
    <x v="0"/>
    <d v="2015-01-20T00:00:00"/>
    <s v="Active"/>
    <s v="REDACTED"/>
    <x v="2"/>
    <s v="South East"/>
    <x v="22"/>
    <s v="New Forest East"/>
    <s v="Private"/>
    <d v="2020-10-21T00:00:00"/>
    <d v="2020-12-10T00:00:00"/>
  </r>
  <r>
    <s v="Ofsted Social Care Provider Webpage"/>
    <s v="SC403234"/>
    <x v="0"/>
    <d v="2009-12-22T00:00:00"/>
    <s v="Active"/>
    <s v="REDACTED"/>
    <x v="1"/>
    <s v="South West"/>
    <x v="10"/>
    <s v="North Devon"/>
    <s v="Private"/>
    <d v="2020-10-21T00:00:00"/>
    <d v="2020-11-17T00:00:00"/>
  </r>
  <r>
    <s v="Ofsted Social Care Provider Webpage"/>
    <s v="SC390751"/>
    <x v="0"/>
    <d v="2009-04-22T00:00:00"/>
    <s v="Active"/>
    <s v="REDACTED"/>
    <x v="3"/>
    <s v="North East"/>
    <x v="102"/>
    <s v="Darlington"/>
    <s v="Private"/>
    <d v="2020-10-21T00:00:00"/>
    <d v="2020-12-29T00:00:00"/>
  </r>
  <r>
    <s v="Ofsted Social Care Provider Webpage"/>
    <n v="2567806"/>
    <x v="0"/>
    <d v="2020-05-06T00:00:00"/>
    <s v="Active"/>
    <s v="REDACTED"/>
    <x v="3"/>
    <s v="Yorkshire and The Humber"/>
    <x v="60"/>
    <s v="Selby and Ainsty"/>
    <s v="Private"/>
    <d v="2020-10-21T00:00:00"/>
    <d v="2020-11-13T00:00:00"/>
  </r>
  <r>
    <s v="Ofsted Social Care Provider Webpage"/>
    <s v="SC456795"/>
    <x v="0"/>
    <d v="2013-02-14T00:00:00"/>
    <s v="Active"/>
    <s v="REDACTED"/>
    <x v="5"/>
    <s v="North West"/>
    <x v="15"/>
    <s v="Warrington North"/>
    <s v="Private"/>
    <d v="2020-10-21T00:00:00"/>
    <d v="2020-11-19T00:00:00"/>
  </r>
  <r>
    <s v="Ofsted Social Care Provider Webpage"/>
    <n v="1280623"/>
    <x v="0"/>
    <d v="2018-10-16T00:00:00"/>
    <s v="Active"/>
    <s v="REDACTED"/>
    <x v="6"/>
    <s v="West Midlands"/>
    <x v="64"/>
    <s v="Wolverhampton South West"/>
    <s v="Private"/>
    <d v="2020-10-21T00:00:00"/>
    <d v="2020-11-17T00:00:00"/>
  </r>
  <r>
    <s v="Ofsted Social Care Provider Webpage"/>
    <n v="1234432"/>
    <x v="0"/>
    <d v="2016-06-03T00:00:00"/>
    <s v="Active"/>
    <s v="REDACTED"/>
    <x v="5"/>
    <s v="North West"/>
    <x v="85"/>
    <s v="Knowsley"/>
    <s v="Private"/>
    <d v="2020-10-21T00:00:00"/>
    <d v="2020-11-12T00:00:00"/>
  </r>
  <r>
    <s v="Ofsted Social Care Provider Webpage"/>
    <s v="SC420876"/>
    <x v="0"/>
    <d v="2010-12-20T00:00:00"/>
    <s v="Active"/>
    <s v="REDACTED"/>
    <x v="6"/>
    <s v="West Midlands"/>
    <x v="46"/>
    <s v="Staffordshire Moorlands"/>
    <s v="Private"/>
    <d v="2020-10-21T00:00:00"/>
    <d v="2020-12-03T00:00:00"/>
  </r>
  <r>
    <s v="Ofsted Social Care Provider Webpage"/>
    <n v="1256452"/>
    <x v="0"/>
    <d v="2017-07-13T00:00:00"/>
    <s v="Active"/>
    <s v="REDACTED"/>
    <x v="0"/>
    <s v="East of England"/>
    <x v="41"/>
    <s v="Saffron Walden"/>
    <s v="Private"/>
    <d v="2020-10-21T00:00:00"/>
    <d v="2020-11-17T00:00:00"/>
  </r>
  <r>
    <s v="Ofsted Social Care Provider Webpage"/>
    <s v="SC439956"/>
    <x v="0"/>
    <d v="2012-05-22T00:00:00"/>
    <s v="Active"/>
    <s v="REDACTED"/>
    <x v="5"/>
    <s v="North West"/>
    <x v="78"/>
    <s v="Penrith and The Border"/>
    <s v="Private"/>
    <d v="2020-12-21T00:00:00"/>
    <d v="2021-01-29T00:00:00"/>
  </r>
  <r>
    <s v="Ofsted Social Care Provider Webpage"/>
    <n v="1241757"/>
    <x v="0"/>
    <d v="2016-08-09T00:00:00"/>
    <s v="Active"/>
    <s v="REDACTED"/>
    <x v="5"/>
    <s v="North West"/>
    <x v="72"/>
    <s v="Wigan"/>
    <s v="Private"/>
    <d v="2020-12-21T00:00:00"/>
    <d v="2021-01-28T00:00:00"/>
  </r>
  <r>
    <s v="Ofsted Social Care Provider Webpage"/>
    <n v="1229534"/>
    <x v="0"/>
    <d v="2016-04-27T00:00:00"/>
    <s v="Active"/>
    <s v="REDACTED"/>
    <x v="5"/>
    <s v="North West"/>
    <x v="16"/>
    <s v="Hyndburn"/>
    <s v="Private"/>
    <d v="2020-12-21T00:00:00"/>
    <d v="2021-01-28T00:00:00"/>
  </r>
  <r>
    <s v="Ofsted Social Care Provider Webpage"/>
    <n v="1249184"/>
    <x v="0"/>
    <d v="2017-01-12T00:00:00"/>
    <s v="Active"/>
    <s v="REDACTED"/>
    <x v="6"/>
    <s v="West Midlands"/>
    <x v="46"/>
    <s v="Stafford"/>
    <s v="Private"/>
    <d v="2020-09-22T00:00:00"/>
    <d v="2020-10-23T00:00:00"/>
  </r>
  <r>
    <s v="Ofsted Social Care Provider Webpage"/>
    <s v="SC443009"/>
    <x v="0"/>
    <d v="2012-05-21T00:00:00"/>
    <s v="Active"/>
    <s v="REDACTED"/>
    <x v="0"/>
    <s v="East of England"/>
    <x v="50"/>
    <s v="West Suffolk"/>
    <s v="Private"/>
    <d v="2020-09-22T00:00:00"/>
    <d v="2020-10-15T00:00:00"/>
  </r>
  <r>
    <s v="Ofsted Social Care Provider Webpage"/>
    <s v="SC450701"/>
    <x v="0"/>
    <d v="2012-11-07T00:00:00"/>
    <s v="Active"/>
    <s v="REDACTED"/>
    <x v="4"/>
    <s v="East Midlands"/>
    <x v="18"/>
    <s v="Kettering"/>
    <s v="Private"/>
    <d v="2020-09-22T00:00:00"/>
    <d v="2020-10-22T00:00:00"/>
  </r>
  <r>
    <s v="Ofsted Social Care Provider Webpage"/>
    <s v="SC066010"/>
    <x v="0"/>
    <d v="2006-02-21T00:00:00"/>
    <s v="Active"/>
    <s v="REDACTED"/>
    <x v="3"/>
    <s v="Yorkshire and The Humber"/>
    <x v="42"/>
    <s v="Sheffield, Heeley"/>
    <s v="Private"/>
    <d v="2020-09-22T00:00:00"/>
    <d v="2020-10-23T00:00:00"/>
  </r>
  <r>
    <s v="Ofsted Social Care Provider Webpage"/>
    <s v="SC436372"/>
    <x v="0"/>
    <d v="2011-10-24T00:00:00"/>
    <s v="Active"/>
    <s v="REDACTED"/>
    <x v="4"/>
    <s v="East Midlands"/>
    <x v="4"/>
    <s v="Loughborough"/>
    <s v="Private"/>
    <d v="2020-09-22T00:00:00"/>
    <d v="2020-10-19T00:00:00"/>
  </r>
  <r>
    <s v="Ofsted Social Care Provider Webpage"/>
    <n v="1267650"/>
    <x v="0"/>
    <d v="2018-01-08T00:00:00"/>
    <s v="Active"/>
    <s v="REDACTED"/>
    <x v="3"/>
    <s v="North East"/>
    <x v="65"/>
    <s v="Wansbeck"/>
    <s v="Private"/>
    <d v="2020-09-22T00:00:00"/>
    <d v="2020-10-22T00:00:00"/>
  </r>
  <r>
    <s v="Ofsted Social Care Provider Webpage"/>
    <n v="2560305"/>
    <x v="0"/>
    <d v="2020-01-31T00:00:00"/>
    <s v="Active"/>
    <s v="REDACTED"/>
    <x v="6"/>
    <s v="West Midlands"/>
    <x v="17"/>
    <s v="West Bromwich East"/>
    <s v="Private"/>
    <d v="2020-09-22T00:00:00"/>
    <d v="2020-10-23T00:00:00"/>
  </r>
  <r>
    <s v="Ofsted Social Care Provider Webpage"/>
    <n v="1216505"/>
    <x v="0"/>
    <d v="2016-02-03T00:00:00"/>
    <s v="Active"/>
    <s v="REDACTED"/>
    <x v="3"/>
    <s v="North East"/>
    <x v="73"/>
    <s v="Newcastle upon Tyne East"/>
    <s v="Private"/>
    <d v="2020-09-22T00:00:00"/>
    <d v="2020-10-23T00:00:00"/>
  </r>
  <r>
    <s v="Ofsted Social Care Provider Webpage"/>
    <n v="1225887"/>
    <x v="0"/>
    <d v="2016-01-15T00:00:00"/>
    <s v="Active"/>
    <s v="REDACTED"/>
    <x v="2"/>
    <s v="South East"/>
    <x v="2"/>
    <s v="Sittingbourne and Sheppey"/>
    <s v="Private"/>
    <d v="2020-09-22T00:00:00"/>
    <d v="2020-11-10T00:00:00"/>
  </r>
  <r>
    <s v="Ofsted Social Care Provider Webpage"/>
    <n v="1277497"/>
    <x v="0"/>
    <d v="2018-06-15T00:00:00"/>
    <s v="Active"/>
    <s v="REDACTED"/>
    <x v="5"/>
    <s v="North West"/>
    <x v="16"/>
    <s v="Morecambe and Lunesdale"/>
    <s v="Private"/>
    <d v="2020-09-22T00:00:00"/>
    <d v="2020-12-10T00:00:00"/>
  </r>
  <r>
    <s v="Ofsted Social Care Provider Webpage"/>
    <n v="1272209"/>
    <x v="0"/>
    <d v="2018-04-11T00:00:00"/>
    <s v="Active"/>
    <s v="REDACTED"/>
    <x v="4"/>
    <s v="East Midlands"/>
    <x v="18"/>
    <s v="Northampton North"/>
    <s v="Private"/>
    <d v="2020-09-22T00:00:00"/>
    <d v="2020-10-22T00:00:00"/>
  </r>
  <r>
    <s v="Ofsted Social Care Provider Webpage"/>
    <n v="2567722"/>
    <x v="0"/>
    <d v="2020-01-07T00:00:00"/>
    <s v="Active"/>
    <s v="REDACTED"/>
    <x v="1"/>
    <s v="South West"/>
    <x v="7"/>
    <s v="Bristol East"/>
    <s v="Local Authority"/>
    <d v="2020-09-22T00:00:00"/>
    <d v="2020-10-19T00:00:00"/>
  </r>
  <r>
    <s v="Ofsted Social Care Provider Webpage"/>
    <n v="1255748"/>
    <x v="0"/>
    <d v="2017-05-24T00:00:00"/>
    <s v="Active"/>
    <s v="REDACTED"/>
    <x v="4"/>
    <s v="East Midlands"/>
    <x v="36"/>
    <s v="Nottingham South"/>
    <s v="Private"/>
    <d v="2020-09-22T00:00:00"/>
    <d v="2020-10-19T00:00:00"/>
  </r>
  <r>
    <s v="Ofsted Social Care Provider Webpage"/>
    <n v="2571033"/>
    <x v="0"/>
    <d v="2020-04-24T00:00:00"/>
    <s v="Active"/>
    <s v="REDACTED"/>
    <x v="5"/>
    <s v="North West"/>
    <x v="16"/>
    <s v="Wyre and Preston North"/>
    <s v="Private"/>
    <d v="2020-09-22T00:00:00"/>
    <d v="2020-11-17T00:00:00"/>
  </r>
  <r>
    <s v="Ofsted Social Care Provider Webpage"/>
    <n v="2494962"/>
    <x v="0"/>
    <d v="2019-01-09T00:00:00"/>
    <s v="Active"/>
    <s v="REDACTED"/>
    <x v="3"/>
    <s v="Yorkshire and The Humber"/>
    <x v="45"/>
    <s v="Dewsbury"/>
    <s v="Private"/>
    <d v="2020-09-22T00:00:00"/>
    <d v="2020-10-26T00:00:00"/>
  </r>
  <r>
    <s v="Ofsted Social Care Provider Webpage"/>
    <n v="2509381"/>
    <x v="0"/>
    <d v="2019-07-11T00:00:00"/>
    <s v="Active"/>
    <s v="REDACTED"/>
    <x v="5"/>
    <s v="North West"/>
    <x v="69"/>
    <s v="Liverpool, Wavertree"/>
    <s v="Private"/>
    <d v="2020-09-22T00:00:00"/>
    <d v="2020-11-11T00:00:00"/>
  </r>
  <r>
    <s v="Ofsted Social Care Provider Webpage"/>
    <s v="SC033723"/>
    <x v="0"/>
    <d v="2003-07-17T00:00:00"/>
    <s v="Active"/>
    <s v="REDACTED"/>
    <x v="3"/>
    <s v="Yorkshire and The Humber"/>
    <x v="26"/>
    <s v="Leeds East"/>
    <s v="Local Authority"/>
    <d v="2020-09-22T00:00:00"/>
    <d v="2020-10-30T00:00:00"/>
  </r>
  <r>
    <s v="Ofsted Social Care Provider Webpage"/>
    <s v="SC033326"/>
    <x v="0"/>
    <d v="2003-10-07T00:00:00"/>
    <s v="Active"/>
    <s v="REDACTED"/>
    <x v="3"/>
    <s v="Yorkshire and The Humber"/>
    <x v="45"/>
    <s v="Colne Valley"/>
    <s v="Local Authority"/>
    <d v="2020-09-22T00:00:00"/>
    <d v="2020-10-23T00:00:00"/>
  </r>
  <r>
    <s v="Ofsted Social Care Provider Webpage"/>
    <s v="SC443765"/>
    <x v="0"/>
    <d v="2012-05-09T00:00:00"/>
    <s v="Active"/>
    <s v="REDACTED"/>
    <x v="5"/>
    <s v="North West"/>
    <x v="78"/>
    <s v="Westmorland and Lonsdale"/>
    <s v="Private"/>
    <d v="2020-09-22T00:00:00"/>
    <d v="2020-11-02T00:00:00"/>
  </r>
  <r>
    <s v="Ofsted Social Care Provider Webpage"/>
    <s v="SC043972"/>
    <x v="0"/>
    <d v="2003-06-30T00:00:00"/>
    <s v="Active"/>
    <s v="REDACTED"/>
    <x v="5"/>
    <s v="North West"/>
    <x v="11"/>
    <s v="Manchester, Gorton"/>
    <s v="Private"/>
    <d v="2020-09-22T00:00:00"/>
    <d v="2020-11-02T00:00:00"/>
  </r>
  <r>
    <s v="Ofsted Social Care Provider Webpage"/>
    <s v="SC006017"/>
    <x v="0"/>
    <d v="2001-06-20T00:00:00"/>
    <s v="Active"/>
    <s v="REDACTED"/>
    <x v="5"/>
    <s v="North West"/>
    <x v="16"/>
    <s v="West Lancashire"/>
    <s v="Private"/>
    <d v="2020-09-22T00:00:00"/>
    <d v="2020-11-03T00:00:00"/>
  </r>
  <r>
    <s v="Ofsted Social Care Provider Webpage"/>
    <n v="1273658"/>
    <x v="0"/>
    <d v="2018-03-20T00:00:00"/>
    <s v="Active"/>
    <s v="REDACTED"/>
    <x v="6"/>
    <s v="West Midlands"/>
    <x v="34"/>
    <s v="Birmingham, Northfield"/>
    <s v="Voluntary"/>
    <d v="2020-09-22T00:00:00"/>
    <d v="2020-11-02T00:00:00"/>
  </r>
  <r>
    <s v="Ofsted Social Care Provider Webpage"/>
    <n v="2580626"/>
    <x v="0"/>
    <d v="2020-05-04T00:00:00"/>
    <s v="Active"/>
    <s v="REDACTED"/>
    <x v="5"/>
    <s v="North West"/>
    <x v="16"/>
    <s v="Hyndburn"/>
    <s v="Private"/>
    <d v="2020-09-22T00:00:00"/>
    <d v="2020-10-27T00:00:00"/>
  </r>
  <r>
    <s v="Ofsted Social Care Provider Webpage"/>
    <s v="SC023637"/>
    <x v="0"/>
    <d v="2001-07-19T00:00:00"/>
    <s v="Active"/>
    <s v="REDACTED"/>
    <x v="2"/>
    <s v="South East"/>
    <x v="2"/>
    <s v="Folkestone and Hythe"/>
    <s v="Private"/>
    <d v="2020-09-22T00:00:00"/>
    <d v="2020-11-10T00:00:00"/>
  </r>
  <r>
    <s v="Ofsted Social Care Provider Webpage"/>
    <s v="SC454035"/>
    <x v="0"/>
    <d v="2012-12-24T00:00:00"/>
    <s v="Active"/>
    <s v="REDACTED"/>
    <x v="5"/>
    <s v="North West"/>
    <x v="85"/>
    <s v="Knowsley"/>
    <s v="Private"/>
    <d v="2020-09-22T00:00:00"/>
    <d v="2020-11-12T00:00:00"/>
  </r>
  <r>
    <s v="Ofsted Social Care Provider Webpage"/>
    <s v="SC481439"/>
    <x v="0"/>
    <d v="2014-09-25T00:00:00"/>
    <s v="Active"/>
    <s v="REDACTED"/>
    <x v="3"/>
    <s v="Yorkshire and The Humber"/>
    <x v="3"/>
    <s v="Doncaster North"/>
    <s v="Voluntary"/>
    <d v="2020-09-22T00:00:00"/>
    <d v="2020-10-28T00:00:00"/>
  </r>
  <r>
    <s v="Ofsted Social Care Provider Webpage"/>
    <s v="SC059853"/>
    <x v="0"/>
    <d v="2004-05-26T00:00:00"/>
    <s v="Active"/>
    <s v="REDACTED"/>
    <x v="5"/>
    <s v="North West"/>
    <x v="32"/>
    <s v="Bolton North East"/>
    <s v="Local Authority"/>
    <d v="2020-09-22T00:00:00"/>
    <d v="2020-11-02T00:00:00"/>
  </r>
  <r>
    <s v="Ofsted Social Care Provider Webpage"/>
    <s v="SC034741"/>
    <x v="0"/>
    <d v="2003-09-04T00:00:00"/>
    <s v="Resigned"/>
    <s v="REDACTED"/>
    <x v="3"/>
    <s v="North East"/>
    <x v="92"/>
    <s v="North West Durham"/>
    <s v="Local Authority"/>
    <d v="2020-09-22T00:00:00"/>
    <d v="2020-12-09T00:00:00"/>
  </r>
  <r>
    <s v="Ofsted Social Care Provider Webpage"/>
    <n v="2548571"/>
    <x v="0"/>
    <d v="2019-10-01T00:00:00"/>
    <s v="Active"/>
    <s v="REDACTED"/>
    <x v="6"/>
    <s v="West Midlands"/>
    <x v="90"/>
    <s v="Mid Worcestershire"/>
    <s v="Private"/>
    <d v="2020-09-22T00:00:00"/>
    <d v="2020-10-22T00:00:00"/>
  </r>
  <r>
    <s v="Ofsted Social Care Provider Webpage"/>
    <n v="1248071"/>
    <x v="0"/>
    <d v="2017-01-03T00:00:00"/>
    <s v="Active"/>
    <s v="REDACTED"/>
    <x v="1"/>
    <s v="South West"/>
    <x v="27"/>
    <s v="Plymouth, Sutton and Devonport"/>
    <s v="Private"/>
    <d v="2020-09-22T00:00:00"/>
    <d v="2020-10-21T00:00:00"/>
  </r>
  <r>
    <s v="Ofsted Social Care Provider Webpage"/>
    <s v="SC035364"/>
    <x v="0"/>
    <d v="2003-01-09T00:00:00"/>
    <s v="Resigned"/>
    <s v="REDACTED"/>
    <x v="4"/>
    <s v="East Midlands"/>
    <x v="18"/>
    <s v="Corby"/>
    <s v="Local Authority"/>
    <d v="2020-09-22T00:00:00"/>
    <d v="2020-11-03T00:00:00"/>
  </r>
  <r>
    <s v="Ofsted Social Care Provider Webpage"/>
    <n v="1244350"/>
    <x v="0"/>
    <d v="2016-11-24T00:00:00"/>
    <s v="Active"/>
    <s v="REDACTED"/>
    <x v="6"/>
    <s v="West Midlands"/>
    <x v="34"/>
    <s v="Birmingham, Hodge Hill"/>
    <s v="Private"/>
    <d v="2020-09-22T00:00:00"/>
    <d v="2020-10-13T00:00:00"/>
  </r>
  <r>
    <s v="Ofsted Social Care Provider Webpage"/>
    <s v="SC044692"/>
    <x v="0"/>
    <d v="2005-05-04T00:00:00"/>
    <s v="Active"/>
    <s v="REDACTED"/>
    <x v="4"/>
    <s v="East Midlands"/>
    <x v="20"/>
    <s v="Mansfield"/>
    <s v="Local Authority"/>
    <d v="2020-09-22T00:00:00"/>
    <d v="2020-10-19T00:00:00"/>
  </r>
  <r>
    <s v="Ofsted Social Care Provider Webpage"/>
    <s v="SC457175"/>
    <x v="0"/>
    <d v="2013-02-14T00:00:00"/>
    <s v="Active"/>
    <s v="REDACTED"/>
    <x v="5"/>
    <s v="North West"/>
    <x v="97"/>
    <s v="Halton"/>
    <s v="Private"/>
    <d v="2020-10-22T00:00:00"/>
    <d v="2020-12-08T00:00:00"/>
  </r>
  <r>
    <s v="Ofsted Social Care Provider Webpage"/>
    <s v="SC364812"/>
    <x v="0"/>
    <d v="2007-12-07T00:00:00"/>
    <s v="Active"/>
    <s v="REDACTED"/>
    <x v="2"/>
    <s v="South East"/>
    <x v="12"/>
    <s v="Mid Sussex"/>
    <s v="Private"/>
    <d v="2020-10-22T00:00:00"/>
    <d v="2021-01-13T00:00:00"/>
  </r>
  <r>
    <s v="Ofsted Social Care Provider Webpage"/>
    <n v="2581237"/>
    <x v="0"/>
    <d v="2020-04-29T00:00:00"/>
    <s v="Active"/>
    <s v="REDACTED"/>
    <x v="5"/>
    <s v="North West"/>
    <x v="16"/>
    <s v="Lancaster and Fleetwood"/>
    <s v="Private"/>
    <d v="2020-10-22T00:00:00"/>
    <d v="2020-12-01T00:00:00"/>
  </r>
  <r>
    <s v="Ofsted Social Care Provider Webpage"/>
    <s v="SC034383"/>
    <x v="5"/>
    <d v="2002-07-24T00:00:00"/>
    <s v="Active"/>
    <s v="St Rose's School"/>
    <x v="1"/>
    <s v="South West"/>
    <x v="56"/>
    <s v="Stroud"/>
    <s v="Voluntary"/>
    <d v="2020-10-22T00:00:00"/>
    <d v="2020-11-24T00:00:00"/>
  </r>
  <r>
    <s v="Ofsted Social Care Provider Webpage"/>
    <n v="1230411"/>
    <x v="0"/>
    <d v="2016-04-26T00:00:00"/>
    <s v="Active"/>
    <s v="REDACTED"/>
    <x v="2"/>
    <s v="South East"/>
    <x v="29"/>
    <s v="Guildford"/>
    <s v="Local Authority"/>
    <d v="2020-10-22T00:00:00"/>
    <d v="2020-12-07T00:00:00"/>
  </r>
  <r>
    <s v="Ofsted Social Care Provider Webpage"/>
    <n v="2545082"/>
    <x v="0"/>
    <d v="2019-09-05T00:00:00"/>
    <s v="Active"/>
    <s v="REDACTED"/>
    <x v="5"/>
    <s v="North West"/>
    <x v="79"/>
    <s v="Tatton"/>
    <s v="Private"/>
    <d v="2020-10-22T00:00:00"/>
    <d v="2020-11-18T00:00:00"/>
  </r>
  <r>
    <s v="Ofsted Social Care Provider Webpage"/>
    <s v="SC443337"/>
    <x v="0"/>
    <d v="2012-02-10T00:00:00"/>
    <s v="Active"/>
    <s v="REDACTED"/>
    <x v="7"/>
    <s v="London"/>
    <x v="120"/>
    <s v="Hammersmith"/>
    <s v="Local Authority"/>
    <d v="2020-10-22T00:00:00"/>
    <d v="2020-11-27T00:00:00"/>
  </r>
  <r>
    <s v="Ofsted Social Care Provider Webpage"/>
    <s v="SC465120"/>
    <x v="0"/>
    <d v="2014-03-27T00:00:00"/>
    <s v="Active"/>
    <s v="REDACTED"/>
    <x v="1"/>
    <s v="South West"/>
    <x v="10"/>
    <s v="Tiverton and Honiton"/>
    <s v="Private"/>
    <d v="2020-09-23T00:00:00"/>
    <d v="2020-10-30T00:00:00"/>
  </r>
  <r>
    <s v="Ofsted Social Care Provider Webpage"/>
    <n v="2541440"/>
    <x v="0"/>
    <d v="2020-02-10T00:00:00"/>
    <s v="Active"/>
    <s v="REDACTED"/>
    <x v="6"/>
    <s v="West Midlands"/>
    <x v="46"/>
    <s v="Burton"/>
    <s v="Private"/>
    <d v="2020-09-23T00:00:00"/>
    <d v="2020-11-05T00:00:00"/>
  </r>
  <r>
    <s v="Ofsted Social Care Provider Webpage"/>
    <s v="SC392492"/>
    <x v="0"/>
    <d v="2009-04-24T00:00:00"/>
    <s v="Active"/>
    <s v="REDACTED"/>
    <x v="6"/>
    <s v="West Midlands"/>
    <x v="34"/>
    <s v="Birmingham, Hall Green"/>
    <s v="Private"/>
    <d v="2020-09-23T00:00:00"/>
    <d v="2020-10-22T00:00:00"/>
  </r>
  <r>
    <s v="Ofsted Social Care Provider Webpage"/>
    <s v="SC033127"/>
    <x v="0"/>
    <d v="2004-01-20T00:00:00"/>
    <s v="Active"/>
    <s v="REDACTED"/>
    <x v="3"/>
    <s v="Yorkshire and The Humber"/>
    <x v="61"/>
    <s v="Great Grimsby"/>
    <s v="Local Authority"/>
    <d v="2020-09-23T00:00:00"/>
    <d v="2020-11-12T00:00:00"/>
  </r>
  <r>
    <s v="Ofsted Social Care Provider Webpage"/>
    <s v="SC429778"/>
    <x v="0"/>
    <d v="2011-08-15T00:00:00"/>
    <s v="Active"/>
    <s v="REDACTED"/>
    <x v="3"/>
    <s v="North East"/>
    <x v="82"/>
    <s v="Stockton North"/>
    <s v="Private"/>
    <d v="2020-09-23T00:00:00"/>
    <d v="2020-11-09T00:00:00"/>
  </r>
  <r>
    <s v="Ofsted Social Care Provider Webpage"/>
    <n v="2586067"/>
    <x v="0"/>
    <d v="2020-04-20T00:00:00"/>
    <s v="Active"/>
    <s v="REDACTED"/>
    <x v="6"/>
    <s v="West Midlands"/>
    <x v="104"/>
    <s v="Nuneaton"/>
    <s v="Private"/>
    <d v="2020-09-23T00:00:00"/>
    <d v="2020-10-22T00:00:00"/>
  </r>
  <r>
    <s v="Ofsted Social Care Provider Webpage"/>
    <n v="1271213"/>
    <x v="0"/>
    <d v="2018-05-18T00:00:00"/>
    <s v="Active"/>
    <s v="REDACTED"/>
    <x v="5"/>
    <s v="North West"/>
    <x v="16"/>
    <s v="Burnley"/>
    <s v="Private"/>
    <d v="2020-09-23T00:00:00"/>
    <d v="2020-11-17T00:00:00"/>
  </r>
  <r>
    <s v="Ofsted Social Care Provider Webpage"/>
    <n v="1277449"/>
    <x v="0"/>
    <d v="2018-10-24T00:00:00"/>
    <s v="Suspended"/>
    <s v="REDACTED"/>
    <x v="6"/>
    <s v="West Midlands"/>
    <x v="64"/>
    <s v="Wolverhampton South West"/>
    <s v="Private"/>
    <d v="2020-09-23T00:00:00"/>
    <d v="2020-11-16T00:00:00"/>
  </r>
  <r>
    <s v="Ofsted Social Care Provider Webpage"/>
    <s v="SC478315"/>
    <x v="0"/>
    <d v="2014-06-09T00:00:00"/>
    <s v="Active"/>
    <s v="REDACTED"/>
    <x v="2"/>
    <s v="South East"/>
    <x v="22"/>
    <s v="Eastleigh"/>
    <s v="Private"/>
    <d v="2020-09-23T00:00:00"/>
    <d v="2020-12-08T00:00:00"/>
  </r>
  <r>
    <s v="Ofsted Social Care Provider Webpage"/>
    <s v="SC064858"/>
    <x v="0"/>
    <d v="2005-06-24T00:00:00"/>
    <s v="Active"/>
    <s v="REDACTED"/>
    <x v="5"/>
    <s v="North West"/>
    <x v="35"/>
    <s v="Salford and Eccles"/>
    <s v="Local Authority"/>
    <d v="2020-09-23T00:00:00"/>
    <d v="2020-10-28T00:00:00"/>
  </r>
  <r>
    <s v="Ofsted Social Care Provider Webpage"/>
    <n v="2490994"/>
    <x v="0"/>
    <d v="2019-02-13T00:00:00"/>
    <s v="Active"/>
    <s v="REDACTED"/>
    <x v="4"/>
    <s v="East Midlands"/>
    <x v="20"/>
    <s v="Broxtowe"/>
    <s v="Private"/>
    <d v="2020-09-23T00:00:00"/>
    <d v="2020-11-11T00:00:00"/>
  </r>
  <r>
    <s v="Ofsted Social Care Provider Webpage"/>
    <n v="1240883"/>
    <x v="0"/>
    <d v="2016-08-18T00:00:00"/>
    <s v="Active"/>
    <s v="REDACTED"/>
    <x v="5"/>
    <s v="North West"/>
    <x v="16"/>
    <s v="Chorley"/>
    <s v="Private"/>
    <d v="2020-09-23T00:00:00"/>
    <d v="2020-11-04T00:00:00"/>
  </r>
  <r>
    <s v="Ofsted Social Care Provider Webpage"/>
    <s v="SC456347"/>
    <x v="0"/>
    <d v="2013-02-27T00:00:00"/>
    <s v="Active"/>
    <s v="REDACTED"/>
    <x v="4"/>
    <s v="East Midlands"/>
    <x v="40"/>
    <s v="South Holland and The Deepings"/>
    <s v="Private"/>
    <d v="2020-09-23T00:00:00"/>
    <d v="2020-10-19T00:00:00"/>
  </r>
  <r>
    <s v="Ofsted Social Care Provider Webpage"/>
    <s v="SC409851"/>
    <x v="0"/>
    <d v="2010-06-07T00:00:00"/>
    <s v="Active"/>
    <s v="REDACTED"/>
    <x v="7"/>
    <s v="London"/>
    <x v="121"/>
    <s v="Brentford and Isleworth"/>
    <s v="Private"/>
    <d v="2020-09-23T00:00:00"/>
    <d v="2020-10-23T00:00:00"/>
  </r>
  <r>
    <s v="Ofsted Social Care Provider Webpage"/>
    <s v="SC461450"/>
    <x v="0"/>
    <d v="2013-05-17T00:00:00"/>
    <s v="Active"/>
    <s v="REDACTED"/>
    <x v="3"/>
    <s v="Yorkshire and The Humber"/>
    <x v="45"/>
    <s v="Huddersfield"/>
    <s v="Private"/>
    <d v="2020-09-23T00:00:00"/>
    <d v="2020-10-26T00:00:00"/>
  </r>
  <r>
    <s v="Ofsted Social Care Provider Webpage"/>
    <s v="SC012597"/>
    <x v="5"/>
    <d v="2002-02-14T00:00:00"/>
    <s v="Active"/>
    <s v="St Catherine's School"/>
    <x v="2"/>
    <s v="South East"/>
    <x v="122"/>
    <s v="Isle of Wight"/>
    <s v="Voluntary"/>
    <d v="2020-09-24T00:00:00"/>
    <d v="2020-11-16T00:00:00"/>
  </r>
  <r>
    <s v="Ofsted Social Care Provider Webpage"/>
    <s v="SC474782"/>
    <x v="0"/>
    <d v="2014-02-05T00:00:00"/>
    <s v="Active"/>
    <s v="REDACTED"/>
    <x v="6"/>
    <s v="West Midlands"/>
    <x v="46"/>
    <s v="South Staffordshire"/>
    <s v="Private"/>
    <d v="2020-09-24T00:00:00"/>
    <d v="2020-11-12T00:00:00"/>
  </r>
  <r>
    <s v="Ofsted Social Care Provider Webpage"/>
    <s v="SC386810"/>
    <x v="0"/>
    <d v="2009-01-13T00:00:00"/>
    <s v="Active"/>
    <s v="REDACTED"/>
    <x v="5"/>
    <s v="North West"/>
    <x v="24"/>
    <s v="St Helens South and Whiston"/>
    <s v="Private"/>
    <d v="2020-09-24T00:00:00"/>
    <d v="2020-10-30T00:00:00"/>
  </r>
  <r>
    <s v="Ofsted Social Care Provider Webpage"/>
    <s v="SC057718"/>
    <x v="0"/>
    <d v="2004-06-14T00:00:00"/>
    <s v="Active"/>
    <s v="REDACTED"/>
    <x v="5"/>
    <s v="North West"/>
    <x v="32"/>
    <s v="Bolton West"/>
    <s v="Voluntary"/>
    <d v="2020-09-24T00:00:00"/>
    <d v="2020-11-12T00:00:00"/>
  </r>
  <r>
    <s v="Ofsted Social Care Provider Webpage"/>
    <s v="SC003895"/>
    <x v="5"/>
    <d v="2002-02-13T00:00:00"/>
    <s v="Active"/>
    <s v="Orchard Manor School"/>
    <x v="1"/>
    <s v="South West"/>
    <x v="10"/>
    <s v="Newton Abbot"/>
    <s v="Local Authority"/>
    <d v="2020-09-24T00:00:00"/>
    <d v="2020-11-09T00:00:00"/>
  </r>
  <r>
    <s v="Ofsted Social Care Provider Webpage"/>
    <s v="SC033014"/>
    <x v="5"/>
    <d v="2002-07-10T00:00:00"/>
    <s v="Active"/>
    <s v="North Hill House"/>
    <x v="1"/>
    <s v="South West"/>
    <x v="30"/>
    <s v="Somerton and Frome"/>
    <s v="Private"/>
    <d v="2020-09-24T00:00:00"/>
    <d v="2020-10-16T00:00:00"/>
  </r>
  <r>
    <s v="Ofsted Social Care Provider Webpage"/>
    <n v="2567404"/>
    <x v="1"/>
    <d v="2019-11-27T00:00:00"/>
    <s v="Active"/>
    <s v="Star Fostering Ltd"/>
    <x v="4"/>
    <s v="East Midlands"/>
    <x v="20"/>
    <s v="Newark"/>
    <s v="Private"/>
    <d v="2020-11-24T00:00:00"/>
    <d v="2020-12-29T00:00:00"/>
  </r>
  <r>
    <s v="Ofsted Social Care Provider Webpage"/>
    <s v="SC456174"/>
    <x v="1"/>
    <d v="2012-11-27T00:00:00"/>
    <s v="Active"/>
    <s v="Chrysalis Consortium Ltd"/>
    <x v="3"/>
    <s v="Yorkshire and The Humber"/>
    <x v="42"/>
    <s v="Sheffield Central"/>
    <s v="Private"/>
    <d v="2020-11-24T00:00:00"/>
    <d v="2021-01-07T00:00:00"/>
  </r>
  <r>
    <s v="Ofsted Social Care Provider Webpage"/>
    <n v="2502331"/>
    <x v="1"/>
    <d v="2019-01-31T00:00:00"/>
    <s v="Active"/>
    <s v="Brighter Futures For Children: Fostering Service"/>
    <x v="2"/>
    <s v="South East"/>
    <x v="110"/>
    <s v="Reading East"/>
    <s v="Voluntary"/>
    <d v="2020-11-24T00:00:00"/>
    <d v="2021-01-21T00:00:00"/>
  </r>
  <r>
    <s v="Ofsted Social Care Provider Webpage"/>
    <n v="2509056"/>
    <x v="1"/>
    <d v="2019-11-19T00:00:00"/>
    <s v="Active"/>
    <s v="Evergreen Foster Care Service"/>
    <x v="6"/>
    <s v="West Midlands"/>
    <x v="46"/>
    <s v="Stoke-on-Trent North"/>
    <s v="Private"/>
    <d v="2020-11-24T00:00:00"/>
    <d v="2020-12-29T00:00:00"/>
  </r>
  <r>
    <s v="Ofsted Social Care Provider Webpage"/>
    <s v="SC033457"/>
    <x v="2"/>
    <d v="2003-07-10T00:00:00"/>
    <s v="Active"/>
    <s v="REDACTED"/>
    <x v="3"/>
    <s v="Yorkshire and The Humber"/>
    <x v="26"/>
    <s v="Leeds North West"/>
    <s v="Local Authority"/>
    <d v="2020-11-24T00:00:00"/>
    <d v="2020-12-29T00:00:00"/>
  </r>
  <r>
    <s v="Ofsted Social Care Provider Webpage"/>
    <s v="SC035026"/>
    <x v="1"/>
    <d v="2003-08-05T00:00:00"/>
    <s v="Active"/>
    <s v="Sunbeam Fostering Agency"/>
    <x v="2"/>
    <s v="South East"/>
    <x v="117"/>
    <s v="Slough"/>
    <s v="Private"/>
    <d v="2020-11-24T00:00:00"/>
    <d v="2021-02-01T00:00:00"/>
  </r>
  <r>
    <s v="Ofsted Social Care Provider Webpage"/>
    <n v="2541624"/>
    <x v="1"/>
    <d v="2019-10-03T00:00:00"/>
    <s v="Active"/>
    <s v="Young People At Heart"/>
    <x v="6"/>
    <s v="West Midlands"/>
    <x v="43"/>
    <s v="Hereford and South Herefordshire"/>
    <s v="Private"/>
    <d v="2020-11-24T00:00:00"/>
    <d v="2020-12-29T00:00:00"/>
  </r>
  <r>
    <s v="Ofsted Social Care Provider Webpage"/>
    <n v="2537401"/>
    <x v="1"/>
    <d v="2019-08-01T00:00:00"/>
    <s v="Active"/>
    <s v="Infinity Foster Care"/>
    <x v="7"/>
    <s v="London"/>
    <x v="98"/>
    <s v="Ilford South"/>
    <s v="Private"/>
    <d v="2020-11-24T00:00:00"/>
    <d v="2020-12-21T00:00:00"/>
  </r>
  <r>
    <s v="Ofsted Social Care Provider Webpage"/>
    <n v="2551006"/>
    <x v="1"/>
    <d v="2019-12-27T00:00:00"/>
    <s v="Active"/>
    <s v="Flowers Fostering Ltd"/>
    <x v="0"/>
    <s v="East of England"/>
    <x v="41"/>
    <s v="Epping Forest"/>
    <s v="Voluntary"/>
    <d v="2020-11-24T00:00:00"/>
    <d v="2020-12-29T00:00:00"/>
  </r>
  <r>
    <s v="Ofsted Social Care Provider Webpage"/>
    <n v="2545027"/>
    <x v="0"/>
    <d v="2019-09-20T00:00:00"/>
    <s v="Active"/>
    <s v="REDACTED"/>
    <x v="4"/>
    <s v="East Midlands"/>
    <x v="18"/>
    <s v="Northampton North"/>
    <s v="Private"/>
    <d v="2020-10-26T00:00:00"/>
    <d v="2020-11-23T00:00:00"/>
  </r>
  <r>
    <s v="Ofsted Social Care Provider Webpage"/>
    <s v="SC437825"/>
    <x v="0"/>
    <d v="2012-01-03T00:00:00"/>
    <s v="Active"/>
    <s v="REDACTED"/>
    <x v="4"/>
    <s v="East Midlands"/>
    <x v="4"/>
    <s v="Harborough"/>
    <s v="Private"/>
    <d v="2020-10-26T00:00:00"/>
    <d v="2020-12-11T00:00:00"/>
  </r>
  <r>
    <s v="Ofsted Social Care Provider Webpage"/>
    <n v="2561020"/>
    <x v="0"/>
    <d v="2019-11-14T00:00:00"/>
    <s v="Active"/>
    <s v="REDACTED"/>
    <x v="4"/>
    <s v="East Midlands"/>
    <x v="113"/>
    <s v="Derby North"/>
    <s v="Private"/>
    <d v="2020-10-26T00:00:00"/>
    <d v="2020-12-09T00:00:00"/>
  </r>
  <r>
    <s v="Ofsted Social Care Provider Webpage"/>
    <n v="1255095"/>
    <x v="0"/>
    <d v="2017-07-04T00:00:00"/>
    <s v="Active"/>
    <s v="REDACTED"/>
    <x v="6"/>
    <s v="West Midlands"/>
    <x v="46"/>
    <s v="Cannock Chase"/>
    <s v="Private"/>
    <d v="2020-10-26T00:00:00"/>
    <d v="2020-12-03T00:00:00"/>
  </r>
  <r>
    <s v="Ofsted Social Care Provider Webpage"/>
    <s v="SC031479"/>
    <x v="0"/>
    <d v="2003-03-28T00:00:00"/>
    <s v="Active"/>
    <s v="REDACTED"/>
    <x v="7"/>
    <s v="London"/>
    <x v="123"/>
    <s v="Bermondsey and Old Southwark"/>
    <s v="Local Authority"/>
    <d v="2020-10-27T00:00:00"/>
    <d v="2020-11-26T00:00:00"/>
  </r>
  <r>
    <s v="Ofsted Social Care Provider Webpage"/>
    <s v="SC065261"/>
    <x v="3"/>
    <d v="2005-10-26T00:00:00"/>
    <s v="Active"/>
    <s v="REDACTED"/>
    <x v="1"/>
    <s v="South West"/>
    <x v="96"/>
    <s v="South Dorset"/>
    <s v="Private"/>
    <d v="2020-10-27T00:00:00"/>
    <d v="2020-11-24T00:00:00"/>
  </r>
  <r>
    <s v="Ofsted Social Care Provider Webpage"/>
    <s v="SC030367"/>
    <x v="3"/>
    <d v="2003-10-01T00:00:00"/>
    <s v="Active"/>
    <s v="REDACTED"/>
    <x v="1"/>
    <s v="South West"/>
    <x v="56"/>
    <s v="The Cotswolds"/>
    <s v="Voluntary"/>
    <d v="2020-10-27T00:00:00"/>
    <d v="2020-11-26T00:00:00"/>
  </r>
  <r>
    <s v="Ofsted Social Care Provider Webpage"/>
    <n v="1222089"/>
    <x v="0"/>
    <d v="2016-02-17T00:00:00"/>
    <s v="Active"/>
    <s v="REDACTED"/>
    <x v="6"/>
    <s v="West Midlands"/>
    <x v="81"/>
    <s v="Stoke-on-Trent South"/>
    <s v="Private"/>
    <d v="2020-10-27T00:00:00"/>
    <d v="2020-12-02T00:00:00"/>
  </r>
  <r>
    <s v="Ofsted Social Care Provider Webpage"/>
    <n v="1228522"/>
    <x v="0"/>
    <d v="2016-01-08T00:00:00"/>
    <s v="Active"/>
    <s v="REDACTED"/>
    <x v="5"/>
    <s v="North West"/>
    <x v="16"/>
    <s v="Morecambe and Lunesdale"/>
    <s v="Private"/>
    <d v="2020-10-27T00:00:00"/>
    <d v="2020-11-26T00:00:00"/>
  </r>
  <r>
    <s v="Ofsted Social Care Provider Webpage"/>
    <s v="SC008269"/>
    <x v="0"/>
    <d v="2000-12-22T00:00:00"/>
    <s v="Active"/>
    <s v="REDACTED"/>
    <x v="6"/>
    <s v="West Midlands"/>
    <x v="81"/>
    <s v="Stoke-on-Trent Central"/>
    <s v="Private"/>
    <d v="2020-10-27T00:00:00"/>
    <d v="2020-12-03T00:00:00"/>
  </r>
  <r>
    <s v="Ofsted Social Care Provider Webpage"/>
    <n v="1255747"/>
    <x v="0"/>
    <d v="2017-05-24T00:00:00"/>
    <s v="Active"/>
    <s v="REDACTED"/>
    <x v="4"/>
    <s v="East Midlands"/>
    <x v="18"/>
    <s v="South Northamptonshire"/>
    <s v="Private"/>
    <d v="2020-10-27T00:00:00"/>
    <d v="2020-11-23T00:00:00"/>
  </r>
  <r>
    <s v="Ofsted Social Care Provider Webpage"/>
    <n v="2517429"/>
    <x v="0"/>
    <d v="2019-09-21T00:00:00"/>
    <s v="Active"/>
    <s v="REDACTED"/>
    <x v="5"/>
    <s v="North West"/>
    <x v="94"/>
    <s v="Blackpool South"/>
    <s v="Private"/>
    <d v="2020-10-27T00:00:00"/>
    <d v="2020-11-20T00:00:00"/>
  </r>
  <r>
    <s v="Ofsted Social Care Provider Webpage"/>
    <s v="SC403462"/>
    <x v="0"/>
    <d v="2009-12-08T00:00:00"/>
    <s v="Active"/>
    <s v="REDACTED"/>
    <x v="5"/>
    <s v="North West"/>
    <x v="16"/>
    <s v="Pendle"/>
    <s v="Private"/>
    <d v="2020-10-27T00:00:00"/>
    <d v="2020-11-30T00:00:00"/>
  </r>
  <r>
    <s v="Ofsted Social Care Provider Webpage"/>
    <s v="SC025417"/>
    <x v="0"/>
    <d v="2001-06-29T00:00:00"/>
    <s v="Active"/>
    <s v="REDACTED"/>
    <x v="5"/>
    <s v="North West"/>
    <x v="69"/>
    <s v="Liverpool, Wavertree"/>
    <s v="Private"/>
    <d v="2020-10-27T00:00:00"/>
    <d v="2020-12-11T00:00:00"/>
  </r>
  <r>
    <s v="Ofsted Social Care Provider Webpage"/>
    <s v="SC014650"/>
    <x v="0"/>
    <d v="2001-07-01T00:00:00"/>
    <s v="Active"/>
    <s v="REDACTED"/>
    <x v="2"/>
    <s v="South East"/>
    <x v="12"/>
    <s v="Arundel and South Downs"/>
    <s v="Private"/>
    <d v="2020-10-27T00:00:00"/>
    <d v="2020-12-18T00:00:00"/>
  </r>
  <r>
    <s v="Ofsted Social Care Provider Webpage"/>
    <s v="SC448997"/>
    <x v="0"/>
    <d v="2012-06-06T00:00:00"/>
    <s v="Active"/>
    <s v="REDACTED"/>
    <x v="2"/>
    <s v="South East"/>
    <x v="2"/>
    <s v="Dover"/>
    <s v="Private"/>
    <d v="2020-10-27T00:00:00"/>
    <d v="2020-12-30T00:00:00"/>
  </r>
  <r>
    <s v="Ofsted Social Care Provider Webpage"/>
    <s v="SC066796"/>
    <x v="0"/>
    <d v="2006-02-06T00:00:00"/>
    <s v="Active"/>
    <s v="REDACTED"/>
    <x v="3"/>
    <s v="Yorkshire and The Humber"/>
    <x v="5"/>
    <s v="Wakefield"/>
    <s v="Local Authority"/>
    <d v="2020-10-27T00:00:00"/>
    <d v="2020-11-25T00:00:00"/>
  </r>
  <r>
    <s v="Ofsted Social Care Provider Webpage"/>
    <s v="SC066912"/>
    <x v="0"/>
    <d v="2006-05-25T00:00:00"/>
    <s v="Active"/>
    <s v="REDACTED"/>
    <x v="6"/>
    <s v="West Midlands"/>
    <x v="46"/>
    <s v="Stoke-on-Trent North"/>
    <s v="Private"/>
    <d v="2020-10-27T00:00:00"/>
    <d v="2020-11-20T00:00:00"/>
  </r>
  <r>
    <s v="Ofsted Social Care Provider Webpage"/>
    <n v="1240803"/>
    <x v="0"/>
    <d v="2016-09-12T00:00:00"/>
    <s v="Active"/>
    <s v="REDACTED"/>
    <x v="5"/>
    <s v="North West"/>
    <x v="94"/>
    <s v="Blackpool North and Cleveleys"/>
    <s v="Private"/>
    <d v="2020-10-27T00:00:00"/>
    <d v="2020-12-01T00:00:00"/>
  </r>
  <r>
    <s v="Ofsted Social Care Provider Webpage"/>
    <s v="SC489516"/>
    <x v="0"/>
    <d v="2015-05-27T00:00:00"/>
    <s v="Active"/>
    <s v="REDACTED"/>
    <x v="4"/>
    <s v="East Midlands"/>
    <x v="18"/>
    <s v="Daventry"/>
    <s v="Private"/>
    <d v="2020-10-27T00:00:00"/>
    <d v="2020-11-19T00:00:00"/>
  </r>
  <r>
    <s v="Ofsted Social Care Provider Webpage"/>
    <s v="SC465475"/>
    <x v="0"/>
    <d v="2013-07-26T00:00:00"/>
    <s v="Active"/>
    <s v="REDACTED"/>
    <x v="3"/>
    <s v="North East"/>
    <x v="73"/>
    <s v="Newcastle upon Tyne Central"/>
    <s v="Private"/>
    <d v="2020-10-27T00:00:00"/>
    <d v="2020-11-19T00:00:00"/>
  </r>
  <r>
    <s v="Ofsted Social Care Provider Webpage"/>
    <s v="SC407430"/>
    <x v="0"/>
    <d v="2010-04-22T00:00:00"/>
    <s v="Active"/>
    <s v="REDACTED"/>
    <x v="1"/>
    <s v="South West"/>
    <x v="1"/>
    <s v="South West Wiltshire"/>
    <s v="Private"/>
    <d v="2020-10-27T00:00:00"/>
    <d v="2020-12-02T00:00:00"/>
  </r>
  <r>
    <s v="Ofsted Social Care Provider Webpage"/>
    <s v="SC060118"/>
    <x v="0"/>
    <d v="2004-03-24T00:00:00"/>
    <s v="Active"/>
    <s v="REDACTED"/>
    <x v="1"/>
    <s v="South West"/>
    <x v="1"/>
    <s v="Salisbury"/>
    <s v="Private"/>
    <d v="2020-10-27T00:00:00"/>
    <d v="2020-11-19T00:00:00"/>
  </r>
  <r>
    <s v="Ofsted Social Care Provider Webpage"/>
    <s v="SC020193"/>
    <x v="3"/>
    <d v="2001-01-29T00:00:00"/>
    <s v="Active"/>
    <s v="REDACTED"/>
    <x v="4"/>
    <s v="East Midlands"/>
    <x v="14"/>
    <s v="South Derbyshire"/>
    <s v="Private"/>
    <d v="2020-10-27T00:00:00"/>
    <d v="2020-11-19T00:00:00"/>
  </r>
  <r>
    <s v="Ofsted Social Care Provider Webpage"/>
    <s v="SC457501"/>
    <x v="0"/>
    <d v="2013-03-14T00:00:00"/>
    <s v="Active"/>
    <s v="REDACTED"/>
    <x v="1"/>
    <s v="South West"/>
    <x v="62"/>
    <s v="South East Cornwall"/>
    <s v="Private"/>
    <d v="2020-10-27T00:00:00"/>
    <d v="2020-11-24T00:00:00"/>
  </r>
  <r>
    <s v="Ofsted Social Care Provider Webpage"/>
    <s v="SC020133"/>
    <x v="0"/>
    <d v="1997-06-26T00:00:00"/>
    <s v="Active"/>
    <s v="REDACTED"/>
    <x v="4"/>
    <s v="East Midlands"/>
    <x v="14"/>
    <s v="High Peak"/>
    <s v="Private"/>
    <d v="2020-10-27T00:00:00"/>
    <d v="2020-11-27T00:00:00"/>
  </r>
  <r>
    <s v="Ofsted Social Care Provider Webpage"/>
    <s v="SC001016"/>
    <x v="0"/>
    <d v="2001-02-21T00:00:00"/>
    <s v="Active"/>
    <s v="REDACTED"/>
    <x v="3"/>
    <s v="Yorkshire and The Humber"/>
    <x v="23"/>
    <s v="Halifax"/>
    <s v="Private"/>
    <d v="2020-10-27T00:00:00"/>
    <d v="2020-12-03T00:00:00"/>
  </r>
  <r>
    <s v="Ofsted Social Care Provider Webpage"/>
    <s v="SC472977"/>
    <x v="0"/>
    <d v="2014-01-30T00:00:00"/>
    <s v="Active"/>
    <s v="REDACTED"/>
    <x v="3"/>
    <s v="Yorkshire and The Humber"/>
    <x v="83"/>
    <s v="Bradford East"/>
    <s v="Local Authority"/>
    <d v="2020-10-27T00:00:00"/>
    <d v="2021-01-27T00:00:00"/>
  </r>
  <r>
    <s v="Ofsted Social Care Provider Webpage"/>
    <s v="SC475723"/>
    <x v="0"/>
    <d v="2014-12-18T00:00:00"/>
    <s v="Active"/>
    <s v="REDACTED"/>
    <x v="5"/>
    <s v="North West"/>
    <x v="16"/>
    <s v="Chorley"/>
    <s v="Private"/>
    <d v="2020-10-27T00:00:00"/>
    <d v="2020-12-01T00:00:00"/>
  </r>
  <r>
    <s v="Ofsted Social Care Provider Webpage"/>
    <n v="2519260"/>
    <x v="0"/>
    <d v="2019-05-15T00:00:00"/>
    <s v="Active"/>
    <s v="REDACTED"/>
    <x v="1"/>
    <s v="South West"/>
    <x v="1"/>
    <s v="Devizes"/>
    <s v="Private"/>
    <d v="2020-09-28T00:00:00"/>
    <d v="2020-11-06T00:00:00"/>
  </r>
  <r>
    <s v="Ofsted Social Care Provider Webpage"/>
    <s v="SC419229"/>
    <x v="0"/>
    <d v="2010-11-02T00:00:00"/>
    <s v="Active"/>
    <s v="REDACTED"/>
    <x v="6"/>
    <s v="West Midlands"/>
    <x v="34"/>
    <s v="Birmingham, Erdington"/>
    <s v="Private"/>
    <d v="2020-09-28T00:00:00"/>
    <d v="2020-10-23T00:00:00"/>
  </r>
  <r>
    <s v="Ofsted Social Care Provider Webpage"/>
    <s v="SC412476"/>
    <x v="0"/>
    <d v="2010-09-03T00:00:00"/>
    <s v="Active"/>
    <s v="REDACTED"/>
    <x v="2"/>
    <s v="South East"/>
    <x v="22"/>
    <s v="Meon Valley"/>
    <s v="Private"/>
    <d v="2020-09-28T00:00:00"/>
    <d v="2020-11-12T00:00:00"/>
  </r>
  <r>
    <s v="Ofsted Social Care Provider Webpage"/>
    <n v="2494881"/>
    <x v="0"/>
    <d v="2019-01-11T00:00:00"/>
    <s v="Active"/>
    <s v="REDACTED"/>
    <x v="6"/>
    <s v="West Midlands"/>
    <x v="64"/>
    <s v="Wolverhampton South East"/>
    <s v="Private"/>
    <d v="2020-09-28T00:00:00"/>
    <d v="2020-10-28T00:00:00"/>
  </r>
  <r>
    <s v="Ofsted Social Care Provider Webpage"/>
    <s v="SC461781"/>
    <x v="0"/>
    <d v="2013-05-21T00:00:00"/>
    <s v="Active"/>
    <s v="REDACTED"/>
    <x v="2"/>
    <s v="South East"/>
    <x v="22"/>
    <s v="New Forest East"/>
    <s v="Private"/>
    <d v="2020-09-28T00:00:00"/>
    <d v="2020-11-09T00:00:00"/>
  </r>
  <r>
    <s v="Ofsted Social Care Provider Webpage"/>
    <s v="SC390156"/>
    <x v="0"/>
    <d v="2009-06-30T00:00:00"/>
    <s v="Active"/>
    <s v="REDACTED"/>
    <x v="2"/>
    <s v="South East"/>
    <x v="2"/>
    <s v="North Thanet"/>
    <s v="Private"/>
    <d v="2020-09-28T00:00:00"/>
    <d v="2020-11-03T00:00:00"/>
  </r>
  <r>
    <s v="Ofsted Social Care Provider Webpage"/>
    <n v="2490729"/>
    <x v="0"/>
    <d v="2019-06-11T00:00:00"/>
    <s v="Active"/>
    <s v="REDACTED"/>
    <x v="6"/>
    <s v="West Midlands"/>
    <x v="46"/>
    <s v="Stone"/>
    <s v="Private"/>
    <d v="2020-09-28T00:00:00"/>
    <d v="2020-11-09T00:00:00"/>
  </r>
  <r>
    <s v="Ofsted Social Care Provider Webpage"/>
    <s v="SC430002"/>
    <x v="0"/>
    <d v="2011-06-21T00:00:00"/>
    <s v="Active"/>
    <s v="REDACTED"/>
    <x v="3"/>
    <s v="Yorkshire and The Humber"/>
    <x v="60"/>
    <s v="Richmond (Yorks)"/>
    <s v="Private"/>
    <d v="2020-09-28T00:00:00"/>
    <d v="2020-11-12T00:00:00"/>
  </r>
  <r>
    <s v="Ofsted Social Care Provider Webpage"/>
    <s v="SC035500"/>
    <x v="2"/>
    <d v="2003-01-15T00:00:00"/>
    <s v="Active"/>
    <s v="REDACTED"/>
    <x v="1"/>
    <s v="South West"/>
    <x v="49"/>
    <s v="Kingswood"/>
    <s v="Local Authority"/>
    <d v="2020-09-28T00:00:00"/>
    <d v="2020-11-17T00:00:00"/>
  </r>
  <r>
    <s v="Ofsted Social Care Provider Webpage"/>
    <s v="SC456846"/>
    <x v="0"/>
    <d v="2013-02-25T00:00:00"/>
    <s v="Active"/>
    <s v="REDACTED"/>
    <x v="0"/>
    <s v="East of England"/>
    <x v="48"/>
    <s v="North East Cambridgeshire"/>
    <s v="Private"/>
    <d v="2020-09-28T00:00:00"/>
    <d v="2020-10-16T00:00:00"/>
  </r>
  <r>
    <s v="Ofsted Social Care Provider Webpage"/>
    <s v="SC008268"/>
    <x v="0"/>
    <d v="2000-12-01T00:00:00"/>
    <s v="Active"/>
    <s v="REDACTED"/>
    <x v="6"/>
    <s v="West Midlands"/>
    <x v="81"/>
    <s v="Stoke-on-Trent North"/>
    <s v="Private"/>
    <d v="2020-09-28T00:00:00"/>
    <d v="2020-11-16T00:00:00"/>
  </r>
  <r>
    <s v="Ofsted Social Care Provider Webpage"/>
    <n v="1257740"/>
    <x v="0"/>
    <d v="2017-07-31T00:00:00"/>
    <s v="Active"/>
    <s v="REDACTED"/>
    <x v="6"/>
    <s v="West Midlands"/>
    <x v="46"/>
    <s v="Burton"/>
    <s v="Private"/>
    <d v="2020-09-28T00:00:00"/>
    <d v="2020-11-13T00:00:00"/>
  </r>
  <r>
    <s v="Ofsted Social Care Provider Webpage"/>
    <n v="1257796"/>
    <x v="0"/>
    <d v="2017-05-31T00:00:00"/>
    <s v="Active"/>
    <s v="REDACTED"/>
    <x v="0"/>
    <s v="East of England"/>
    <x v="48"/>
    <s v="North East Cambridgeshire"/>
    <s v="Private"/>
    <d v="2020-09-28T00:00:00"/>
    <d v="2020-10-19T00:00:00"/>
  </r>
  <r>
    <s v="Ofsted Social Care Provider Webpage"/>
    <n v="2510328"/>
    <x v="0"/>
    <d v="2019-04-30T00:00:00"/>
    <s v="Active"/>
    <s v="REDACTED"/>
    <x v="6"/>
    <s v="West Midlands"/>
    <x v="34"/>
    <s v="Birmingham, Perry Barr"/>
    <s v="Private"/>
    <d v="2020-10-28T00:00:00"/>
    <d v="2020-12-10T00:00:00"/>
  </r>
  <r>
    <s v="Ofsted Social Care Provider Webpage"/>
    <n v="2580899"/>
    <x v="0"/>
    <d v="2020-05-05T00:00:00"/>
    <s v="Active"/>
    <s v="REDACTED"/>
    <x v="3"/>
    <s v="North East"/>
    <x v="84"/>
    <s v="Redcar"/>
    <s v="Private"/>
    <d v="2020-10-28T00:00:00"/>
    <d v="2020-12-18T00:00:00"/>
  </r>
  <r>
    <s v="Ofsted Social Care Provider Webpage"/>
    <s v="SC062013"/>
    <x v="0"/>
    <d v="2004-09-08T00:00:00"/>
    <s v="Active"/>
    <s v="REDACTED"/>
    <x v="5"/>
    <s v="North West"/>
    <x v="89"/>
    <s v="Southport"/>
    <s v="Private"/>
    <d v="2020-10-28T00:00:00"/>
    <d v="2020-11-30T00:00:00"/>
  </r>
  <r>
    <s v="Ofsted Social Care Provider Webpage"/>
    <s v="SC469761"/>
    <x v="0"/>
    <d v="2013-10-20T00:00:00"/>
    <s v="Active"/>
    <s v="REDACTED"/>
    <x v="6"/>
    <s v="West Midlands"/>
    <x v="51"/>
    <s v="Telford"/>
    <s v="Private"/>
    <d v="2020-10-28T00:00:00"/>
    <d v="2020-12-08T00:00:00"/>
  </r>
  <r>
    <s v="Ofsted Social Care Provider Webpage"/>
    <n v="2550622"/>
    <x v="0"/>
    <d v="2020-06-01T00:00:00"/>
    <s v="Active"/>
    <s v="REDACTED"/>
    <x v="5"/>
    <s v="North West"/>
    <x v="8"/>
    <s v="Oldham East and Saddleworth"/>
    <s v="Private"/>
    <d v="2020-10-28T00:00:00"/>
    <d v="2020-12-08T00:00:00"/>
  </r>
  <r>
    <s v="Ofsted Social Care Provider Webpage"/>
    <n v="1263126"/>
    <x v="0"/>
    <d v="2017-08-04T00:00:00"/>
    <s v="Active"/>
    <s v="REDACTED"/>
    <x v="5"/>
    <s v="North West"/>
    <x v="78"/>
    <s v="Carlisle"/>
    <s v="Private"/>
    <d v="2020-10-28T00:00:00"/>
    <d v="2020-11-30T00:00:00"/>
  </r>
  <r>
    <s v="Ofsted Social Care Provider Webpage"/>
    <n v="1257182"/>
    <x v="0"/>
    <d v="2017-08-24T00:00:00"/>
    <s v="Active"/>
    <s v="REDACTED"/>
    <x v="7"/>
    <s v="London"/>
    <x v="115"/>
    <s v="Hendon"/>
    <s v="Private"/>
    <d v="2020-10-28T00:00:00"/>
    <d v="2020-12-02T00:00:00"/>
  </r>
  <r>
    <s v="Ofsted Social Care Provider Webpage"/>
    <n v="1271607"/>
    <x v="0"/>
    <d v="2018-05-18T00:00:00"/>
    <s v="Active"/>
    <s v="REDACTED"/>
    <x v="6"/>
    <s v="West Midlands"/>
    <x v="46"/>
    <s v="Lichfield"/>
    <s v="Private"/>
    <d v="2020-10-28T00:00:00"/>
    <d v="2020-11-19T00:00:00"/>
  </r>
  <r>
    <s v="Ofsted Social Care Provider Webpage"/>
    <s v="SC456729"/>
    <x v="0"/>
    <d v="2013-02-14T00:00:00"/>
    <s v="Active"/>
    <s v="REDACTED"/>
    <x v="5"/>
    <s v="North West"/>
    <x v="97"/>
    <s v="Halton"/>
    <s v="Private"/>
    <d v="2020-10-28T00:00:00"/>
    <d v="2020-12-08T00:00:00"/>
  </r>
  <r>
    <s v="Ofsted Social Care Provider Webpage"/>
    <s v="SC022437"/>
    <x v="0"/>
    <d v="2001-07-20T00:00:00"/>
    <s v="Active"/>
    <s v="REDACTED"/>
    <x v="5"/>
    <s v="North West"/>
    <x v="24"/>
    <s v="St Helens North"/>
    <s v="Private"/>
    <d v="2020-10-28T00:00:00"/>
    <d v="2020-12-10T00:00:00"/>
  </r>
  <r>
    <s v="Ofsted Social Care Provider Webpage"/>
    <s v="SC453726"/>
    <x v="0"/>
    <d v="2012-11-02T00:00:00"/>
    <s v="Active"/>
    <s v="REDACTED"/>
    <x v="6"/>
    <s v="West Midlands"/>
    <x v="34"/>
    <s v="Birmingham, Erdington"/>
    <s v="Private"/>
    <d v="2020-10-28T00:00:00"/>
    <d v="2020-12-10T00:00:00"/>
  </r>
  <r>
    <s v="Ofsted Social Care Provider Webpage"/>
    <n v="1277045"/>
    <x v="0"/>
    <d v="2018-08-03T00:00:00"/>
    <s v="Active"/>
    <s v="REDACTED"/>
    <x v="1"/>
    <s v="South West"/>
    <x v="62"/>
    <s v="Camborne and Redruth"/>
    <s v="Private"/>
    <d v="2020-10-28T00:00:00"/>
    <d v="2020-12-09T00:00:00"/>
  </r>
  <r>
    <s v="Ofsted Social Care Provider Webpage"/>
    <s v="SC441865"/>
    <x v="0"/>
    <d v="2012-07-29T00:00:00"/>
    <s v="Active"/>
    <s v="REDACTED"/>
    <x v="4"/>
    <s v="East Midlands"/>
    <x v="20"/>
    <s v="Gedling"/>
    <s v="Voluntary"/>
    <d v="2020-10-28T00:00:00"/>
    <d v="2020-12-01T00:00:00"/>
  </r>
  <r>
    <s v="Ofsted Social Care Provider Webpage"/>
    <s v="SC474543"/>
    <x v="0"/>
    <d v="2014-02-26T00:00:00"/>
    <s v="Active"/>
    <s v="REDACTED"/>
    <x v="7"/>
    <s v="London"/>
    <x v="124"/>
    <s v="Orpington"/>
    <s v="Health Authority"/>
    <d v="2020-10-28T00:00:00"/>
    <d v="2020-12-18T00:00:00"/>
  </r>
  <r>
    <s v="Ofsted Social Care Provider Webpage"/>
    <s v="SC400219"/>
    <x v="0"/>
    <d v="2009-11-27T00:00:00"/>
    <s v="Active"/>
    <s v="REDACTED"/>
    <x v="5"/>
    <s v="North West"/>
    <x v="16"/>
    <s v="Fylde"/>
    <s v="Private"/>
    <d v="2020-10-28T00:00:00"/>
    <d v="2020-11-30T00:00:00"/>
  </r>
  <r>
    <s v="Ofsted Social Care Provider Webpage"/>
    <s v="SC486167"/>
    <x v="0"/>
    <d v="2015-02-18T00:00:00"/>
    <s v="Active"/>
    <s v="REDACTED"/>
    <x v="1"/>
    <s v="South West"/>
    <x v="27"/>
    <s v="Plymouth, Sutton and Devonport"/>
    <s v="Private"/>
    <d v="2020-10-28T00:00:00"/>
    <d v="2020-12-03T00:00:00"/>
  </r>
  <r>
    <s v="Ofsted Social Care Provider Webpage"/>
    <n v="1244386"/>
    <x v="0"/>
    <d v="2017-06-08T00:00:00"/>
    <s v="Active"/>
    <s v="REDACTED"/>
    <x v="7"/>
    <s v="London"/>
    <x v="119"/>
    <s v="Croydon North"/>
    <s v="Private"/>
    <d v="2020-10-28T00:00:00"/>
    <d v="2021-01-11T00:00:00"/>
  </r>
  <r>
    <s v="Ofsted Social Care Provider Webpage"/>
    <s v="SC476512"/>
    <x v="0"/>
    <d v="2014-06-03T00:00:00"/>
    <s v="Active"/>
    <s v="REDACTED"/>
    <x v="3"/>
    <s v="North East"/>
    <x v="84"/>
    <s v="Middlesbrough South and East Cleveland"/>
    <s v="Private"/>
    <d v="2020-10-28T00:00:00"/>
    <d v="2020-12-08T00:00:00"/>
  </r>
  <r>
    <s v="Ofsted Social Care Provider Webpage"/>
    <s v="SC481209"/>
    <x v="0"/>
    <d v="2014-11-12T00:00:00"/>
    <s v="Active"/>
    <s v="REDACTED"/>
    <x v="6"/>
    <s v="West Midlands"/>
    <x v="43"/>
    <s v="Hereford and South Herefordshire"/>
    <s v="Private"/>
    <d v="2020-09-29T00:00:00"/>
    <d v="2020-10-29T00:00:00"/>
  </r>
  <r>
    <s v="Ofsted Social Care Provider Webpage"/>
    <n v="2571902"/>
    <x v="0"/>
    <d v="2020-03-24T00:00:00"/>
    <s v="Active"/>
    <s v="REDACTED"/>
    <x v="3"/>
    <s v="North East"/>
    <x v="92"/>
    <s v="Sedgefield"/>
    <s v="Private"/>
    <d v="2020-09-29T00:00:00"/>
    <d v="2020-11-12T00:00:00"/>
  </r>
  <r>
    <s v="Ofsted Social Care Provider Webpage"/>
    <s v="SC037181"/>
    <x v="0"/>
    <d v="2002-11-08T00:00:00"/>
    <s v="Active"/>
    <s v="REDACTED"/>
    <x v="5"/>
    <s v="North West"/>
    <x v="89"/>
    <s v="Southport"/>
    <s v="Private"/>
    <d v="2020-09-29T00:00:00"/>
    <d v="2020-11-12T00:00:00"/>
  </r>
  <r>
    <s v="Ofsted Social Care Provider Webpage"/>
    <s v="SC456850"/>
    <x v="0"/>
    <d v="2013-02-15T00:00:00"/>
    <s v="Active"/>
    <s v="REDACTED"/>
    <x v="5"/>
    <s v="North West"/>
    <x v="53"/>
    <s v="Rochdale"/>
    <s v="Private"/>
    <d v="2020-09-29T00:00:00"/>
    <d v="2020-10-26T00:00:00"/>
  </r>
  <r>
    <s v="Ofsted Social Care Provider Webpage"/>
    <s v="SC467115"/>
    <x v="0"/>
    <d v="2013-08-27T00:00:00"/>
    <s v="Active"/>
    <s v="REDACTED"/>
    <x v="1"/>
    <s v="South West"/>
    <x v="30"/>
    <s v="Taunton Deane"/>
    <s v="Private"/>
    <d v="2020-09-29T00:00:00"/>
    <d v="2020-10-29T00:00:00"/>
  </r>
  <r>
    <s v="Ofsted Social Care Provider Webpage"/>
    <s v="SC476289"/>
    <x v="0"/>
    <d v="2015-01-15T00:00:00"/>
    <s v="Active"/>
    <s v="REDACTED"/>
    <x v="4"/>
    <s v="East Midlands"/>
    <x v="14"/>
    <s v="South Derbyshire"/>
    <s v="Private"/>
    <d v="2020-09-29T00:00:00"/>
    <d v="2020-10-28T00:00:00"/>
  </r>
  <r>
    <s v="Ofsted Social Care Provider Webpage"/>
    <n v="2495375"/>
    <x v="0"/>
    <d v="2018-11-19T00:00:00"/>
    <s v="Active"/>
    <s v="REDACTED"/>
    <x v="7"/>
    <s v="London"/>
    <x v="125"/>
    <s v="Tooting"/>
    <s v="Voluntary"/>
    <d v="2020-09-29T00:00:00"/>
    <d v="2020-10-30T00:00:00"/>
  </r>
  <r>
    <s v="Ofsted Social Care Provider Webpage"/>
    <s v="SC439282"/>
    <x v="0"/>
    <d v="2012-02-20T00:00:00"/>
    <s v="Active"/>
    <s v="REDACTED"/>
    <x v="2"/>
    <s v="South East"/>
    <x v="2"/>
    <s v="Faversham and Mid Kent"/>
    <s v="Local Authority"/>
    <d v="2020-09-29T00:00:00"/>
    <d v="2020-11-25T00:00:00"/>
  </r>
  <r>
    <s v="Ofsted Social Care Provider Webpage"/>
    <s v="SC391708"/>
    <x v="0"/>
    <d v="2009-04-29T00:00:00"/>
    <s v="Active"/>
    <s v="REDACTED"/>
    <x v="1"/>
    <s v="South West"/>
    <x v="67"/>
    <s v="Bournemouth West"/>
    <s v="Private"/>
    <d v="2020-09-29T00:00:00"/>
    <d v="2020-11-03T00:00:00"/>
  </r>
  <r>
    <s v="Ofsted Social Care Provider Webpage"/>
    <s v="SC398391"/>
    <x v="0"/>
    <d v="2009-07-21T00:00:00"/>
    <s v="Active"/>
    <s v="REDACTED"/>
    <x v="6"/>
    <s v="West Midlands"/>
    <x v="55"/>
    <s v="The Wrekin"/>
    <s v="Private"/>
    <d v="2020-09-29T00:00:00"/>
    <d v="2020-10-27T00:00:00"/>
  </r>
  <r>
    <s v="Ofsted Social Care Provider Webpage"/>
    <s v="SC440309"/>
    <x v="0"/>
    <d v="2012-01-04T00:00:00"/>
    <s v="Active"/>
    <s v="REDACTED"/>
    <x v="5"/>
    <s v="North West"/>
    <x v="16"/>
    <s v="Ribble Valley"/>
    <s v="Local Authority"/>
    <d v="2020-09-29T00:00:00"/>
    <d v="2020-11-04T00:00:00"/>
  </r>
  <r>
    <s v="Ofsted Social Care Provider Webpage"/>
    <s v="SC035241"/>
    <x v="3"/>
    <d v="2003-06-13T00:00:00"/>
    <s v="Active"/>
    <s v="REDACTED"/>
    <x v="3"/>
    <s v="Yorkshire and The Humber"/>
    <x v="3"/>
    <s v="Doncaster Central"/>
    <s v="Private"/>
    <d v="2020-09-29T00:00:00"/>
    <d v="2020-11-06T00:00:00"/>
  </r>
  <r>
    <s v="Ofsted Social Care Provider Webpage"/>
    <n v="1241970"/>
    <x v="0"/>
    <d v="2017-01-09T00:00:00"/>
    <s v="Active"/>
    <s v="REDACTED"/>
    <x v="5"/>
    <s v="North West"/>
    <x v="78"/>
    <s v="Westmorland and Lonsdale"/>
    <s v="Private"/>
    <d v="2020-09-29T00:00:00"/>
    <d v="2020-11-17T00:00:00"/>
  </r>
  <r>
    <s v="Ofsted Social Care Provider Webpage"/>
    <s v="SC467155"/>
    <x v="0"/>
    <d v="2014-01-07T00:00:00"/>
    <s v="Active"/>
    <s v="REDACTED"/>
    <x v="2"/>
    <s v="South East"/>
    <x v="22"/>
    <s v="North West Hampshire"/>
    <s v="Private"/>
    <d v="2020-09-29T00:00:00"/>
    <d v="2020-11-10T00:00:00"/>
  </r>
  <r>
    <s v="Ofsted Social Care Provider Webpage"/>
    <s v="SC404994"/>
    <x v="0"/>
    <d v="2010-08-06T00:00:00"/>
    <s v="Active"/>
    <s v="REDACTED"/>
    <x v="6"/>
    <s v="West Midlands"/>
    <x v="17"/>
    <s v="West Bromwich East"/>
    <s v="Voluntary"/>
    <d v="2020-09-29T00:00:00"/>
    <d v="2020-11-03T00:00:00"/>
  </r>
  <r>
    <s v="Ofsted Social Care Provider Webpage"/>
    <s v="SC065684"/>
    <x v="0"/>
    <d v="2005-12-14T00:00:00"/>
    <s v="Active"/>
    <s v="REDACTED"/>
    <x v="2"/>
    <s v="South East"/>
    <x v="2"/>
    <s v="Sevenoaks"/>
    <s v="Private"/>
    <d v="2020-09-29T00:00:00"/>
    <d v="2020-11-19T00:00:00"/>
  </r>
  <r>
    <s v="Ofsted Social Care Provider Webpage"/>
    <s v="SC066651"/>
    <x v="0"/>
    <d v="2006-03-30T00:00:00"/>
    <s v="Active"/>
    <s v="REDACTED"/>
    <x v="3"/>
    <s v="Yorkshire and The Humber"/>
    <x v="42"/>
    <s v="Sheffield South East"/>
    <s v="Local Authority"/>
    <d v="2020-09-29T00:00:00"/>
    <d v="2020-11-12T00:00:00"/>
  </r>
  <r>
    <s v="Ofsted Social Care Provider Webpage"/>
    <s v="SC033387"/>
    <x v="0"/>
    <d v="2003-10-01T00:00:00"/>
    <s v="Active"/>
    <s v="REDACTED"/>
    <x v="3"/>
    <s v="Yorkshire and The Humber"/>
    <x v="45"/>
    <s v="Dewsbury"/>
    <s v="Local Authority"/>
    <d v="2020-09-29T00:00:00"/>
    <d v="2020-11-04T00:00:00"/>
  </r>
  <r>
    <s v="Ofsted Social Care Provider Webpage"/>
    <n v="1271383"/>
    <x v="0"/>
    <d v="2018-04-30T00:00:00"/>
    <s v="Active"/>
    <s v="REDACTED"/>
    <x v="4"/>
    <s v="East Midlands"/>
    <x v="36"/>
    <s v="Nottingham North"/>
    <s v="Private"/>
    <d v="2020-09-29T00:00:00"/>
    <d v="2020-10-28T00:00:00"/>
  </r>
  <r>
    <s v="Ofsted Social Care Provider Webpage"/>
    <s v="SC063767"/>
    <x v="0"/>
    <d v="2005-06-22T00:00:00"/>
    <s v="Active"/>
    <s v="REDACTED"/>
    <x v="2"/>
    <s v="South East"/>
    <x v="22"/>
    <s v="New Forest East"/>
    <s v="Private"/>
    <d v="2020-09-29T00:00:00"/>
    <d v="2020-10-27T00:00:00"/>
  </r>
  <r>
    <s v="Ofsted Social Care Provider Webpage"/>
    <n v="2546960"/>
    <x v="0"/>
    <d v="2019-08-14T00:00:00"/>
    <s v="Active"/>
    <s v="REDACTED"/>
    <x v="1"/>
    <s v="South West"/>
    <x v="10"/>
    <s v="Torridge and West Devon"/>
    <s v="Private"/>
    <d v="2020-09-29T00:00:00"/>
    <d v="2020-11-17T00:00:00"/>
  </r>
  <r>
    <s v="Ofsted Social Care Provider Webpage"/>
    <n v="2548528"/>
    <x v="0"/>
    <d v="2019-08-12T00:00:00"/>
    <s v="Active"/>
    <s v="REDACTED"/>
    <x v="5"/>
    <s v="North West"/>
    <x v="53"/>
    <s v="Rochdale"/>
    <s v="Private"/>
    <d v="2020-09-29T00:00:00"/>
    <d v="2020-11-02T00:00:00"/>
  </r>
  <r>
    <s v="Ofsted Social Care Provider Webpage"/>
    <n v="2530801"/>
    <x v="0"/>
    <d v="2019-06-25T00:00:00"/>
    <s v="Active"/>
    <s v="REDACTED"/>
    <x v="1"/>
    <s v="South West"/>
    <x v="30"/>
    <s v="Taunton Deane"/>
    <s v="Private"/>
    <d v="2020-09-29T00:00:00"/>
    <d v="2020-11-06T00:00:00"/>
  </r>
  <r>
    <s v="Ofsted Social Care Provider Webpage"/>
    <s v="SC014513"/>
    <x v="5"/>
    <d v="2002-02-14T00:00:00"/>
    <s v="Active"/>
    <s v="Farney Close School"/>
    <x v="2"/>
    <s v="South East"/>
    <x v="12"/>
    <s v="Mid Sussex"/>
    <s v="Voluntary"/>
    <d v="2020-09-29T00:00:00"/>
    <d v="2020-11-11T00:00:00"/>
  </r>
  <r>
    <s v="Ofsted Social Care Provider Webpage"/>
    <s v="SC039248"/>
    <x v="0"/>
    <d v="2003-11-20T00:00:00"/>
    <s v="Active"/>
    <s v="REDACTED"/>
    <x v="5"/>
    <s v="North West"/>
    <x v="16"/>
    <s v="West Lancashire"/>
    <s v="Local Authority"/>
    <d v="2020-09-29T00:00:00"/>
    <d v="2020-12-09T00:00:00"/>
  </r>
  <r>
    <s v="Ofsted Social Care Provider Webpage"/>
    <s v="SC038012"/>
    <x v="1"/>
    <d v="2003-12-29T00:00:00"/>
    <s v="Active"/>
    <s v="Foster Care Associates South Western"/>
    <x v="1"/>
    <s v="South West"/>
    <x v="27"/>
    <s v="Plymouth, Moor View"/>
    <s v="Private"/>
    <d v="2020-09-29T00:00:00"/>
    <d v="2020-12-09T00:00:00"/>
  </r>
  <r>
    <s v="Ofsted Social Care Provider Webpage"/>
    <n v="2505172"/>
    <x v="0"/>
    <d v="2019-04-09T00:00:00"/>
    <s v="Active"/>
    <s v="REDACTED"/>
    <x v="7"/>
    <s v="London"/>
    <x v="126"/>
    <s v="Harrow East"/>
    <s v="Private"/>
    <d v="2020-09-29T00:00:00"/>
    <d v="2020-11-12T00:00:00"/>
  </r>
  <r>
    <s v="Ofsted Social Care Provider Webpage"/>
    <n v="1276421"/>
    <x v="0"/>
    <d v="2018-08-16T00:00:00"/>
    <s v="Active"/>
    <s v="REDACTED"/>
    <x v="3"/>
    <s v="North East"/>
    <x v="92"/>
    <s v="Easington"/>
    <s v="Private"/>
    <d v="2020-09-29T00:00:00"/>
    <d v="2020-11-06T00:00:00"/>
  </r>
  <r>
    <s v="Ofsted Social Care Provider Webpage"/>
    <s v="SC063673"/>
    <x v="0"/>
    <d v="2005-02-21T00:00:00"/>
    <s v="Active"/>
    <s v="REDACTED"/>
    <x v="5"/>
    <s v="North West"/>
    <x v="89"/>
    <s v="Southport"/>
    <s v="Private"/>
    <d v="2020-10-29T00:00:00"/>
    <d v="2020-12-04T00:00:00"/>
  </r>
  <r>
    <s v="Ofsted Social Care Provider Webpage"/>
    <n v="2528486"/>
    <x v="0"/>
    <d v="2019-05-02T00:00:00"/>
    <s v="Active"/>
    <s v="REDACTED"/>
    <x v="1"/>
    <s v="South West"/>
    <x v="10"/>
    <s v="Newton Abbot"/>
    <s v="Private"/>
    <d v="2020-10-29T00:00:00"/>
    <d v="2020-12-04T00:00:00"/>
  </r>
  <r>
    <s v="Ofsted Social Care Provider Webpage"/>
    <n v="2535887"/>
    <x v="0"/>
    <d v="2019-08-02T00:00:00"/>
    <s v="Active"/>
    <s v="REDACTED"/>
    <x v="7"/>
    <s v="London"/>
    <x v="127"/>
    <s v="Dagenham and Rainham"/>
    <s v="Private"/>
    <d v="2020-10-29T00:00:00"/>
    <d v="2020-12-01T00:00:00"/>
  </r>
  <r>
    <s v="Ofsted Social Care Provider Webpage"/>
    <n v="2575432"/>
    <x v="0"/>
    <d v="2020-05-01T00:00:00"/>
    <s v="Active"/>
    <s v="REDACTED"/>
    <x v="5"/>
    <s v="North West"/>
    <x v="72"/>
    <s v="Makerfield"/>
    <s v="Private"/>
    <d v="2020-10-29T00:00:00"/>
    <d v="2021-01-05T00:00:00"/>
  </r>
  <r>
    <s v="Ofsted Social Care Provider Webpage"/>
    <s v="SC456719"/>
    <x v="0"/>
    <d v="2013-02-27T00:00:00"/>
    <s v="Active"/>
    <s v="REDACTED"/>
    <x v="4"/>
    <s v="East Midlands"/>
    <x v="18"/>
    <s v="South Northamptonshire"/>
    <s v="Private"/>
    <d v="2020-10-29T00:00:00"/>
    <d v="2020-11-26T00:00:00"/>
  </r>
  <r>
    <s v="Ofsted Social Care Provider Webpage"/>
    <s v="SC429702"/>
    <x v="0"/>
    <d v="2011-04-27T00:00:00"/>
    <s v="Active"/>
    <s v="REDACTED"/>
    <x v="0"/>
    <s v="East of England"/>
    <x v="50"/>
    <s v="South Suffolk"/>
    <s v="Private"/>
    <d v="2020-10-29T00:00:00"/>
    <d v="2020-11-23T00:00:00"/>
  </r>
  <r>
    <s v="Ofsted Social Care Provider Webpage"/>
    <s v="SC476261"/>
    <x v="0"/>
    <d v="2014-08-01T00:00:00"/>
    <s v="Active"/>
    <s v="REDACTED"/>
    <x v="6"/>
    <s v="West Midlands"/>
    <x v="55"/>
    <s v="Shrewsbury and Atcham"/>
    <s v="Private"/>
    <d v="2020-10-29T00:00:00"/>
    <d v="2020-11-30T00:00:00"/>
  </r>
  <r>
    <s v="Ofsted Social Care Provider Webpage"/>
    <s v="SC061439"/>
    <x v="0"/>
    <d v="2004-11-05T00:00:00"/>
    <s v="Active"/>
    <s v="REDACTED"/>
    <x v="3"/>
    <s v="North East"/>
    <x v="102"/>
    <s v="Darlington"/>
    <s v="Private"/>
    <d v="2020-09-30T00:00:00"/>
    <d v="2020-11-18T00:00:00"/>
  </r>
  <r>
    <s v="Ofsted Social Care Provider Webpage"/>
    <s v="SC477031"/>
    <x v="0"/>
    <d v="2014-06-24T00:00:00"/>
    <s v="Active"/>
    <s v="REDACTED"/>
    <x v="3"/>
    <s v="North East"/>
    <x v="82"/>
    <s v="Stockton North"/>
    <s v="Private"/>
    <d v="2020-09-30T00:00:00"/>
    <d v="2020-11-09T00:00:00"/>
  </r>
  <r>
    <s v="Ofsted Social Care Provider Webpage"/>
    <n v="2516984"/>
    <x v="0"/>
    <d v="2019-06-05T00:00:00"/>
    <s v="Active"/>
    <s v="REDACTED"/>
    <x v="6"/>
    <s v="West Midlands"/>
    <x v="90"/>
    <s v="West Worcestershire"/>
    <s v="Health Authority"/>
    <d v="2020-09-30T00:00:00"/>
    <d v="2020-11-09T00:00:00"/>
  </r>
  <r>
    <s v="Ofsted Social Care Provider Webpage"/>
    <s v="SC456942"/>
    <x v="0"/>
    <d v="2013-02-15T00:00:00"/>
    <s v="Active"/>
    <s v="REDACTED"/>
    <x v="5"/>
    <s v="North West"/>
    <x v="15"/>
    <s v="Warrington North"/>
    <s v="Private"/>
    <d v="2020-09-30T00:00:00"/>
    <d v="2020-11-09T00:00:00"/>
  </r>
  <r>
    <s v="Ofsted Social Care Provider Webpage"/>
    <s v="SC006011"/>
    <x v="0"/>
    <d v="2001-06-20T00:00:00"/>
    <s v="Active"/>
    <s v="REDACTED"/>
    <x v="5"/>
    <s v="North West"/>
    <x v="16"/>
    <s v="West Lancashire"/>
    <s v="Private"/>
    <d v="2020-09-30T00:00:00"/>
    <d v="2020-11-19T00:00:00"/>
  </r>
  <r>
    <s v="Ofsted Social Care Provider Webpage"/>
    <n v="1236916"/>
    <x v="0"/>
    <d v="2016-06-23T00:00:00"/>
    <s v="Active"/>
    <s v="REDACTED"/>
    <x v="1"/>
    <s v="South West"/>
    <x v="101"/>
    <s v="Weston-Super-Mare"/>
    <s v="Private"/>
    <d v="2020-09-30T00:00:00"/>
    <d v="2020-11-03T00:00:00"/>
  </r>
  <r>
    <s v="Ofsted Social Care Provider Webpage"/>
    <n v="2509473"/>
    <x v="0"/>
    <d v="2019-02-12T00:00:00"/>
    <s v="Active"/>
    <s v="REDACTED"/>
    <x v="2"/>
    <s v="South East"/>
    <x v="2"/>
    <s v="Dover"/>
    <s v="Private"/>
    <d v="2020-09-30T00:00:00"/>
    <d v="2020-11-23T00:00:00"/>
  </r>
  <r>
    <s v="Ofsted Social Care Provider Webpage"/>
    <n v="2516658"/>
    <x v="0"/>
    <d v="2019-08-30T00:00:00"/>
    <s v="Active"/>
    <s v="REDACTED"/>
    <x v="3"/>
    <s v="Yorkshire and The Humber"/>
    <x v="88"/>
    <s v="Barnsley Central"/>
    <s v="Private"/>
    <d v="2020-09-30T00:00:00"/>
    <d v="2020-11-13T00:00:00"/>
  </r>
  <r>
    <s v="Ofsted Social Care Provider Webpage"/>
    <s v="SC036240"/>
    <x v="0"/>
    <d v="2003-11-13T00:00:00"/>
    <s v="Active"/>
    <s v="REDACTED"/>
    <x v="4"/>
    <s v="East Midlands"/>
    <x v="113"/>
    <s v="Derby South"/>
    <s v="Local Authority"/>
    <d v="2020-09-30T00:00:00"/>
    <d v="2020-11-02T00:00:00"/>
  </r>
  <r>
    <s v="Ofsted Social Care Provider Webpage"/>
    <n v="2534102"/>
    <x v="0"/>
    <d v="2019-08-01T00:00:00"/>
    <s v="Active"/>
    <s v="REDACTED"/>
    <x v="3"/>
    <s v="North East"/>
    <x v="92"/>
    <s v="North Durham"/>
    <s v="Private"/>
    <d v="2020-09-30T00:00:00"/>
    <d v="2020-11-09T00:00:00"/>
  </r>
  <r>
    <s v="Ofsted Social Care Provider Webpage"/>
    <n v="2575372"/>
    <x v="0"/>
    <d v="2020-06-12T00:00:00"/>
    <s v="Active"/>
    <s v="REDACTED"/>
    <x v="0"/>
    <s v="East of England"/>
    <x v="41"/>
    <s v="Braintree"/>
    <s v="Private"/>
    <d v="2020-09-30T00:00:00"/>
    <d v="2020-10-29T00:00:00"/>
  </r>
  <r>
    <s v="Ofsted Social Care Provider Webpage"/>
    <n v="2503142"/>
    <x v="0"/>
    <d v="2019-04-10T00:00:00"/>
    <s v="Active"/>
    <s v="REDACTED"/>
    <x v="7"/>
    <s v="London"/>
    <x v="57"/>
    <s v="Edmonton"/>
    <s v="Private"/>
    <d v="2020-09-30T00:00:00"/>
    <d v="2020-11-13T00:00:00"/>
  </r>
  <r>
    <s v="Ofsted Social Care Provider Webpage"/>
    <n v="2509269"/>
    <x v="0"/>
    <d v="2019-01-31T00:00:00"/>
    <s v="Active"/>
    <s v="REDACTED"/>
    <x v="5"/>
    <s v="North West"/>
    <x v="16"/>
    <s v="Fylde"/>
    <s v="Private"/>
    <d v="2020-09-30T00:00:00"/>
    <d v="2020-11-17T00:00:00"/>
  </r>
  <r>
    <s v="Ofsted Social Care Provider Webpage"/>
    <s v="SC063110"/>
    <x v="0"/>
    <d v="2005-03-08T00:00:00"/>
    <s v="Active"/>
    <s v="REDACTED"/>
    <x v="0"/>
    <s v="East of England"/>
    <x v="50"/>
    <s v="Suffolk Coastal"/>
    <s v="Local Authority"/>
    <d v="2020-09-30T00:00:00"/>
    <d v="2020-10-30T00:00:00"/>
  </r>
  <r>
    <s v="Ofsted Social Care Provider Webpage"/>
    <s v="SC425418"/>
    <x v="0"/>
    <d v="2011-02-18T00:00:00"/>
    <s v="Active"/>
    <s v="REDACTED"/>
    <x v="0"/>
    <s v="East of England"/>
    <x v="19"/>
    <s v="Stevenage"/>
    <s v="Private"/>
    <d v="2020-09-30T00:00:00"/>
    <d v="2020-10-30T00:00:00"/>
  </r>
  <r>
    <s v="Ofsted Social Care Provider Webpage"/>
    <n v="2514770"/>
    <x v="0"/>
    <d v="2019-04-17T00:00:00"/>
    <s v="Active"/>
    <s v="REDACTED"/>
    <x v="3"/>
    <s v="Yorkshire and The Humber"/>
    <x v="23"/>
    <s v="Halifax"/>
    <s v="Private"/>
    <d v="2020-09-30T00:00:00"/>
    <d v="2020-11-12T00:00:00"/>
  </r>
  <r>
    <s v="Ofsted Social Care Provider Webpage"/>
    <n v="2504494"/>
    <x v="0"/>
    <d v="2019-02-20T00:00:00"/>
    <s v="Active"/>
    <s v="REDACTED"/>
    <x v="4"/>
    <s v="East Midlands"/>
    <x v="4"/>
    <s v="Harborough"/>
    <s v="Private"/>
    <d v="2020-09-30T00:00:00"/>
    <d v="2020-10-27T00:00:00"/>
  </r>
  <r>
    <s v="Ofsted Social Care Provider Webpage"/>
    <s v="SC034083"/>
    <x v="0"/>
    <d v="2003-07-22T00:00:00"/>
    <s v="Active"/>
    <s v="REDACTED"/>
    <x v="5"/>
    <s v="North West"/>
    <x v="78"/>
    <s v="Copeland"/>
    <s v="Local Authority"/>
    <d v="2020-09-30T00:00:00"/>
    <d v="2020-11-09T00:00:00"/>
  </r>
  <r>
    <s v="Ofsted Social Care Provider Webpage"/>
    <s v="SC036726"/>
    <x v="0"/>
    <d v="2003-11-17T00:00:00"/>
    <s v="Active"/>
    <s v="REDACTED"/>
    <x v="4"/>
    <s v="East Midlands"/>
    <x v="20"/>
    <s v="Newark"/>
    <s v="Local Authority"/>
    <d v="2020-09-30T00:00:00"/>
    <d v="2020-10-30T00:00:00"/>
  </r>
  <r>
    <s v="Ofsted Social Care Provider Webpage"/>
    <s v="SC444411"/>
    <x v="0"/>
    <d v="2012-07-06T00:00:00"/>
    <s v="Active"/>
    <s v="REDACTED"/>
    <x v="5"/>
    <s v="North West"/>
    <x v="69"/>
    <s v="Liverpool, Walton"/>
    <s v="Voluntary"/>
    <d v="2020-09-30T00:00:00"/>
    <d v="2020-11-18T00:00:00"/>
  </r>
  <r>
    <s v="Ofsted Social Care Provider Webpage"/>
    <s v="SC022223"/>
    <x v="5"/>
    <d v="2002-02-18T00:00:00"/>
    <s v="Active"/>
    <s v="WESC Foundation"/>
    <x v="1"/>
    <s v="South West"/>
    <x v="10"/>
    <s v="East Devon"/>
    <s v="Voluntary"/>
    <d v="2020-09-30T00:00:00"/>
    <d v="2020-11-06T00:00:00"/>
  </r>
  <r>
    <s v="Ofsted Social Care Provider Webpage"/>
    <n v="1255147"/>
    <x v="0"/>
    <d v="2017-06-29T00:00:00"/>
    <s v="Active"/>
    <s v="REDACTED"/>
    <x v="6"/>
    <s v="West Midlands"/>
    <x v="55"/>
    <s v="North Shropshire"/>
    <s v="Private"/>
    <d v="2020-09-30T00:00:00"/>
    <d v="2020-11-02T00:00:00"/>
  </r>
  <r>
    <s v="Ofsted Social Care Provider Webpage"/>
    <n v="2585927"/>
    <x v="0"/>
    <d v="2020-05-27T00:00:00"/>
    <s v="Resigned"/>
    <s v="REDACTED"/>
    <x v="4"/>
    <s v="East Midlands"/>
    <x v="36"/>
    <s v="Nottingham North"/>
    <s v="Private"/>
    <d v="2020-09-30T00:00:00"/>
    <d v="2020-11-02T00:00:00"/>
  </r>
  <r>
    <s v="Ofsted Social Care Provider Webpage"/>
    <s v="SC485423"/>
    <x v="0"/>
    <d v="2015-03-27T00:00:00"/>
    <s v="Active"/>
    <s v="REDACTED"/>
    <x v="2"/>
    <s v="South East"/>
    <x v="22"/>
    <s v="Eastleigh"/>
    <s v="Private"/>
    <d v="2020-09-30T00:00:00"/>
    <d v="2020-11-12T00:00:00"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  <r>
    <m/>
    <m/>
    <x v="7"/>
    <m/>
    <m/>
    <m/>
    <x v="8"/>
    <m/>
    <x v="128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39">
  <r>
    <s v="Ofsted Social Care Provider Webpage"/>
    <s v="SC457423"/>
    <s v="Children's home"/>
    <d v="2013-02-14T00:00:00"/>
    <s v="Active"/>
    <s v="REDACTED"/>
    <s v="East of England"/>
    <s v="East of England"/>
    <s v="Central Bedfordshire"/>
    <s v="South West Bedfordshire"/>
    <s v="Voluntary"/>
    <d v="2020-09-01T00:00:00"/>
    <d v="2020-10-06T00:00:00"/>
    <s v="N"/>
  </r>
  <r>
    <s v="Ofsted Social Care Provider Webpage"/>
    <s v="SC043245"/>
    <s v="Children's home"/>
    <d v="2003-04-25T00:00:00"/>
    <s v="Active"/>
    <s v="REDACTED"/>
    <s v="South West"/>
    <s v="South West"/>
    <s v="Wiltshire"/>
    <s v="South West Wiltshire"/>
    <s v="Private"/>
    <d v="2020-09-01T00:00:00"/>
    <d v="2020-10-29T00:00:00"/>
    <s v="N"/>
  </r>
  <r>
    <s v="Ofsted Social Care Provider Webpage"/>
    <n v="2501791"/>
    <s v="Children's home"/>
    <d v="2019-07-12T00:00:00"/>
    <s v="Active"/>
    <s v="REDACTED"/>
    <s v="South East"/>
    <s v="South East"/>
    <s v="Kent"/>
    <s v="Gravesham"/>
    <s v="Private"/>
    <d v="2020-09-01T00:00:00"/>
    <d v="2020-10-07T00:00:00"/>
    <s v="N"/>
  </r>
  <r>
    <s v="Ofsted Social Care Provider Webpage"/>
    <n v="1232650"/>
    <s v="Children's home"/>
    <d v="2016-07-21T00:00:00"/>
    <s v="Active"/>
    <s v="REDACTED"/>
    <s v="North East, Yorkshire and the Humber"/>
    <s v="Yorkshire and The Humber"/>
    <s v="Doncaster"/>
    <s v="Don Valley"/>
    <s v="Private"/>
    <d v="2020-09-01T00:00:00"/>
    <d v="2020-09-29T00:00:00"/>
    <s v="N"/>
  </r>
  <r>
    <s v="Ofsted Social Care Provider Webpage"/>
    <s v="SC480655"/>
    <s v="Children's home"/>
    <d v="2014-10-01T00:00:00"/>
    <s v="Active"/>
    <s v="REDACTED"/>
    <s v="East Midlands"/>
    <s v="East Midlands"/>
    <s v="Leicestershire"/>
    <s v="Rutland and Melton"/>
    <s v="Private"/>
    <d v="2020-09-01T00:00:00"/>
    <d v="2020-10-13T00:00:00"/>
    <s v="N"/>
  </r>
  <r>
    <s v="Ofsted Social Care Provider Webpage"/>
    <n v="2539587"/>
    <s v="Children's home"/>
    <d v="2019-09-04T00:00:00"/>
    <s v="Active"/>
    <s v="REDACTED"/>
    <s v="North East, Yorkshire and the Humber"/>
    <s v="Yorkshire and The Humber"/>
    <s v="Wakefield"/>
    <s v="Hemsworth"/>
    <s v="Private"/>
    <d v="2020-09-01T00:00:00"/>
    <d v="2020-10-07T00:00:00"/>
    <s v="N"/>
  </r>
  <r>
    <s v="Ofsted Social Care Provider Webpage"/>
    <n v="1258089"/>
    <s v="Children's home"/>
    <d v="2018-02-02T00:00:00"/>
    <s v="Active"/>
    <s v="REDACTED"/>
    <s v="North East, Yorkshire and the Humber"/>
    <s v="Yorkshire and The Humber"/>
    <s v="Wakefield"/>
    <s v="Morley and Outwood"/>
    <s v="Private"/>
    <d v="2020-09-01T00:00:00"/>
    <d v="2020-10-07T00:00:00"/>
    <s v="N"/>
  </r>
  <r>
    <s v="Ofsted Social Care Provider Webpage"/>
    <s v="SC037762"/>
    <s v="Children's home"/>
    <d v="2003-10-06T00:00:00"/>
    <s v="Active"/>
    <s v="REDACTED"/>
    <s v="South East"/>
    <s v="South East"/>
    <s v="Portsmouth"/>
    <s v="Portsmouth North "/>
    <s v="Local Authority"/>
    <d v="2020-09-01T00:00:00"/>
    <d v="2020-10-07T00:00:00"/>
    <s v="Y"/>
  </r>
  <r>
    <s v="Ofsted Social Care Provider Webpage"/>
    <s v="SC061232"/>
    <s v="Children's home"/>
    <d v="2004-06-07T00:00:00"/>
    <s v="Active"/>
    <s v="REDACTED"/>
    <s v="South West"/>
    <s v="South West"/>
    <s v="Bristol"/>
    <s v="Bristol South"/>
    <s v="Local Authority"/>
    <d v="2020-09-01T00:00:00"/>
    <d v="2020-10-08T00:00:00"/>
    <s v="N"/>
  </r>
  <r>
    <s v="Ofsted Social Care Provider Webpage"/>
    <n v="1280370"/>
    <s v="Children's home"/>
    <d v="2018-07-16T00:00:00"/>
    <s v="Active"/>
    <s v="REDACTED"/>
    <s v="North West"/>
    <s v="North West"/>
    <s v="Oldham"/>
    <s v="Oldham East and Saddleworth"/>
    <s v="Private"/>
    <d v="2020-09-01T00:00:00"/>
    <d v="2020-10-15T00:00:00"/>
    <s v="N"/>
  </r>
  <r>
    <s v="Ofsted Social Care Provider Webpage"/>
    <s v="SC438764"/>
    <s v="Children's home"/>
    <d v="2011-12-02T00:00:00"/>
    <s v="Active"/>
    <s v="REDACTED"/>
    <s v="East of England"/>
    <s v="East of England"/>
    <s v="Southend on Sea"/>
    <s v="Rochford and Southend East"/>
    <s v="Private"/>
    <d v="2020-09-01T00:00:00"/>
    <d v="2020-10-07T00:00:00"/>
    <s v="N"/>
  </r>
  <r>
    <s v="Ofsted Social Care Provider Webpage"/>
    <s v="SC023739"/>
    <s v="Children's home"/>
    <d v="2001-07-11T00:00:00"/>
    <s v="Active"/>
    <s v="REDACTED"/>
    <s v="South East"/>
    <s v="South East"/>
    <s v="Kent"/>
    <s v="South Thanet"/>
    <s v="Private"/>
    <d v="2020-09-01T00:00:00"/>
    <d v="2020-10-02T00:00:00"/>
    <s v="N"/>
  </r>
  <r>
    <s v="Ofsted Social Care Provider Webpage"/>
    <s v="SC003897"/>
    <s v="Children's home"/>
    <d v="2002-02-13T00:00:00"/>
    <s v="Active"/>
    <s v="REDACTED"/>
    <s v="South West"/>
    <s v="South West"/>
    <s v="Devon"/>
    <s v="Newton Abbot"/>
    <s v="Private"/>
    <d v="2020-10-01T00:00:00"/>
    <d v="2020-11-16T00:00:00"/>
    <s v="N"/>
  </r>
  <r>
    <s v="Ofsted Social Care Provider Webpage"/>
    <n v="2571031"/>
    <s v="Children's home"/>
    <d v="2020-05-27T00:00:00"/>
    <s v="Active"/>
    <s v="REDACTED"/>
    <s v="North West"/>
    <s v="North West"/>
    <s v="Manchester"/>
    <s v="Manchester, Gorton"/>
    <s v="Private"/>
    <d v="2020-10-01T00:00:00"/>
    <d v="2020-11-12T00:00:00"/>
    <s v="N"/>
  </r>
  <r>
    <s v="Ofsted Social Care Provider Webpage"/>
    <n v="1250194"/>
    <s v="Children's home"/>
    <d v="2017-07-05T00:00:00"/>
    <s v="Active"/>
    <s v="REDACTED"/>
    <s v="South East"/>
    <s v="South East"/>
    <s v="West Sussex"/>
    <s v="Bognor Regis and Littlehampton"/>
    <s v="Private"/>
    <d v="2020-10-01T00:00:00"/>
    <d v="2020-12-14T00:00:00"/>
    <s v="N"/>
  </r>
  <r>
    <s v="Ofsted Social Care Provider Webpage"/>
    <s v="SC013143"/>
    <s v="Children's home"/>
    <d v="2001-01-01T00:00:00"/>
    <s v="Active"/>
    <s v="REDACTED"/>
    <s v="South East"/>
    <s v="South East"/>
    <s v="Oxfordshire"/>
    <s v="Oxford West and Abingdon"/>
    <s v="Voluntary"/>
    <d v="2020-10-01T00:00:00"/>
    <d v="2020-11-24T00:00:00"/>
    <s v="N"/>
  </r>
  <r>
    <s v="Ofsted Social Care Provider Webpage"/>
    <n v="2495504"/>
    <s v="Children's home"/>
    <d v="2018-10-09T00:00:00"/>
    <s v="Active"/>
    <s v="REDACTED"/>
    <s v="East Midlands"/>
    <s v="East Midlands"/>
    <s v="Derbyshire"/>
    <s v="South Derbyshire"/>
    <s v="Private"/>
    <d v="2020-10-01T00:00:00"/>
    <d v="2020-11-05T00:00:00"/>
    <s v="N"/>
  </r>
  <r>
    <s v="Ofsted Social Care Provider Webpage"/>
    <s v="SC386502"/>
    <s v="Children's home"/>
    <d v="2008-12-23T00:00:00"/>
    <s v="Active"/>
    <s v="REDACTED"/>
    <s v="North West"/>
    <s v="North West"/>
    <s v="Warrington"/>
    <s v="Warrington North"/>
    <s v="Private"/>
    <d v="2020-10-01T00:00:00"/>
    <d v="2020-10-26T00:00:00"/>
    <s v="N"/>
  </r>
  <r>
    <s v="Ofsted Social Care Provider Webpage"/>
    <n v="2592566"/>
    <s v="Independent Fostering Agency"/>
    <d v="2020-06-24T00:00:00"/>
    <s v="Active"/>
    <s v="Cuffe And Lacey Fostering"/>
    <s v="North West"/>
    <s v="North West"/>
    <s v="Lancashire"/>
    <s v="Burnley"/>
    <s v="Private"/>
    <d v="2020-12-01T00:00:00"/>
    <d v="2021-01-11T00:00:00"/>
    <s v="N"/>
  </r>
  <r>
    <s v="Ofsted Social Care Provider Webpage"/>
    <n v="2509967"/>
    <s v="Independent Fostering Agency"/>
    <d v="2019-10-15T00:00:00"/>
    <s v="Active"/>
    <s v="Paramount Foster Care"/>
    <s v="West Midlands"/>
    <s v="West Midlands"/>
    <s v="Sandwell"/>
    <s v="West Bromwich East"/>
    <s v="Private"/>
    <d v="2020-12-01T00:00:00"/>
    <d v="2021-01-07T00:00:00"/>
    <s v="N"/>
  </r>
  <r>
    <s v="Ofsted Social Care Provider Webpage"/>
    <n v="2484185"/>
    <s v="Independent Fostering Agency"/>
    <d v="2019-03-08T00:00:00"/>
    <s v="Active"/>
    <s v="County Fostering Service Ltd"/>
    <s v="East Midlands"/>
    <s v="East Midlands"/>
    <s v="Northamptonshire"/>
    <s v="Northampton North"/>
    <s v="Private"/>
    <d v="2020-12-01T00:00:00"/>
    <d v="2021-01-08T00:00:00"/>
    <s v="N"/>
  </r>
  <r>
    <s v="Ofsted Social Care Provider Webpage"/>
    <n v="2526987"/>
    <s v="Children's home"/>
    <d v="2019-06-18T00:00:00"/>
    <s v="Active"/>
    <s v="REDACTED"/>
    <s v="East of England"/>
    <s v="East of England"/>
    <s v="Hertfordshire"/>
    <s v="Welwyn Hatfield"/>
    <s v="Private"/>
    <d v="2020-12-01T00:00:00"/>
    <d v="2021-01-05T00:00:00"/>
    <s v="N"/>
  </r>
  <r>
    <s v="Ofsted Social Care Provider Webpage"/>
    <s v="SC488961"/>
    <s v="Children's home"/>
    <d v="2016-03-18T00:00:00"/>
    <s v="Active"/>
    <s v="REDACTED"/>
    <s v="East Midlands"/>
    <s v="East Midlands"/>
    <s v="Nottinghamshire"/>
    <s v="Rushcliffe"/>
    <s v="Private"/>
    <d v="2020-12-01T00:00:00"/>
    <d v="2021-01-05T00:00:00"/>
    <s v="N"/>
  </r>
  <r>
    <s v="Ofsted Social Care Provider Webpage"/>
    <s v="SC053529"/>
    <s v="Children's home"/>
    <d v="2003-12-18T00:00:00"/>
    <s v="Active"/>
    <s v="REDACTED"/>
    <s v="East of England"/>
    <s v="East of England"/>
    <s v="Peterborough"/>
    <s v="Peterborough"/>
    <s v="Private"/>
    <d v="2020-09-02T00:00:00"/>
    <d v="2020-10-08T00:00:00"/>
    <s v="N"/>
  </r>
  <r>
    <s v="Ofsted Social Care Provider Webpage"/>
    <s v="SC035657"/>
    <s v="Children's home"/>
    <d v="2003-01-21T00:00:00"/>
    <s v="Active"/>
    <s v="REDACTED"/>
    <s v="North West"/>
    <s v="North West"/>
    <s v="Oldham"/>
    <s v="Oldham East and Saddleworth"/>
    <s v="Private"/>
    <d v="2020-09-02T00:00:00"/>
    <d v="2020-10-07T00:00:00"/>
    <s v="N"/>
  </r>
  <r>
    <s v="Ofsted Social Care Provider Webpage"/>
    <n v="2544217"/>
    <s v="Children's home"/>
    <d v="2019-07-18T00:00:00"/>
    <s v="Active"/>
    <s v="REDACTED"/>
    <s v="East Midlands"/>
    <s v="East Midlands"/>
    <s v="Nottinghamshire"/>
    <s v="Bassetlaw"/>
    <s v="Private"/>
    <d v="2020-09-02T00:00:00"/>
    <d v="2020-10-13T00:00:00"/>
    <s v="N"/>
  </r>
  <r>
    <s v="Ofsted Social Care Provider Webpage"/>
    <n v="2589392"/>
    <s v="Children's home"/>
    <d v="2020-05-01T00:00:00"/>
    <s v="Active"/>
    <s v="REDACTED"/>
    <s v="North West"/>
    <s v="North West"/>
    <s v="Lancashire"/>
    <s v="Rossendale and Darwen"/>
    <s v="Private"/>
    <d v="2020-09-02T00:00:00"/>
    <d v="2020-10-20T00:00:00"/>
    <s v="N"/>
  </r>
  <r>
    <s v="Ofsted Social Care Provider Webpage"/>
    <s v="SC035593"/>
    <s v="Children's home"/>
    <d v="2003-03-27T00:00:00"/>
    <s v="Active"/>
    <s v="REDACTED"/>
    <s v="South East"/>
    <s v="South East"/>
    <s v="Hampshire"/>
    <s v="New Forest East"/>
    <s v="Private"/>
    <d v="2020-09-02T00:00:00"/>
    <d v="2020-10-06T00:00:00"/>
    <s v="N"/>
  </r>
  <r>
    <s v="Ofsted Social Care Provider Webpage"/>
    <n v="1234317"/>
    <s v="Children's home"/>
    <d v="2016-08-04T00:00:00"/>
    <s v="Active"/>
    <s v="REDACTED"/>
    <s v="North East, Yorkshire and the Humber"/>
    <s v="Yorkshire and The Humber"/>
    <s v="Calderdale"/>
    <s v="Halifax"/>
    <s v="Private"/>
    <d v="2020-09-02T00:00:00"/>
    <d v="2020-11-03T00:00:00"/>
    <s v="N"/>
  </r>
  <r>
    <s v="Ofsted Social Care Provider Webpage"/>
    <n v="1259734"/>
    <s v="Children's home"/>
    <d v="2017-09-11T00:00:00"/>
    <s v="Active"/>
    <s v="REDACTED"/>
    <s v="South East"/>
    <s v="South East"/>
    <s v="Hampshire"/>
    <s v="North West Hampshire"/>
    <s v="Local Authority"/>
    <d v="2020-09-02T00:00:00"/>
    <d v="2020-10-06T00:00:00"/>
    <s v="N"/>
  </r>
  <r>
    <s v="Ofsted Social Care Provider Webpage"/>
    <s v="SC022440"/>
    <s v="Children's home"/>
    <d v="2001-07-20T00:00:00"/>
    <s v="Active"/>
    <s v="REDACTED"/>
    <s v="North West"/>
    <s v="North West"/>
    <s v="St Helens"/>
    <s v="St Helens South and Whiston"/>
    <s v="Private"/>
    <d v="2020-09-02T00:00:00"/>
    <d v="2020-10-07T00:00:00"/>
    <s v="N"/>
  </r>
  <r>
    <s v="Ofsted Social Care Provider Webpage"/>
    <n v="1224674"/>
    <s v="Children's home"/>
    <d v="2016-02-11T00:00:00"/>
    <s v="Active"/>
    <s v="REDACTED"/>
    <s v="East Midlands"/>
    <s v="East Midlands"/>
    <s v="Rutland"/>
    <s v="Rutland and Melton"/>
    <s v="Private"/>
    <d v="2020-09-02T00:00:00"/>
    <d v="2020-10-16T00:00:00"/>
    <s v="N"/>
  </r>
  <r>
    <s v="Ofsted Social Care Provider Webpage"/>
    <s v="SC066120"/>
    <s v="Children's home"/>
    <d v="2005-12-12T00:00:00"/>
    <s v="Active"/>
    <s v="REDACTED"/>
    <s v="North East, Yorkshire and the Humber"/>
    <s v="Yorkshire and The Humber"/>
    <s v="Leeds"/>
    <s v="Leeds West"/>
    <s v="Local Authority"/>
    <d v="2020-09-02T00:00:00"/>
    <d v="2020-09-24T00:00:00"/>
    <s v="N"/>
  </r>
  <r>
    <s v="Ofsted Social Care Provider Webpage"/>
    <n v="1277304"/>
    <s v="Children's home"/>
    <d v="2018-05-08T00:00:00"/>
    <s v="Active"/>
    <s v="REDACTED"/>
    <s v="South West"/>
    <s v="South West"/>
    <s v="Plymouth"/>
    <s v="Plymouth, Sutton and Devonport"/>
    <s v="Private"/>
    <d v="2020-09-02T00:00:00"/>
    <d v="2020-10-08T00:00:00"/>
    <s v="Y"/>
  </r>
  <r>
    <s v="Ofsted Social Care Provider Webpage"/>
    <n v="1234323"/>
    <s v="Children's home"/>
    <d v="2016-06-14T00:00:00"/>
    <s v="Resigned"/>
    <s v="REDACTED"/>
    <s v="North East, Yorkshire and the Humber"/>
    <s v="North East"/>
    <s v="North Tyneside"/>
    <s v="North Tyneside"/>
    <s v="Voluntary"/>
    <d v="2020-09-02T00:00:00"/>
    <d v="2020-10-14T00:00:00"/>
    <s v="Y"/>
  </r>
  <r>
    <s v="Ofsted Social Care Provider Webpage"/>
    <s v="SC045408"/>
    <s v="Children's home"/>
    <d v="2003-11-19T00:00:00"/>
    <s v="Active"/>
    <s v="REDACTED"/>
    <s v="South East"/>
    <s v="South East"/>
    <s v="Surrey"/>
    <s v="Reigate"/>
    <s v="Local Authority"/>
    <d v="2020-09-02T00:00:00"/>
    <d v="2020-10-06T00:00:00"/>
    <s v="N"/>
  </r>
  <r>
    <s v="Ofsted Social Care Provider Webpage"/>
    <s v="SC411208"/>
    <s v="Children's home"/>
    <d v="2010-07-06T00:00:00"/>
    <s v="Active"/>
    <s v="REDACTED"/>
    <s v="South West"/>
    <s v="South West"/>
    <s v="Somerset"/>
    <s v="Taunton Deane"/>
    <s v="Private"/>
    <d v="2020-09-02T00:00:00"/>
    <d v="2020-10-21T00:00:00"/>
    <s v="N"/>
  </r>
  <r>
    <s v="Ofsted Social Care Provider Webpage"/>
    <n v="1250035"/>
    <s v="Children's home"/>
    <d v="2017-02-08T00:00:00"/>
    <s v="Active"/>
    <s v="REDACTED"/>
    <s v="North West"/>
    <s v="North West"/>
    <s v="St Helens"/>
    <s v="St Helens North"/>
    <s v="Private"/>
    <d v="2020-09-02T00:00:00"/>
    <d v="2020-10-09T00:00:00"/>
    <s v="N"/>
  </r>
  <r>
    <s v="Ofsted Social Care Provider Webpage"/>
    <n v="2575788"/>
    <s v="Children's home"/>
    <d v="2020-03-11T00:00:00"/>
    <s v="Active"/>
    <s v="REDACTED"/>
    <s v="South West"/>
    <s v="South West"/>
    <s v="Swindon"/>
    <s v="North Swindon"/>
    <s v="Private"/>
    <d v="2020-09-02T00:00:00"/>
    <d v="2020-10-09T00:00:00"/>
    <s v="N"/>
  </r>
  <r>
    <s v="Ofsted Social Care Provider Webpage"/>
    <s v="SC484789"/>
    <s v="Children's home"/>
    <d v="2015-01-27T00:00:00"/>
    <s v="Active"/>
    <s v="REDACTED"/>
    <s v="North West"/>
    <s v="North West"/>
    <s v="Bolton"/>
    <s v="Bolton North East"/>
    <s v="Voluntary"/>
    <d v="2020-09-02T00:00:00"/>
    <d v="2020-10-15T00:00:00"/>
    <s v="N"/>
  </r>
  <r>
    <s v="Ofsted Social Care Provider Webpage"/>
    <s v="SC035439"/>
    <s v="Children's home"/>
    <d v="2003-11-03T00:00:00"/>
    <s v="Active"/>
    <s v="REDACTED"/>
    <s v="North West"/>
    <s v="North West"/>
    <s v="Lancashire"/>
    <s v="Wyre and Preston North"/>
    <s v="Local Authority"/>
    <d v="2020-09-02T00:00:00"/>
    <d v="2020-10-08T00:00:00"/>
    <s v="N"/>
  </r>
  <r>
    <s v="Ofsted Social Care Provider Webpage"/>
    <n v="2580887"/>
    <s v="Children's home"/>
    <d v="2020-05-13T00:00:00"/>
    <s v="Active"/>
    <s v="REDACTED"/>
    <s v="East of England"/>
    <s v="East of England"/>
    <s v="Norfolk"/>
    <s v="South West Norfolk"/>
    <s v="Private"/>
    <d v="2020-09-02T00:00:00"/>
    <d v="2020-10-07T00:00:00"/>
    <s v="N"/>
  </r>
  <r>
    <s v="Ofsted Social Care Provider Webpage"/>
    <n v="1228090"/>
    <s v="Children's home"/>
    <d v="2016-04-27T00:00:00"/>
    <s v="Active"/>
    <s v="REDACTED"/>
    <s v="West Midlands"/>
    <s v="West Midlands"/>
    <s v="Birmingham"/>
    <s v="Sutton Coldfield"/>
    <s v="Private"/>
    <d v="2020-09-02T00:00:00"/>
    <d v="2020-10-26T00:00:00"/>
    <s v="N"/>
  </r>
  <r>
    <s v="Ofsted Social Care Provider Webpage"/>
    <n v="1212094"/>
    <s v="Children's home"/>
    <d v="2016-02-09T00:00:00"/>
    <s v="Active"/>
    <s v="REDACTED"/>
    <s v="North West"/>
    <s v="North West"/>
    <s v="Salford"/>
    <s v="Worsley and Eccles South"/>
    <s v="Private"/>
    <d v="2020-09-02T00:00:00"/>
    <d v="2020-10-08T00:00:00"/>
    <s v="N"/>
  </r>
  <r>
    <s v="Ofsted Social Care Provider Webpage"/>
    <s v="SC431699"/>
    <s v="Children's home"/>
    <d v="2011-08-02T00:00:00"/>
    <s v="Active"/>
    <s v="REDACTED"/>
    <s v="East Midlands"/>
    <s v="East Midlands"/>
    <s v="Nottingham"/>
    <s v="Nottingham East"/>
    <s v="Private"/>
    <d v="2020-09-02T00:00:00"/>
    <d v="2020-11-05T00:00:00"/>
    <s v="Y"/>
  </r>
  <r>
    <s v="Ofsted Social Care Provider Webpage"/>
    <n v="1241836"/>
    <s v="Children's home"/>
    <d v="2017-01-24T00:00:00"/>
    <s v="Active"/>
    <s v="REDACTED"/>
    <s v="South East"/>
    <s v="South East"/>
    <s v="Hampshire"/>
    <s v="North West Hampshire"/>
    <s v="Private"/>
    <d v="2020-09-02T00:00:00"/>
    <d v="2020-10-06T00:00:00"/>
    <s v="N"/>
  </r>
  <r>
    <s v="Ofsted Social Care Provider Webpage"/>
    <n v="2544851"/>
    <s v="Children's home"/>
    <d v="2019-12-04T00:00:00"/>
    <s v="Active"/>
    <s v="REDACTED"/>
    <s v="North East, Yorkshire and the Humber"/>
    <s v="North East"/>
    <s v="Sunderland"/>
    <s v="Sunderland Central"/>
    <s v="Private"/>
    <d v="2020-09-02T00:00:00"/>
    <d v="2020-09-29T00:00:00"/>
    <s v="N"/>
  </r>
  <r>
    <s v="Ofsted Social Care Provider Webpage"/>
    <s v="SC449099"/>
    <s v="Children's home"/>
    <d v="2012-07-23T00:00:00"/>
    <s v="Active"/>
    <s v="REDACTED"/>
    <s v="East Midlands"/>
    <s v="East Midlands"/>
    <s v="Leicestershire"/>
    <s v="North West Leicestershire"/>
    <s v="Private"/>
    <d v="2020-09-02T00:00:00"/>
    <d v="2020-10-14T00:00:00"/>
    <s v="N"/>
  </r>
  <r>
    <s v="Ofsted Social Care Provider Webpage"/>
    <s v="SC487196"/>
    <s v="Children's home"/>
    <d v="2015-04-16T00:00:00"/>
    <s v="Active"/>
    <s v="REDACTED"/>
    <s v="South East"/>
    <s v="South East"/>
    <s v="West Sussex"/>
    <s v="Crawley"/>
    <s v="Private"/>
    <d v="2020-09-02T00:00:00"/>
    <d v="2020-10-19T00:00:00"/>
    <s v="N"/>
  </r>
  <r>
    <s v="Ofsted Social Care Provider Webpage"/>
    <s v="SC457621"/>
    <s v="Children's home"/>
    <d v="2013-04-04T00:00:00"/>
    <s v="Active"/>
    <s v="REDACTED"/>
    <s v="East Midlands"/>
    <s v="East Midlands"/>
    <s v="Northamptonshire"/>
    <s v="Northampton North"/>
    <s v="Private"/>
    <d v="2020-09-02T00:00:00"/>
    <d v="2020-10-13T00:00:00"/>
    <s v="N"/>
  </r>
  <r>
    <s v="Ofsted Social Care Provider Webpage"/>
    <n v="2527654"/>
    <s v="Children's home"/>
    <d v="2019-07-05T00:00:00"/>
    <s v="Active"/>
    <s v="REDACTED"/>
    <s v="North West"/>
    <s v="North West"/>
    <s v="Wirral"/>
    <s v="Wallasey"/>
    <s v="Private"/>
    <d v="2020-09-02T00:00:00"/>
    <d v="2020-10-08T00:00:00"/>
    <s v="N"/>
  </r>
  <r>
    <s v="Ofsted Social Care Provider Webpage"/>
    <s v="SC482548"/>
    <s v="Children's home"/>
    <d v="2015-03-27T00:00:00"/>
    <s v="Active"/>
    <s v="REDACTED"/>
    <s v="South East"/>
    <s v="South East"/>
    <s v="Brighton and Hove"/>
    <s v="Brighton, Pavilion"/>
    <s v="Private"/>
    <d v="2020-11-02T00:00:00"/>
    <d v="2021-01-12T00:00:00"/>
    <s v="Y"/>
  </r>
  <r>
    <s v="Ofsted Social Care Provider Webpage"/>
    <s v="SC042921"/>
    <s v="Secure children's home"/>
    <d v="2003-10-29T00:00:00"/>
    <s v="Active"/>
    <s v="REDACTED"/>
    <s v="East Midlands"/>
    <s v="East Midlands"/>
    <s v="Lincolnshire"/>
    <s v="Sleaford and North Hykeham"/>
    <s v="Local Authority"/>
    <d v="2020-11-02T00:00:00"/>
    <d v="2020-12-01T00:00:00"/>
    <s v="N"/>
  </r>
  <r>
    <s v="Ofsted Social Care Provider Webpage"/>
    <s v="SC458028"/>
    <s v="Children's home"/>
    <d v="2013-02-15T00:00:00"/>
    <s v="Active"/>
    <s v="REDACTED"/>
    <s v="East of England"/>
    <s v="East of England"/>
    <s v="Essex"/>
    <s v="Saffron Walden"/>
    <s v="Private"/>
    <d v="2020-11-02T00:00:00"/>
    <d v="2020-11-27T00:00:00"/>
    <s v="N"/>
  </r>
  <r>
    <s v="Ofsted Social Care Provider Webpage"/>
    <s v="SC046524"/>
    <s v="Secure children's home"/>
    <d v="2003-10-20T00:00:00"/>
    <s v="Active"/>
    <s v="REDACTED"/>
    <s v="North East, Yorkshire and the Humber"/>
    <s v="Yorkshire and The Humber"/>
    <s v="Sheffield"/>
    <s v="Sheffield, Hallam"/>
    <s v="Local Authority"/>
    <d v="2020-11-02T00:00:00"/>
    <d v="2020-12-04T00:00:00"/>
    <s v="N"/>
  </r>
  <r>
    <s v="Ofsted Social Care Provider Webpage"/>
    <n v="1271587"/>
    <s v="Children's home"/>
    <d v="2018-04-06T00:00:00"/>
    <s v="Active"/>
    <s v="REDACTED"/>
    <s v="West Midlands"/>
    <s v="West Midlands"/>
    <s v="Herefordshire"/>
    <s v="Hereford and South Herefordshire"/>
    <s v="Private"/>
    <d v="2020-11-02T00:00:00"/>
    <d v="2020-12-22T00:00:00"/>
    <s v="N"/>
  </r>
  <r>
    <s v="Ofsted Social Care Provider Webpage"/>
    <s v="SC413085"/>
    <s v="Children's home"/>
    <d v="2010-06-23T00:00:00"/>
    <s v="Active"/>
    <s v="REDACTED"/>
    <s v="South East"/>
    <s v="South East"/>
    <s v="Kent"/>
    <s v="Gravesham"/>
    <s v="Private"/>
    <d v="2020-11-02T00:00:00"/>
    <d v="2020-12-07T00:00:00"/>
    <s v="N"/>
  </r>
  <r>
    <s v="Ofsted Social Care Provider Webpage"/>
    <s v="SC408584"/>
    <s v="Children's home"/>
    <d v="2010-06-03T00:00:00"/>
    <s v="Active"/>
    <s v="REDACTED"/>
    <s v="South East"/>
    <s v="South East"/>
    <s v="Kent"/>
    <s v="Dover"/>
    <s v="Private"/>
    <d v="2020-11-02T00:00:00"/>
    <d v="2020-12-17T00:00:00"/>
    <s v="N"/>
  </r>
  <r>
    <s v="Ofsted Social Care Provider Webpage"/>
    <s v="SC042446"/>
    <s v="Children's home"/>
    <d v="2003-12-08T00:00:00"/>
    <s v="Active"/>
    <s v="REDACTED"/>
    <s v="South East"/>
    <s v="South East"/>
    <s v="Southampton"/>
    <s v="Southampton, Test"/>
    <s v="Voluntary"/>
    <d v="2020-11-02T00:00:00"/>
    <d v="2020-12-29T00:00:00"/>
    <s v="N"/>
  </r>
  <r>
    <s v="Ofsted Social Care Provider Webpage"/>
    <s v="SC356963"/>
    <s v="Children's home"/>
    <d v="2007-03-28T00:00:00"/>
    <s v="Active"/>
    <s v="REDACTED"/>
    <s v="North East, Yorkshire and the Humber"/>
    <s v="Yorkshire and The Humber"/>
    <s v="Kirklees"/>
    <s v="Huddersfield"/>
    <s v="Local Authority"/>
    <d v="2020-11-02T00:00:00"/>
    <d v="2020-12-17T00:00:00"/>
    <s v="N"/>
  </r>
  <r>
    <s v="Ofsted Social Care Provider Webpage"/>
    <s v="SC356327"/>
    <s v="Children's home"/>
    <d v="2007-07-03T00:00:00"/>
    <s v="Active"/>
    <s v="REDACTED"/>
    <s v="West Midlands"/>
    <s v="West Midlands"/>
    <s v="Staffordshire"/>
    <s v="Staffordshire Moorlands"/>
    <s v="Private"/>
    <d v="2020-11-02T00:00:00"/>
    <d v="2020-12-03T00:00:00"/>
    <s v="N"/>
  </r>
  <r>
    <s v="Ofsted Social Care Provider Webpage"/>
    <s v="SC013828"/>
    <s v="Children's home"/>
    <d v="1986-04-07T00:00:00"/>
    <s v="Active"/>
    <s v="REDACTED"/>
    <s v="South East"/>
    <s v="South East"/>
    <s v="Surrey"/>
    <s v="Runnymede and Weybridge"/>
    <s v="Voluntary"/>
    <d v="2020-11-02T00:00:00"/>
    <d v="2021-01-04T00:00:00"/>
    <s v="N"/>
  </r>
  <r>
    <s v="Ofsted Social Care Provider Webpage"/>
    <s v="SC069336"/>
    <s v="Residential special school (registered as a children's home)"/>
    <d v="2007-03-16T00:00:00"/>
    <s v="Active"/>
    <s v="REDACTED"/>
    <s v="South East"/>
    <s v="South East"/>
    <s v="West Berkshire"/>
    <s v="Newbury"/>
    <s v="Voluntary"/>
    <d v="2020-12-02T00:00:00"/>
    <d v="2021-01-15T00:00:00"/>
    <s v="N"/>
  </r>
  <r>
    <s v="Ofsted Social Care Provider Webpage"/>
    <n v="2592035"/>
    <s v="Children's home"/>
    <d v="2020-06-09T00:00:00"/>
    <s v="Active"/>
    <s v="REDACTED"/>
    <s v="North West"/>
    <s v="North West"/>
    <s v="Wirral"/>
    <s v="Birkenhead"/>
    <s v="Private"/>
    <d v="2020-12-02T00:00:00"/>
    <d v="2021-01-19T00:00:00"/>
    <s v="Y"/>
  </r>
  <r>
    <s v="Ofsted Social Care Provider Webpage"/>
    <s v="SC398385"/>
    <s v="Children's home"/>
    <d v="2009-07-20T00:00:00"/>
    <s v="Active"/>
    <s v="REDACTED"/>
    <s v="West Midlands"/>
    <s v="West Midlands"/>
    <s v="Staffordshire"/>
    <s v="South Staffordshire"/>
    <s v="Private"/>
    <d v="2020-12-02T00:00:00"/>
    <d v="2021-01-04T00:00:00"/>
    <s v="N"/>
  </r>
  <r>
    <s v="Ofsted Social Care Provider Webpage"/>
    <s v="SC439153"/>
    <s v="Children's home"/>
    <d v="2012-02-01T00:00:00"/>
    <s v="Active"/>
    <s v="REDACTED"/>
    <s v="East of England"/>
    <s v="East of England"/>
    <s v="Cambridgeshire"/>
    <s v="North East Cambridgeshire"/>
    <s v="Voluntary"/>
    <d v="2020-12-02T00:00:00"/>
    <d v="2021-01-04T00:00:00"/>
    <s v="N"/>
  </r>
  <r>
    <s v="Ofsted Social Care Provider Webpage"/>
    <n v="2540658"/>
    <s v="Children's home"/>
    <d v="2019-09-05T00:00:00"/>
    <s v="Active"/>
    <s v="REDACTED"/>
    <s v="North West"/>
    <s v="North West"/>
    <s v="Wirral"/>
    <s v="Wallasey"/>
    <s v="Private"/>
    <d v="2020-12-02T00:00:00"/>
    <d v="2021-01-18T00:00:00"/>
    <s v="Y"/>
  </r>
  <r>
    <s v="Ofsted Social Care Provider Webpage"/>
    <n v="2558515"/>
    <s v="Children's home"/>
    <d v="2019-12-19T00:00:00"/>
    <s v="Active"/>
    <s v="REDACTED"/>
    <s v="East Midlands"/>
    <s v="East Midlands"/>
    <s v="Derbyshire"/>
    <s v="South Derbyshire"/>
    <s v="Private"/>
    <d v="2020-12-02T00:00:00"/>
    <d v="2021-01-08T00:00:00"/>
    <s v="N"/>
  </r>
  <r>
    <s v="Ofsted Social Care Provider Webpage"/>
    <s v="SC452713"/>
    <s v="Children's home"/>
    <d v="2012-09-29T00:00:00"/>
    <s v="Active"/>
    <s v="REDACTED"/>
    <s v="South West"/>
    <s v="South West"/>
    <s v="South Gloucestershire"/>
    <s v="Filton and Bradley Stoke"/>
    <s v="Private"/>
    <d v="2020-12-02T00:00:00"/>
    <d v="2021-01-04T00:00:00"/>
    <s v="N"/>
  </r>
  <r>
    <s v="Ofsted Social Care Provider Webpage"/>
    <s v="SC037281"/>
    <s v="Children's home"/>
    <d v="2003-03-03T00:00:00"/>
    <s v="Active"/>
    <s v="REDACTED"/>
    <s v="East of England"/>
    <s v="East of England"/>
    <s v="Suffolk"/>
    <s v="Waveney"/>
    <s v="Local Authority"/>
    <d v="2020-12-02T00:00:00"/>
    <d v="2021-01-05T00:00:00"/>
    <s v="N"/>
  </r>
  <r>
    <s v="Ofsted Social Care Provider Webpage"/>
    <n v="1258831"/>
    <s v="Children's home"/>
    <d v="2017-08-04T00:00:00"/>
    <s v="Active"/>
    <s v="REDACTED"/>
    <s v="South East"/>
    <s v="South East"/>
    <s v="Hampshire"/>
    <s v="North West Hampshire"/>
    <s v="Private"/>
    <d v="2020-12-02T00:00:00"/>
    <d v="2021-01-19T00:00:00"/>
    <s v="N"/>
  </r>
  <r>
    <s v="Ofsted Social Care Provider Webpage"/>
    <s v="SC475088"/>
    <s v="Children's home"/>
    <d v="2014-09-03T00:00:00"/>
    <s v="Active"/>
    <s v="REDACTED"/>
    <s v="East of England"/>
    <s v="East of England"/>
    <s v="Essex"/>
    <s v="Harwich and North Essex"/>
    <s v="Private"/>
    <d v="2020-12-02T00:00:00"/>
    <d v="2021-01-04T00:00:00"/>
    <s v="N"/>
  </r>
  <r>
    <s v="Ofsted Social Care Provider Webpage"/>
    <n v="1223681"/>
    <s v="Children's home"/>
    <d v="2016-04-14T00:00:00"/>
    <s v="Active"/>
    <s v="REDACTED"/>
    <s v="North West"/>
    <s v="North West"/>
    <s v="Lancashire"/>
    <s v="Burnley"/>
    <s v="Private"/>
    <d v="2020-12-02T00:00:00"/>
    <d v="2021-01-05T00:00:00"/>
    <s v="N"/>
  </r>
  <r>
    <s v="Ofsted Social Care Provider Webpage"/>
    <n v="2569994"/>
    <s v="Children's home"/>
    <d v="2020-02-14T00:00:00"/>
    <s v="Active"/>
    <s v="REDACTED"/>
    <s v="West Midlands"/>
    <s v="West Midlands"/>
    <s v="Telford and Wrekin"/>
    <s v="Telford"/>
    <s v="Private"/>
    <d v="2020-12-02T00:00:00"/>
    <d v="2021-01-12T00:00:00"/>
    <s v="N"/>
  </r>
  <r>
    <s v="Ofsted Social Care Provider Webpage"/>
    <s v="SC482300"/>
    <s v="Residential special school (registered as a children's home)"/>
    <d v="2014-09-22T00:00:00"/>
    <s v="Active"/>
    <s v="REDACTED"/>
    <s v="South East"/>
    <s v="South East"/>
    <s v="West Sussex"/>
    <s v="Horsham"/>
    <s v="Private"/>
    <d v="2020-12-02T00:00:00"/>
    <d v="2021-01-19T00:00:00"/>
    <s v="N"/>
  </r>
  <r>
    <s v="Ofsted Social Care Provider Webpage"/>
    <s v="SC412296"/>
    <s v="Children's home"/>
    <d v="2010-11-15T00:00:00"/>
    <s v="Active"/>
    <s v="REDACTED"/>
    <s v="South East"/>
    <s v="South East"/>
    <s v="East Sussex"/>
    <s v="Bexhill and Battle"/>
    <s v="Private"/>
    <d v="2020-12-02T00:00:00"/>
    <d v="2021-01-21T00:00:00"/>
    <s v="N"/>
  </r>
  <r>
    <s v="Ofsted Social Care Provider Webpage"/>
    <n v="2546172"/>
    <s v="Children's home"/>
    <d v="2019-11-12T00:00:00"/>
    <s v="Active"/>
    <s v="REDACTED"/>
    <s v="West Midlands"/>
    <s v="West Midlands"/>
    <s v="Birmingham"/>
    <s v="Birmingham, Northfield"/>
    <s v="Private"/>
    <d v="2020-12-02T00:00:00"/>
    <d v="2021-01-18T00:00:00"/>
    <s v="Y"/>
  </r>
  <r>
    <s v="Ofsted Social Care Provider Webpage"/>
    <n v="1243868"/>
    <s v="Independent Fostering Agency"/>
    <d v="2016-12-08T00:00:00"/>
    <s v="Active"/>
    <s v="Fostering UK"/>
    <s v="East of England"/>
    <s v="East of England"/>
    <s v="Hertfordshire"/>
    <s v="Hertsmere"/>
    <s v="Private"/>
    <d v="2020-12-02T00:00:00"/>
    <d v="2021-01-04T00:00:00"/>
    <s v="N"/>
  </r>
  <r>
    <s v="Ofsted Social Care Provider Webpage"/>
    <s v="SC034851"/>
    <s v="Children's home"/>
    <d v="2003-09-19T00:00:00"/>
    <s v="Active"/>
    <s v="REDACTED"/>
    <s v="North West"/>
    <s v="North West"/>
    <s v="Rochdale"/>
    <s v="Rochdale"/>
    <s v="Local Authority"/>
    <d v="2020-12-02T00:00:00"/>
    <d v="2021-01-08T00:00:00"/>
    <s v="Y"/>
  </r>
  <r>
    <s v="Ofsted Social Care Provider Webpage"/>
    <n v="1241840"/>
    <s v="Children's home"/>
    <d v="2016-08-30T00:00:00"/>
    <s v="Active"/>
    <s v="REDACTED"/>
    <s v="South West"/>
    <s v="South West"/>
    <s v="Bath and North East Somerset"/>
    <s v="North East Somerset"/>
    <s v="Private"/>
    <d v="2020-12-02T00:00:00"/>
    <d v="2021-01-20T00:00:00"/>
    <s v="Y"/>
  </r>
  <r>
    <s v="Ofsted Social Care Provider Webpage"/>
    <s v="SC063883"/>
    <s v="Children's home"/>
    <d v="2005-04-01T00:00:00"/>
    <s v="Active"/>
    <s v="REDACTED"/>
    <s v="North East, Yorkshire and the Humber"/>
    <s v="Yorkshire and The Humber"/>
    <s v="Kirklees"/>
    <s v="Dewsbury"/>
    <s v="Private"/>
    <d v="2020-12-02T00:00:00"/>
    <d v="2021-01-11T00:00:00"/>
    <s v="N"/>
  </r>
  <r>
    <s v="Ofsted Social Care Provider Webpage"/>
    <s v="SC470284"/>
    <s v="Children's home"/>
    <d v="2013-10-15T00:00:00"/>
    <s v="Active"/>
    <s v="REDACTED"/>
    <s v="West Midlands"/>
    <s v="West Midlands"/>
    <s v="Sandwell"/>
    <s v="Warley"/>
    <s v="Private"/>
    <d v="2020-12-02T00:00:00"/>
    <d v="2020-12-30T00:00:00"/>
    <s v="N"/>
  </r>
  <r>
    <s v="Ofsted Social Care Provider Webpage"/>
    <s v="SC430022"/>
    <s v="Children's home"/>
    <d v="2011-06-02T00:00:00"/>
    <s v="Active"/>
    <s v="REDACTED"/>
    <s v="East of England"/>
    <s v="East of England"/>
    <s v="Suffolk"/>
    <s v="Bury St Edmunds"/>
    <s v="Local Authority"/>
    <d v="2020-12-02T00:00:00"/>
    <d v="2020-12-29T00:00:00"/>
    <s v="N"/>
  </r>
  <r>
    <s v="Ofsted Social Care Provider Webpage"/>
    <n v="2585407"/>
    <s v="Children's home"/>
    <d v="2020-07-09T00:00:00"/>
    <s v="Active"/>
    <s v="REDACTED"/>
    <s v="West Midlands"/>
    <s v="West Midlands"/>
    <s v="Shropshire"/>
    <s v="North Shropshire"/>
    <s v="Private"/>
    <d v="2020-12-02T00:00:00"/>
    <d v="2021-01-15T00:00:00"/>
    <s v="N"/>
  </r>
  <r>
    <s v="Ofsted Social Care Provider Webpage"/>
    <n v="2575004"/>
    <s v="Children's home"/>
    <d v="2020-03-31T00:00:00"/>
    <s v="Active"/>
    <s v="REDACTED"/>
    <s v="South West"/>
    <s v="South West"/>
    <s v="Gloucestershire"/>
    <s v="Stroud"/>
    <s v="Private"/>
    <d v="2020-12-02T00:00:00"/>
    <d v="2021-01-13T00:00:00"/>
    <s v="N"/>
  </r>
  <r>
    <s v="Ofsted Social Care Provider Webpage"/>
    <n v="2561501"/>
    <s v="Children's home"/>
    <d v="2020-04-17T00:00:00"/>
    <s v="Active"/>
    <s v="REDACTED"/>
    <s v="London"/>
    <s v="London"/>
    <s v="Enfield"/>
    <s v="Enfield North"/>
    <s v="Private"/>
    <d v="2020-12-02T00:00:00"/>
    <d v="2021-01-08T00:00:00"/>
    <s v="N"/>
  </r>
  <r>
    <s v="Ofsted Social Care Provider Webpage"/>
    <s v="SC001531"/>
    <s v="Children's home"/>
    <d v="2002-04-01T00:00:00"/>
    <s v="Active"/>
    <s v="REDACTED"/>
    <s v="North East, Yorkshire and the Humber"/>
    <s v="Yorkshire and The Humber"/>
    <s v="Leeds"/>
    <s v="Leeds East"/>
    <s v="Voluntary"/>
    <d v="2020-12-02T00:00:00"/>
    <d v="2021-01-08T00:00:00"/>
    <s v="N"/>
  </r>
  <r>
    <s v="Ofsted Social Care Provider Webpage"/>
    <n v="2517299"/>
    <s v="Children's home"/>
    <d v="2019-05-04T00:00:00"/>
    <s v="Active"/>
    <s v="REDACTED"/>
    <s v="South East"/>
    <s v="South East"/>
    <s v="Buckinghamshire"/>
    <s v="Aylesbury"/>
    <s v="Local Authority"/>
    <d v="2020-12-02T00:00:00"/>
    <d v="2021-01-19T00:00:00"/>
    <s v="N"/>
  </r>
  <r>
    <s v="Ofsted Social Care Provider Webpage"/>
    <n v="1378486"/>
    <s v="Independent Fostering Agency"/>
    <d v="2018-06-04T00:00:00"/>
    <s v="Active"/>
    <s v="The Fostering Foundation"/>
    <s v="South West"/>
    <s v="South West"/>
    <s v="Devon"/>
    <s v="Torridge and West Devon"/>
    <s v="Private"/>
    <d v="2020-12-02T00:00:00"/>
    <d v="2021-01-15T00:00:00"/>
    <s v="N"/>
  </r>
  <r>
    <s v="Ofsted Social Care Provider Webpage"/>
    <n v="2597567"/>
    <s v="Children's home"/>
    <d v="2020-07-02T00:00:00"/>
    <s v="Active"/>
    <s v="REDACTED"/>
    <s v="North East, Yorkshire and the Humber"/>
    <s v="Yorkshire and The Humber"/>
    <s v="Rotherham"/>
    <s v="Rother Valley"/>
    <s v="Local Authority"/>
    <d v="2020-12-02T00:00:00"/>
    <d v="2021-01-21T00:00:00"/>
    <s v="N"/>
  </r>
  <r>
    <s v="Ofsted Social Care Provider Webpage"/>
    <s v="SC372630"/>
    <s v="Children's home"/>
    <d v="2008-07-02T00:00:00"/>
    <s v="Active"/>
    <s v="REDACTED"/>
    <s v="West Midlands"/>
    <s v="West Midlands"/>
    <s v="Telford and Wrekin"/>
    <s v="Telford"/>
    <s v="Private"/>
    <d v="2020-12-02T00:00:00"/>
    <d v="2021-01-08T00:00:00"/>
    <s v="N"/>
  </r>
  <r>
    <s v="Ofsted Social Care Provider Webpage"/>
    <n v="1252937"/>
    <s v="Children's home"/>
    <d v="2017-03-02T00:00:00"/>
    <s v="Active"/>
    <s v="REDACTED"/>
    <s v="South East"/>
    <s v="South East"/>
    <s v="West Sussex"/>
    <s v="Arundel and South Downs"/>
    <s v="Private"/>
    <d v="2020-12-02T00:00:00"/>
    <d v="2021-01-21T00:00:00"/>
    <s v="N"/>
  </r>
  <r>
    <s v="Ofsted Social Care Provider Webpage"/>
    <s v="SC446152"/>
    <s v="Children's home"/>
    <d v="2012-07-13T00:00:00"/>
    <s v="Active"/>
    <s v="REDACTED"/>
    <s v="West Midlands"/>
    <s v="West Midlands"/>
    <s v="Birmingham"/>
    <s v="Birmingham, Ladywood"/>
    <s v="Private"/>
    <d v="2020-12-02T00:00:00"/>
    <d v="2021-01-08T00:00:00"/>
    <s v="N"/>
  </r>
  <r>
    <s v="Ofsted Social Care Provider Webpage"/>
    <s v="SC400301"/>
    <s v="Children's home"/>
    <d v="2009-09-21T00:00:00"/>
    <s v="Active"/>
    <s v="REDACTED"/>
    <s v="East of England"/>
    <s v="East of England"/>
    <s v="Hertfordshire"/>
    <s v="Stevenage"/>
    <s v="Local Authority"/>
    <d v="2020-12-02T00:00:00"/>
    <d v="2021-01-04T00:00:00"/>
    <s v="N"/>
  </r>
  <r>
    <s v="Ofsted Social Care Provider Webpage"/>
    <n v="2503306"/>
    <s v="Children's home"/>
    <d v="2019-05-29T00:00:00"/>
    <s v="Active"/>
    <s v="REDACTED"/>
    <s v="East Midlands"/>
    <s v="East Midlands"/>
    <s v="Lincolnshire"/>
    <s v="South Holland and The Deepings"/>
    <s v="Private"/>
    <d v="2020-12-02T00:00:00"/>
    <d v="2021-01-04T00:00:00"/>
    <s v="N"/>
  </r>
  <r>
    <s v="Ofsted Social Care Provider Webpage"/>
    <s v="SC366080"/>
    <s v="Children's home"/>
    <d v="2008-01-07T00:00:00"/>
    <s v="Active"/>
    <s v="REDACTED"/>
    <s v="West Midlands"/>
    <s v="West Midlands"/>
    <s v="Shropshire"/>
    <s v="North Shropshire"/>
    <s v="Private"/>
    <d v="2020-12-02T00:00:00"/>
    <d v="2021-01-08T00:00:00"/>
    <s v="N"/>
  </r>
  <r>
    <s v="Ofsted Social Care Provider Webpage"/>
    <n v="1235818"/>
    <s v="Children's home"/>
    <d v="2016-06-09T00:00:00"/>
    <s v="Active"/>
    <s v="REDACTED"/>
    <s v="North East, Yorkshire and the Humber"/>
    <s v="Yorkshire and The Humber"/>
    <s v="North Yorkshire"/>
    <s v="Selby and Ainsty"/>
    <s v="Private"/>
    <d v="2020-12-02T00:00:00"/>
    <d v="2021-01-12T00:00:00"/>
    <s v="N"/>
  </r>
  <r>
    <s v="Ofsted Social Care Provider Webpage"/>
    <s v="SC415347"/>
    <s v="Children's home"/>
    <d v="2010-09-12T00:00:00"/>
    <s v="Active"/>
    <s v="REDACTED"/>
    <s v="West Midlands"/>
    <s v="West Midlands"/>
    <s v="Staffordshire"/>
    <s v="Stone"/>
    <s v="Private"/>
    <d v="2020-12-02T00:00:00"/>
    <d v="2021-01-08T00:00:00"/>
    <s v="N"/>
  </r>
  <r>
    <s v="Ofsted Social Care Provider Webpage"/>
    <n v="1155775"/>
    <s v="Children's home"/>
    <d v="2015-09-24T00:00:00"/>
    <s v="Active"/>
    <s v="REDACTED"/>
    <s v="North West"/>
    <s v="North West"/>
    <s v="Manchester"/>
    <s v="Manchester, Gorton"/>
    <s v="Private"/>
    <d v="2020-12-02T00:00:00"/>
    <d v="2021-01-20T00:00:00"/>
    <s v="N"/>
  </r>
  <r>
    <s v="Ofsted Social Care Provider Webpage"/>
    <n v="2563216"/>
    <s v="Children's home"/>
    <d v="2019-11-21T00:00:00"/>
    <s v="Active"/>
    <s v="REDACTED"/>
    <s v="North East, Yorkshire and the Humber"/>
    <s v="Yorkshire and The Humber"/>
    <s v="North East Lincolnshire"/>
    <s v="Great Grimsby"/>
    <s v="Local Authority"/>
    <d v="2020-09-03T00:00:00"/>
    <d v="2020-11-04T00:00:00"/>
    <s v="N"/>
  </r>
  <r>
    <s v="Ofsted Social Care Provider Webpage"/>
    <s v="SC481631"/>
    <s v="Children's home"/>
    <d v="2015-02-16T00:00:00"/>
    <s v="Active"/>
    <s v="REDACTED"/>
    <s v="North East, Yorkshire and the Humber"/>
    <s v="Yorkshire and The Humber"/>
    <s v="North Yorkshire"/>
    <s v="Richmond (Yorks)"/>
    <s v="Private"/>
    <d v="2020-09-03T00:00:00"/>
    <d v="2020-10-15T00:00:00"/>
    <s v="N"/>
  </r>
  <r>
    <s v="Ofsted Social Care Provider Webpage"/>
    <s v="SC361789"/>
    <s v="Children's home"/>
    <d v="2007-10-05T00:00:00"/>
    <s v="Active"/>
    <s v="REDACTED"/>
    <s v="South West"/>
    <s v="South West"/>
    <s v="Cornwall"/>
    <s v="St Austell and Newquay"/>
    <s v="Local Authority"/>
    <d v="2020-09-03T00:00:00"/>
    <d v="2020-10-16T00:00:00"/>
    <s v="N"/>
  </r>
  <r>
    <s v="Ofsted Social Care Provider Webpage"/>
    <s v="SC472392"/>
    <s v="Children's home"/>
    <d v="2014-01-03T00:00:00"/>
    <s v="Active"/>
    <s v="REDACTED"/>
    <s v="North East, Yorkshire and the Humber"/>
    <s v="North East"/>
    <s v="Middlesbrough"/>
    <s v="Middlesbrough"/>
    <s v="Local Authority"/>
    <d v="2020-09-03T00:00:00"/>
    <d v="2020-11-24T00:00:00"/>
    <s v="Y"/>
  </r>
  <r>
    <s v="Ofsted Social Care Provider Webpage"/>
    <s v="SC374640"/>
    <s v="Children's home"/>
    <d v="2008-05-09T00:00:00"/>
    <s v="Active"/>
    <s v="REDACTED"/>
    <s v="South West"/>
    <s v="South West"/>
    <s v="South Gloucestershire"/>
    <s v="Filton and Bradley Stoke"/>
    <s v="Private"/>
    <d v="2020-09-03T00:00:00"/>
    <d v="2020-10-06T00:00:00"/>
    <s v="N"/>
  </r>
  <r>
    <s v="Ofsted Social Care Provider Webpage"/>
    <s v="SC034797"/>
    <s v="Children's home"/>
    <d v="2003-12-24T00:00:00"/>
    <s v="Active"/>
    <s v="REDACTED"/>
    <s v="East of England"/>
    <s v="East of England"/>
    <s v="Norfolk"/>
    <s v="South Norfolk"/>
    <s v="Local Authority"/>
    <d v="2020-09-03T00:00:00"/>
    <d v="2020-10-07T00:00:00"/>
    <s v="N"/>
  </r>
  <r>
    <s v="Ofsted Social Care Provider Webpage"/>
    <s v="SC447645"/>
    <s v="Children's home"/>
    <d v="2012-10-18T00:00:00"/>
    <s v="Active"/>
    <s v="REDACTED"/>
    <s v="West Midlands"/>
    <s v="West Midlands"/>
    <s v="Staffordshire"/>
    <s v="Stone"/>
    <s v="Private"/>
    <d v="2020-09-03T00:00:00"/>
    <d v="2020-10-09T00:00:00"/>
    <s v="N"/>
  </r>
  <r>
    <s v="Ofsted Social Care Provider Webpage"/>
    <n v="2513340"/>
    <s v="Children's home"/>
    <d v="2020-01-13T00:00:00"/>
    <s v="Active"/>
    <s v="REDACTED"/>
    <s v="West Midlands"/>
    <s v="West Midlands"/>
    <s v="Wolverhampton"/>
    <s v="Wolverhampton North East"/>
    <s v="Private"/>
    <d v="2020-09-03T00:00:00"/>
    <d v="2020-10-07T00:00:00"/>
    <s v="N"/>
  </r>
  <r>
    <s v="Ofsted Social Care Provider Webpage"/>
    <s v="SC037256"/>
    <s v="Children's home"/>
    <d v="2003-03-17T00:00:00"/>
    <s v="Active"/>
    <s v="REDACTED"/>
    <s v="East of England"/>
    <s v="East of England"/>
    <s v="Suffolk"/>
    <s v="Waveney"/>
    <s v="Local Authority"/>
    <d v="2020-09-03T00:00:00"/>
    <d v="2020-10-23T00:00:00"/>
    <s v="N"/>
  </r>
  <r>
    <s v="Ofsted Social Care Provider Webpage"/>
    <n v="2530253"/>
    <s v="Children's home"/>
    <d v="2019-08-12T00:00:00"/>
    <s v="Active"/>
    <s v="REDACTED"/>
    <s v="North East, Yorkshire and the Humber"/>
    <s v="North East"/>
    <s v="Northumberland"/>
    <s v="Wansbeck"/>
    <s v="Private"/>
    <d v="2020-09-03T00:00:00"/>
    <d v="2020-10-07T00:00:00"/>
    <s v="N"/>
  </r>
  <r>
    <s v="Ofsted Social Care Provider Webpage"/>
    <s v="SC397933"/>
    <s v="Children's home"/>
    <d v="2009-07-30T00:00:00"/>
    <s v="Active"/>
    <s v="REDACTED"/>
    <s v="West Midlands"/>
    <s v="West Midlands"/>
    <s v="Telford and Wrekin"/>
    <s v="Telford"/>
    <s v="Private"/>
    <d v="2020-11-03T00:00:00"/>
    <d v="2020-12-16T00:00:00"/>
    <s v="N"/>
  </r>
  <r>
    <s v="Ofsted Social Care Provider Webpage"/>
    <n v="2549629"/>
    <s v="Children's home"/>
    <d v="2020-03-09T00:00:00"/>
    <s v="Active"/>
    <s v="REDACTED"/>
    <s v="South West"/>
    <s v="South West"/>
    <s v="Devon"/>
    <s v="Tiverton and Honiton"/>
    <s v="Private"/>
    <d v="2020-11-03T00:00:00"/>
    <d v="2020-12-07T00:00:00"/>
    <s v="N"/>
  </r>
  <r>
    <s v="Ofsted Social Care Provider Webpage"/>
    <s v="SC039900"/>
    <s v="Children's home"/>
    <d v="2003-04-22T00:00:00"/>
    <s v="Active"/>
    <s v="REDACTED"/>
    <s v="West Midlands"/>
    <s v="West Midlands"/>
    <s v="Dudley"/>
    <s v="Dudley North"/>
    <s v="Local Authority"/>
    <d v="2020-11-03T00:00:00"/>
    <d v="2020-12-09T00:00:00"/>
    <s v="N"/>
  </r>
  <r>
    <s v="Ofsted Social Care Provider Webpage"/>
    <s v="SC456911"/>
    <s v="Children's home"/>
    <d v="2013-02-25T00:00:00"/>
    <s v="Active"/>
    <s v="REDACTED"/>
    <s v="East of England"/>
    <s v="East of England"/>
    <s v="Cambridgeshire"/>
    <s v="North East Cambridgeshire"/>
    <s v="Private"/>
    <d v="2020-11-03T00:00:00"/>
    <d v="2020-11-30T00:00:00"/>
    <s v="N"/>
  </r>
  <r>
    <s v="Ofsted Social Care Provider Webpage"/>
    <s v="SC004085"/>
    <s v="Children's home"/>
    <d v="1995-09-04T00:00:00"/>
    <s v="Active"/>
    <s v="REDACTED"/>
    <s v="South West"/>
    <s v="South West"/>
    <s v="Bournemouth, Christchurch &amp; Poole"/>
    <s v="Bournemouth West"/>
    <s v="Voluntary"/>
    <d v="2020-11-03T00:00:00"/>
    <d v="2020-12-03T00:00:00"/>
    <s v="N"/>
  </r>
  <r>
    <s v="Ofsted Social Care Provider Webpage"/>
    <s v="SC055153"/>
    <s v="Children's home"/>
    <d v="2003-12-23T00:00:00"/>
    <s v="Active"/>
    <s v="REDACTED"/>
    <s v="North West"/>
    <s v="North West"/>
    <s v="Lancashire"/>
    <s v="West Lancashire"/>
    <s v="Private"/>
    <d v="2020-11-03T00:00:00"/>
    <d v="2020-12-01T00:00:00"/>
    <s v="N"/>
  </r>
  <r>
    <s v="Ofsted Social Care Provider Webpage"/>
    <n v="2555815"/>
    <s v="Residential Family Centre"/>
    <d v="2019-12-06T00:00:00"/>
    <s v="Active"/>
    <s v="Care 2 Share Ltd"/>
    <s v="London"/>
    <s v="London"/>
    <s v="Waltham Forest"/>
    <s v="Chingford and Woodford Green"/>
    <s v="Private"/>
    <d v="2020-11-03T00:00:00"/>
    <d v="2020-12-30T00:00:00"/>
    <s v="N"/>
  </r>
  <r>
    <s v="Ofsted Social Care Provider Webpage"/>
    <s v="SC425708"/>
    <s v="Residential Special School"/>
    <d v="2011-02-03T00:00:00"/>
    <s v="Active"/>
    <s v="Gretton School"/>
    <s v="East of England"/>
    <s v="East of England"/>
    <s v="Cambridgeshire"/>
    <s v="South Cambridgeshire"/>
    <s v="Private"/>
    <d v="2020-11-03T00:00:00"/>
    <d v="2020-11-25T00:00:00"/>
    <s v="N"/>
  </r>
  <r>
    <s v="Ofsted Social Care Provider Webpage"/>
    <n v="1247776"/>
    <s v="Children's home"/>
    <d v="2016-12-01T00:00:00"/>
    <s v="Active"/>
    <s v="REDACTED"/>
    <s v="North West"/>
    <s v="North West"/>
    <s v="Liverpool"/>
    <s v="Liverpool, Walton"/>
    <s v="Private"/>
    <d v="2020-11-03T00:00:00"/>
    <d v="2020-12-30T00:00:00"/>
    <s v="N"/>
  </r>
  <r>
    <s v="Ofsted Social Care Provider Webpage"/>
    <s v="SC023744"/>
    <s v="Children's home"/>
    <d v="2001-07-16T00:00:00"/>
    <s v="Active"/>
    <s v="REDACTED"/>
    <s v="South East"/>
    <s v="South East"/>
    <s v="Kent"/>
    <s v="South Thanet"/>
    <s v="Private"/>
    <d v="2020-11-03T00:00:00"/>
    <d v="2020-12-16T00:00:00"/>
    <s v="N"/>
  </r>
  <r>
    <s v="Ofsted Social Care Provider Webpage"/>
    <s v="SC034922"/>
    <s v="Children's home"/>
    <d v="2003-09-19T00:00:00"/>
    <s v="Active"/>
    <s v="REDACTED"/>
    <s v="North West"/>
    <s v="North West"/>
    <s v="Rochdale"/>
    <s v="Heywood and Middleton"/>
    <s v="Local Authority"/>
    <d v="2020-11-03T00:00:00"/>
    <d v="2020-12-08T00:00:00"/>
    <s v="N"/>
  </r>
  <r>
    <s v="Ofsted Social Care Provider Webpage"/>
    <s v="SC423617"/>
    <s v="Children's home"/>
    <d v="2011-04-08T00:00:00"/>
    <s v="Active"/>
    <s v="REDACTED"/>
    <s v="West Midlands"/>
    <s v="West Midlands"/>
    <s v="Birmingham"/>
    <s v="Sutton Coldfield"/>
    <s v="Private"/>
    <d v="2020-11-03T00:00:00"/>
    <d v="2020-12-14T00:00:00"/>
    <s v="N"/>
  </r>
  <r>
    <s v="Ofsted Social Care Provider Webpage"/>
    <s v="SC483828"/>
    <s v="Children's home"/>
    <d v="2014-12-04T00:00:00"/>
    <s v="Active"/>
    <s v="REDACTED"/>
    <s v="North West"/>
    <s v="North West"/>
    <s v="Stockport"/>
    <s v="Denton and Reddish"/>
    <s v="Private"/>
    <d v="2020-11-03T00:00:00"/>
    <d v="2020-12-14T00:00:00"/>
    <s v="N"/>
  </r>
  <r>
    <s v="Ofsted Social Care Provider Webpage"/>
    <s v="SC488930"/>
    <s v="Children's home"/>
    <d v="2015-07-28T00:00:00"/>
    <s v="Active"/>
    <s v="REDACTED"/>
    <s v="East Midlands"/>
    <s v="East Midlands"/>
    <s v="Leicester"/>
    <s v="Leicester West"/>
    <s v="Private"/>
    <d v="2020-11-03T00:00:00"/>
    <d v="2020-11-30T00:00:00"/>
    <s v="N"/>
  </r>
  <r>
    <s v="Ofsted Social Care Provider Webpage"/>
    <n v="1231311"/>
    <s v="Children's home"/>
    <d v="2016-08-08T00:00:00"/>
    <s v="Active"/>
    <s v="REDACTED"/>
    <s v="West Midlands"/>
    <s v="West Midlands"/>
    <s v="Telford and Wrekin"/>
    <s v="The Wrekin"/>
    <s v="Private"/>
    <d v="2020-11-03T00:00:00"/>
    <d v="2020-11-30T00:00:00"/>
    <s v="N"/>
  </r>
  <r>
    <s v="Ofsted Social Care Provider Webpage"/>
    <n v="1266835"/>
    <s v="Children's home"/>
    <d v="2017-10-25T00:00:00"/>
    <s v="Active"/>
    <s v="REDACTED"/>
    <s v="South West"/>
    <s v="South West"/>
    <s v="Bath and North East Somerset"/>
    <s v="Bath"/>
    <s v="Private"/>
    <d v="2020-11-03T00:00:00"/>
    <d v="2020-11-30T00:00:00"/>
    <s v="N"/>
  </r>
  <r>
    <s v="Ofsted Social Care Provider Webpage"/>
    <n v="1280412"/>
    <s v="Children's home"/>
    <d v="2018-06-25T00:00:00"/>
    <s v="Active"/>
    <s v="REDACTED"/>
    <s v="North West"/>
    <s v="North West"/>
    <s v="Wigan"/>
    <s v="Leigh"/>
    <s v="Private"/>
    <d v="2020-11-03T00:00:00"/>
    <d v="2020-11-27T00:00:00"/>
    <s v="N"/>
  </r>
  <r>
    <s v="Ofsted Social Care Provider Webpage"/>
    <s v="SC374268"/>
    <s v="Children's home"/>
    <d v="2008-07-17T00:00:00"/>
    <s v="Active"/>
    <s v="REDACTED"/>
    <s v="West Midlands"/>
    <s v="West Midlands"/>
    <s v="Sandwell"/>
    <s v="Warley"/>
    <s v="Private"/>
    <d v="2020-11-03T00:00:00"/>
    <d v="2020-11-26T00:00:00"/>
    <s v="N"/>
  </r>
  <r>
    <s v="Ofsted Social Care Provider Webpage"/>
    <n v="1267537"/>
    <s v="Children's home"/>
    <d v="2017-12-11T00:00:00"/>
    <s v="Active"/>
    <s v="REDACTED"/>
    <s v="East Midlands"/>
    <s v="East Midlands"/>
    <s v="Derbyshire"/>
    <s v="Erewash"/>
    <s v="Private"/>
    <d v="2020-11-03T00:00:00"/>
    <d v="2020-11-27T00:00:00"/>
    <s v="N"/>
  </r>
  <r>
    <s v="Ofsted Social Care Provider Webpage"/>
    <s v="SC472795"/>
    <s v="Children's home"/>
    <d v="2014-01-02T00:00:00"/>
    <s v="Active"/>
    <s v="REDACTED"/>
    <s v="North East, Yorkshire and the Humber"/>
    <s v="North East"/>
    <s v="Newcastle upon Tyne"/>
    <s v="Newcastle upon Tyne East"/>
    <s v="Private"/>
    <d v="2020-11-03T00:00:00"/>
    <d v="2020-12-16T00:00:00"/>
    <s v="Y"/>
  </r>
  <r>
    <s v="Ofsted Social Care Provider Webpage"/>
    <s v="SC429369"/>
    <s v="Children's home"/>
    <d v="2011-06-14T00:00:00"/>
    <s v="Active"/>
    <s v="REDACTED"/>
    <s v="East of England"/>
    <s v="East of England"/>
    <s v="Bedford"/>
    <s v="Bedford"/>
    <s v="Private"/>
    <d v="2020-11-03T00:00:00"/>
    <d v="2020-12-02T00:00:00"/>
    <s v="N"/>
  </r>
  <r>
    <s v="Ofsted Social Care Provider Webpage"/>
    <s v="SC065374"/>
    <s v="Children's home"/>
    <d v="2005-08-03T00:00:00"/>
    <s v="Active"/>
    <s v="REDACTED"/>
    <s v="North West"/>
    <s v="North West"/>
    <s v="Stockport"/>
    <s v="Stockport"/>
    <s v="Private"/>
    <d v="2020-11-03T00:00:00"/>
    <d v="2020-12-01T00:00:00"/>
    <s v="N"/>
  </r>
  <r>
    <s v="Ofsted Social Care Provider Webpage"/>
    <s v="SC040723"/>
    <s v="Children's home"/>
    <d v="2003-07-18T00:00:00"/>
    <s v="Active"/>
    <s v="REDACTED"/>
    <s v="North West"/>
    <s v="North West"/>
    <s v="Bolton"/>
    <s v="Bolton North East"/>
    <s v="Local Authority"/>
    <d v="2020-11-03T00:00:00"/>
    <d v="2020-12-08T00:00:00"/>
    <s v="Y"/>
  </r>
  <r>
    <s v="Ofsted Social Care Provider Webpage"/>
    <n v="2496288"/>
    <s v="Children's home"/>
    <d v="2019-06-13T00:00:00"/>
    <s v="Active"/>
    <s v="REDACTED"/>
    <s v="West Midlands"/>
    <s v="West Midlands"/>
    <s v="Wolverhampton"/>
    <s v="Wolverhampton South West"/>
    <s v="Local Authority"/>
    <d v="2020-11-03T00:00:00"/>
    <d v="2020-12-03T00:00:00"/>
    <s v="N"/>
  </r>
  <r>
    <s v="Ofsted Social Care Provider Webpage"/>
    <n v="1264696"/>
    <s v="Children's home"/>
    <d v="2018-01-12T00:00:00"/>
    <s v="Suspended"/>
    <s v="REDACTED"/>
    <s v="North West"/>
    <s v="North West"/>
    <s v="Oldham"/>
    <s v="Oldham West and Royton"/>
    <s v="Private"/>
    <d v="2020-11-03T00:00:00"/>
    <d v="2020-12-29T00:00:00"/>
    <s v="Y"/>
  </r>
  <r>
    <s v="Ofsted Social Care Provider Webpage"/>
    <s v="SC437486"/>
    <s v="Children's home"/>
    <d v="2012-02-24T00:00:00"/>
    <s v="Active"/>
    <s v="REDACTED"/>
    <s v="West Midlands"/>
    <s v="West Midlands"/>
    <s v="Sandwell"/>
    <s v="Halesowen and Rowley Regis"/>
    <s v="Private"/>
    <d v="2020-11-03T00:00:00"/>
    <d v="2020-12-07T00:00:00"/>
    <s v="N"/>
  </r>
  <r>
    <s v="Ofsted Social Care Provider Webpage"/>
    <s v="SC033056"/>
    <s v="Children's home"/>
    <d v="2003-03-31T00:00:00"/>
    <s v="Active"/>
    <s v="REDACTED"/>
    <s v="West Midlands"/>
    <s v="West Midlands"/>
    <s v="Coventry"/>
    <s v="Coventry North East"/>
    <s v="Local Authority"/>
    <d v="2020-11-03T00:00:00"/>
    <d v="2020-12-08T00:00:00"/>
    <s v="N"/>
  </r>
  <r>
    <s v="Ofsted Social Care Provider Webpage"/>
    <n v="1212117"/>
    <s v="Children's home"/>
    <d v="2015-12-01T00:00:00"/>
    <s v="Active"/>
    <s v="REDACTED"/>
    <s v="East Midlands"/>
    <s v="East Midlands"/>
    <s v="Nottinghamshire"/>
    <s v="Gedling"/>
    <s v="Private"/>
    <d v="2020-11-03T00:00:00"/>
    <d v="2020-12-21T00:00:00"/>
    <s v="N"/>
  </r>
  <r>
    <s v="Ofsted Social Care Provider Webpage"/>
    <n v="2532036"/>
    <s v="Children's home"/>
    <d v="2019-05-01T00:00:00"/>
    <s v="Active"/>
    <s v="REDACTED"/>
    <s v="North West"/>
    <s v="North West"/>
    <s v="Lancashire"/>
    <s v="Fylde"/>
    <s v="Private"/>
    <d v="2020-12-03T00:00:00"/>
    <d v="2021-01-13T00:00:00"/>
    <s v="N"/>
  </r>
  <r>
    <s v="Ofsted Social Care Provider Webpage"/>
    <n v="1247559"/>
    <s v="Children's home"/>
    <d v="2017-02-21T00:00:00"/>
    <s v="Active"/>
    <s v="REDACTED"/>
    <s v="North West"/>
    <s v="North West"/>
    <s v="Lancashire"/>
    <s v="Morecambe and Lunesdale"/>
    <s v="Private"/>
    <d v="2020-12-03T00:00:00"/>
    <d v="2021-01-13T00:00:00"/>
    <s v="N"/>
  </r>
  <r>
    <s v="Ofsted Social Care Provider Webpage"/>
    <s v="SC030967"/>
    <s v="Children's home"/>
    <d v="2003-03-17T00:00:00"/>
    <s v="Active"/>
    <s v="REDACTED"/>
    <s v="North East, Yorkshire and the Humber"/>
    <s v="North East"/>
    <s v="Hartlepool"/>
    <s v="Hartlepool"/>
    <s v="Local Authority"/>
    <d v="2020-12-03T00:00:00"/>
    <d v="2021-01-20T00:00:00"/>
    <s v="N"/>
  </r>
  <r>
    <s v="Ofsted Social Care Provider Webpage"/>
    <n v="2592531"/>
    <s v="Children's home"/>
    <d v="2020-07-01T00:00:00"/>
    <s v="Active"/>
    <s v="REDACTED"/>
    <s v="South West"/>
    <s v="South West"/>
    <s v="Somerset"/>
    <s v="Bridgwater and West Somerset"/>
    <s v="Private"/>
    <d v="2020-12-03T00:00:00"/>
    <d v="2021-01-11T00:00:00"/>
    <s v="N"/>
  </r>
  <r>
    <s v="Ofsted Social Care Provider Webpage"/>
    <s v="SC020611"/>
    <s v="Children's home"/>
    <d v="2001-08-06T00:00:00"/>
    <s v="Active"/>
    <s v="REDACTED"/>
    <s v="West Midlands"/>
    <s v="West Midlands"/>
    <s v="Shropshire"/>
    <s v="North Shropshire"/>
    <s v="Private"/>
    <d v="2020-12-03T00:00:00"/>
    <d v="2021-01-12T00:00:00"/>
    <s v="N"/>
  </r>
  <r>
    <s v="Ofsted Social Care Provider Webpage"/>
    <s v="SC011972"/>
    <s v="Children's home"/>
    <d v="1992-12-15T00:00:00"/>
    <s v="Active"/>
    <s v="REDACTED"/>
    <s v="South East"/>
    <s v="South East"/>
    <s v="Hampshire"/>
    <s v="North West Hampshire"/>
    <s v="Private"/>
    <d v="2020-12-03T00:00:00"/>
    <d v="2021-01-21T00:00:00"/>
    <s v="N"/>
  </r>
  <r>
    <s v="Ofsted Social Care Provider Webpage"/>
    <n v="1245390"/>
    <s v="Children's home"/>
    <d v="2016-11-04T00:00:00"/>
    <s v="Active"/>
    <s v="REDACTED"/>
    <s v="East Midlands"/>
    <s v="East Midlands"/>
    <s v="Derbyshire"/>
    <s v="South Derbyshire"/>
    <s v="Private"/>
    <d v="2020-12-03T00:00:00"/>
    <d v="2021-01-12T00:00:00"/>
    <s v="Y"/>
  </r>
  <r>
    <s v="Ofsted Social Care Provider Webpage"/>
    <n v="1268883"/>
    <s v="Independent Fostering Agency"/>
    <d v="2017-12-21T00:00:00"/>
    <s v="Active"/>
    <s v="Caring Hearts Fostering Ltd"/>
    <s v="London"/>
    <s v="London"/>
    <s v="Ealing"/>
    <s v="Ealing North"/>
    <s v="Private"/>
    <d v="2020-12-03T00:00:00"/>
    <d v="2021-01-13T00:00:00"/>
    <s v="N"/>
  </r>
  <r>
    <s v="Ofsted Social Care Provider Webpage"/>
    <n v="1247885"/>
    <s v="Children's home"/>
    <d v="2017-01-30T00:00:00"/>
    <s v="Active"/>
    <s v="REDACTED"/>
    <s v="North West"/>
    <s v="North West"/>
    <s v="Cumbria"/>
    <s v="Penrith and The Border"/>
    <s v="Voluntary"/>
    <d v="2020-12-03T00:00:00"/>
    <d v="2021-01-13T00:00:00"/>
    <s v="N"/>
  </r>
  <r>
    <s v="Ofsted Social Care Provider Webpage"/>
    <s v="SC397987"/>
    <s v="Children's home"/>
    <d v="2009-10-20T00:00:00"/>
    <s v="Active"/>
    <s v="REDACTED"/>
    <s v="North West"/>
    <s v="North West"/>
    <s v="Cheshire West and Chester"/>
    <s v="Tatton"/>
    <s v="Private"/>
    <d v="2020-12-03T00:00:00"/>
    <d v="2021-01-08T00:00:00"/>
    <s v="N"/>
  </r>
  <r>
    <s v="Ofsted Social Care Provider Webpage"/>
    <s v="SC008608"/>
    <s v="Children's home"/>
    <d v="2001-07-02T00:00:00"/>
    <s v="Active"/>
    <s v="REDACTED"/>
    <s v="North West"/>
    <s v="North West"/>
    <s v="Stockport"/>
    <s v="Denton and Reddish"/>
    <s v="Private"/>
    <d v="2020-12-03T00:00:00"/>
    <d v="2021-01-19T00:00:00"/>
    <s v="N"/>
  </r>
  <r>
    <s v="Ofsted Social Care Provider Webpage"/>
    <n v="2530977"/>
    <s v="Children's home"/>
    <d v="2019-05-31T00:00:00"/>
    <s v="Active"/>
    <s v="REDACTED"/>
    <s v="South West"/>
    <s v="South West"/>
    <s v="Cornwall"/>
    <s v="Truro and Falmouth"/>
    <s v="Voluntary"/>
    <d v="2020-11-04T00:00:00"/>
    <d v="2020-12-07T00:00:00"/>
    <s v="N"/>
  </r>
  <r>
    <s v="Ofsted Social Care Provider Webpage"/>
    <s v="SC069128"/>
    <s v="Children's home"/>
    <d v="2007-02-19T00:00:00"/>
    <s v="Active"/>
    <s v="REDACTED"/>
    <s v="South East"/>
    <s v="South East"/>
    <s v="Oxfordshire"/>
    <s v="Oxford East"/>
    <s v="Voluntary"/>
    <d v="2020-11-04T00:00:00"/>
    <d v="2021-01-04T00:00:00"/>
    <s v="N"/>
  </r>
  <r>
    <s v="Ofsted Social Care Provider Webpage"/>
    <s v="SC028460"/>
    <s v="Children's home"/>
    <d v="2002-04-30T00:00:00"/>
    <s v="Active"/>
    <s v="REDACTED"/>
    <s v="London"/>
    <s v="London"/>
    <s v="Haringey"/>
    <s v="Tottenham"/>
    <s v="Private"/>
    <d v="2020-11-04T00:00:00"/>
    <d v="2020-12-08T00:00:00"/>
    <s v="N"/>
  </r>
  <r>
    <s v="Ofsted Social Care Provider Webpage"/>
    <n v="2538287"/>
    <s v="Children's home"/>
    <d v="2019-07-10T00:00:00"/>
    <s v="Active"/>
    <s v="REDACTED"/>
    <s v="West Midlands"/>
    <s v="West Midlands"/>
    <s v="Stoke-on-Trent"/>
    <s v="Stoke-on-Trent South"/>
    <s v="Local Authority"/>
    <d v="2020-11-04T00:00:00"/>
    <d v="2020-11-27T00:00:00"/>
    <s v="N"/>
  </r>
  <r>
    <s v="Ofsted Social Care Provider Webpage"/>
    <s v="SC035976"/>
    <s v="Children's home"/>
    <d v="2003-12-22T00:00:00"/>
    <s v="Active"/>
    <s v="REDACTED"/>
    <s v="East Midlands"/>
    <s v="East Midlands"/>
    <s v="Derbyshire"/>
    <s v="Chesterfield"/>
    <s v="Local Authority"/>
    <d v="2020-11-04T00:00:00"/>
    <d v="2020-11-30T00:00:00"/>
    <s v="N"/>
  </r>
  <r>
    <s v="Ofsted Social Care Provider Webpage"/>
    <n v="2507038"/>
    <s v="Children's home"/>
    <d v="2019-03-04T00:00:00"/>
    <s v="Active"/>
    <s v="REDACTED"/>
    <s v="West Midlands"/>
    <s v="West Midlands"/>
    <s v="Shropshire"/>
    <s v="North Shropshire"/>
    <s v="Private"/>
    <d v="2020-11-04T00:00:00"/>
    <d v="2020-12-03T00:00:00"/>
    <s v="N"/>
  </r>
  <r>
    <s v="Ofsted Social Care Provider Webpage"/>
    <n v="2568244"/>
    <s v="Children's home"/>
    <d v="2020-03-16T00:00:00"/>
    <s v="Active"/>
    <s v="REDACTED"/>
    <s v="North East, Yorkshire and the Humber"/>
    <s v="North East"/>
    <s v="Stockton-on-Tees"/>
    <s v="Stockton South"/>
    <s v="Local Authority"/>
    <d v="2020-11-04T00:00:00"/>
    <d v="2020-12-16T00:00:00"/>
    <s v="Y"/>
  </r>
  <r>
    <s v="Ofsted Social Care Provider Webpage"/>
    <s v="SC437305"/>
    <s v="Children's home"/>
    <d v="2011-12-12T00:00:00"/>
    <s v="Active"/>
    <s v="REDACTED"/>
    <s v="North East, Yorkshire and the Humber"/>
    <s v="Yorkshire and The Humber"/>
    <s v="Bradford"/>
    <s v="Shipley"/>
    <s v="Private"/>
    <d v="2020-11-04T00:00:00"/>
    <d v="2020-12-14T00:00:00"/>
    <s v="N"/>
  </r>
  <r>
    <s v="Ofsted Social Care Provider Webpage"/>
    <s v="SC467264"/>
    <s v="Children's home"/>
    <d v="2013-08-28T00:00:00"/>
    <s v="Active"/>
    <s v="REDACTED"/>
    <s v="West Midlands"/>
    <s v="West Midlands"/>
    <s v="Birmingham"/>
    <s v="Birmingham, Perry Barr"/>
    <s v="Private"/>
    <d v="2020-11-04T00:00:00"/>
    <d v="2020-12-07T00:00:00"/>
    <s v="N"/>
  </r>
  <r>
    <s v="Ofsted Social Care Provider Webpage"/>
    <n v="2584899"/>
    <s v="Children's home"/>
    <d v="2020-06-18T00:00:00"/>
    <s v="Active"/>
    <s v="REDACTED"/>
    <s v="North East, Yorkshire and the Humber"/>
    <s v="North East"/>
    <s v="Redcar and Cleveland"/>
    <s v="Redcar"/>
    <s v="Private"/>
    <d v="2020-11-04T00:00:00"/>
    <d v="2020-12-08T00:00:00"/>
    <s v="N"/>
  </r>
  <r>
    <s v="Ofsted Social Care Provider Webpage"/>
    <n v="1227335"/>
    <s v="Children's home"/>
    <d v="2016-05-27T00:00:00"/>
    <s v="Active"/>
    <s v="REDACTED"/>
    <s v="North West"/>
    <s v="North West"/>
    <s v="Lancashire"/>
    <s v="West Lancashire"/>
    <s v="Private"/>
    <d v="2020-11-04T00:00:00"/>
    <d v="2020-12-10T00:00:00"/>
    <s v="N"/>
  </r>
  <r>
    <s v="Ofsted Social Care Provider Webpage"/>
    <n v="2537375"/>
    <s v="Children's home"/>
    <d v="2019-08-09T00:00:00"/>
    <s v="Active"/>
    <s v="REDACTED"/>
    <s v="West Midlands"/>
    <s v="West Midlands"/>
    <s v="Staffordshire"/>
    <s v="South Staffordshire"/>
    <s v="Private"/>
    <d v="2020-11-04T00:00:00"/>
    <d v="2020-12-08T00:00:00"/>
    <s v="N"/>
  </r>
  <r>
    <s v="Ofsted Social Care Provider Webpage"/>
    <s v="SC434806"/>
    <s v="Children's home"/>
    <d v="2011-09-15T00:00:00"/>
    <s v="Active"/>
    <s v="REDACTED"/>
    <s v="East Midlands"/>
    <s v="East Midlands"/>
    <s v="Leicestershire"/>
    <s v="North West Leicestershire"/>
    <s v="Private"/>
    <d v="2020-11-04T00:00:00"/>
    <d v="2020-12-04T00:00:00"/>
    <s v="N"/>
  </r>
  <r>
    <s v="Ofsted Social Care Provider Webpage"/>
    <n v="2519269"/>
    <s v="Children's home"/>
    <d v="2019-07-05T00:00:00"/>
    <s v="Active"/>
    <s v="REDACTED"/>
    <s v="West Midlands"/>
    <s v="West Midlands"/>
    <s v="Wolverhampton"/>
    <s v="Wolverhampton South East"/>
    <s v="Private"/>
    <d v="2020-11-04T00:00:00"/>
    <d v="2020-12-08T00:00:00"/>
    <s v="Y"/>
  </r>
  <r>
    <s v="Ofsted Social Care Provider Webpage"/>
    <s v="SC457923"/>
    <s v="Children's home"/>
    <d v="2012-12-11T00:00:00"/>
    <s v="Active"/>
    <s v="REDACTED"/>
    <s v="West Midlands"/>
    <s v="West Midlands"/>
    <s v="Herefordshire"/>
    <s v="North Herefordshire"/>
    <s v="Private"/>
    <d v="2020-11-04T00:00:00"/>
    <d v="2020-12-02T00:00:00"/>
    <s v="N"/>
  </r>
  <r>
    <s v="Ofsted Social Care Provider Webpage"/>
    <s v="SC405713"/>
    <s v="Children's home"/>
    <d v="2010-01-11T00:00:00"/>
    <s v="Active"/>
    <s v="REDACTED"/>
    <s v="West Midlands"/>
    <s v="West Midlands"/>
    <s v="Sandwell"/>
    <s v="Warley"/>
    <s v="Private"/>
    <d v="2020-10-05T00:00:00"/>
    <d v="2020-11-04T00:00:00"/>
    <s v="N"/>
  </r>
  <r>
    <s v="Ofsted Social Care Provider Webpage"/>
    <n v="2503076"/>
    <s v="Children's home"/>
    <d v="2019-02-17T00:00:00"/>
    <s v="Active"/>
    <s v="REDACTED"/>
    <s v="West Midlands"/>
    <s v="West Midlands"/>
    <s v="Staffordshire"/>
    <s v="Stafford"/>
    <s v="Private"/>
    <d v="2020-10-05T00:00:00"/>
    <d v="2020-11-05T00:00:00"/>
    <s v="N"/>
  </r>
  <r>
    <s v="Ofsted Social Care Provider Webpage"/>
    <s v="SC390167"/>
    <s v="Children's home"/>
    <d v="2010-05-11T00:00:00"/>
    <s v="Active"/>
    <s v="REDACTED"/>
    <s v="South East"/>
    <s v="South East"/>
    <s v="Kent"/>
    <s v="North Thanet"/>
    <s v="Private"/>
    <d v="2020-10-05T00:00:00"/>
    <d v="2020-11-23T00:00:00"/>
    <s v="N"/>
  </r>
  <r>
    <s v="Ofsted Social Care Provider Webpage"/>
    <s v="SC030677"/>
    <s v="Children's home"/>
    <d v="2004-11-11T00:00:00"/>
    <s v="Active"/>
    <s v="REDACTED"/>
    <s v="South East"/>
    <s v="South East"/>
    <s v="West Berkshire"/>
    <s v="Newbury"/>
    <s v="Local Authority"/>
    <d v="2020-10-05T00:00:00"/>
    <d v="2020-11-26T00:00:00"/>
    <s v="Y"/>
  </r>
  <r>
    <s v="Ofsted Social Care Provider Webpage"/>
    <n v="1280210"/>
    <s v="Children's home"/>
    <d v="2018-08-02T00:00:00"/>
    <s v="Active"/>
    <s v="REDACTED"/>
    <s v="West Midlands"/>
    <s v="West Midlands"/>
    <s v="Staffordshire"/>
    <s v="Cannock Chase"/>
    <s v="Private"/>
    <d v="2020-10-05T00:00:00"/>
    <d v="2020-11-18T00:00:00"/>
    <s v="N"/>
  </r>
  <r>
    <s v="Ofsted Social Care Provider Webpage"/>
    <n v="1224093"/>
    <s v="Children's home"/>
    <d v="2015-11-04T00:00:00"/>
    <s v="Active"/>
    <s v="REDACTED"/>
    <s v="East of England"/>
    <s v="East of England"/>
    <s v="Hertfordshire"/>
    <s v="Hemel Hempstead"/>
    <s v="Private"/>
    <d v="2020-10-05T00:00:00"/>
    <d v="2020-10-30T00:00:00"/>
    <s v="N"/>
  </r>
  <r>
    <s v="Ofsted Social Care Provider Webpage"/>
    <s v="SC068991"/>
    <s v="Children's home"/>
    <d v="2007-01-15T00:00:00"/>
    <s v="Active"/>
    <s v="REDACTED"/>
    <s v="East of England"/>
    <s v="East of England"/>
    <s v="Cambridgeshire"/>
    <s v="North East Cambridgeshire"/>
    <s v="Private"/>
    <d v="2020-10-05T00:00:00"/>
    <d v="2020-10-30T00:00:00"/>
    <s v="N"/>
  </r>
  <r>
    <s v="Ofsted Social Care Provider Webpage"/>
    <s v="SC063794"/>
    <s v="Children's home"/>
    <d v="2005-05-11T00:00:00"/>
    <s v="Active"/>
    <s v="REDACTED"/>
    <s v="West Midlands"/>
    <s v="West Midlands"/>
    <s v="Staffordshire"/>
    <s v="Staffordshire Moorlands"/>
    <s v="Private"/>
    <d v="2020-10-05T00:00:00"/>
    <d v="2020-10-26T00:00:00"/>
    <s v="N"/>
  </r>
  <r>
    <s v="Ofsted Social Care Provider Webpage"/>
    <s v="SC413078"/>
    <s v="Children's home"/>
    <d v="2010-07-28T00:00:00"/>
    <s v="Active"/>
    <s v="REDACTED"/>
    <s v="East Midlands"/>
    <s v="East Midlands"/>
    <s v="Nottinghamshire"/>
    <s v="Sherwood"/>
    <s v="Private"/>
    <d v="2020-10-05T00:00:00"/>
    <d v="2020-11-11T00:00:00"/>
    <s v="N"/>
  </r>
  <r>
    <s v="Ofsted Social Care Provider Webpage"/>
    <s v="SC426530"/>
    <s v="Children's home"/>
    <d v="2011-09-05T00:00:00"/>
    <s v="Active"/>
    <s v="REDACTED"/>
    <s v="South East"/>
    <s v="South East"/>
    <s v="Surrey"/>
    <s v="East Surrey"/>
    <s v="Private"/>
    <d v="2020-10-05T00:00:00"/>
    <d v="2020-11-24T00:00:00"/>
    <s v="Y"/>
  </r>
  <r>
    <s v="Ofsted Social Care Provider Webpage"/>
    <n v="1271581"/>
    <s v="Children's home"/>
    <d v="2018-04-04T00:00:00"/>
    <s v="Active"/>
    <s v="REDACTED"/>
    <s v="North West"/>
    <s v="North West"/>
    <s v="Bolton"/>
    <s v="Bolton South East"/>
    <s v="Private"/>
    <d v="2020-10-05T00:00:00"/>
    <d v="2020-11-03T00:00:00"/>
    <s v="N"/>
  </r>
  <r>
    <s v="Ofsted Social Care Provider Webpage"/>
    <s v="SC013884"/>
    <s v="Residential Special School"/>
    <d v="2002-02-14T00:00:00"/>
    <s v="Active"/>
    <s v="Linden Bridge School"/>
    <s v="South East"/>
    <s v="South East"/>
    <s v="Surrey"/>
    <s v="Epsom and Ewell"/>
    <s v="Academy"/>
    <d v="2020-10-05T00:00:00"/>
    <d v="2020-12-03T00:00:00"/>
    <s v="N"/>
  </r>
  <r>
    <s v="Ofsted Social Care Provider Webpage"/>
    <s v="SC359836"/>
    <s v="Children's home"/>
    <d v="2007-09-05T00:00:00"/>
    <s v="Active"/>
    <s v="REDACTED"/>
    <s v="North West"/>
    <s v="North West"/>
    <s v="Lancashire"/>
    <s v="Chorley"/>
    <s v="Local Authority"/>
    <d v="2020-10-06T00:00:00"/>
    <d v="2020-11-10T00:00:00"/>
    <s v="N"/>
  </r>
  <r>
    <s v="Ofsted Social Care Provider Webpage"/>
    <s v="SC409738"/>
    <s v="Children's home"/>
    <d v="2010-06-21T00:00:00"/>
    <s v="Active"/>
    <s v="REDACTED"/>
    <s v="North West"/>
    <s v="North West"/>
    <s v="Knowsley"/>
    <s v="Knowsley"/>
    <s v="Voluntary"/>
    <d v="2020-10-06T00:00:00"/>
    <d v="2020-11-13T00:00:00"/>
    <s v="N"/>
  </r>
  <r>
    <s v="Ofsted Social Care Provider Webpage"/>
    <s v="SC065535"/>
    <s v="Children's home"/>
    <d v="2005-09-30T00:00:00"/>
    <s v="Active"/>
    <s v="REDACTED"/>
    <s v="London"/>
    <s v="London"/>
    <s v="Lambeth"/>
    <s v="Dulwich and West Norwood"/>
    <s v="Private"/>
    <d v="2020-10-06T00:00:00"/>
    <d v="2020-11-16T00:00:00"/>
    <s v="N"/>
  </r>
  <r>
    <s v="Ofsted Social Care Provider Webpage"/>
    <s v="SC060811"/>
    <s v="Children's home"/>
    <d v="2004-09-14T00:00:00"/>
    <s v="Active"/>
    <s v="REDACTED"/>
    <s v="North East, Yorkshire and the Humber"/>
    <s v="Yorkshire and The Humber"/>
    <s v="Wakefield"/>
    <s v="Hemsworth"/>
    <s v="Private"/>
    <d v="2020-10-06T00:00:00"/>
    <d v="2020-11-17T00:00:00"/>
    <s v="N"/>
  </r>
  <r>
    <s v="Ofsted Social Care Provider Webpage"/>
    <n v="1240936"/>
    <s v="Children's home"/>
    <d v="2016-11-14T00:00:00"/>
    <s v="Active"/>
    <s v="REDACTED"/>
    <s v="West Midlands"/>
    <s v="West Midlands"/>
    <s v="Birmingham"/>
    <s v="Birmingham, Hall Green"/>
    <s v="Private"/>
    <d v="2020-10-06T00:00:00"/>
    <d v="2020-10-27T00:00:00"/>
    <s v="N"/>
  </r>
  <r>
    <s v="Ofsted Social Care Provider Webpage"/>
    <s v="SC424141"/>
    <s v="Children's home"/>
    <d v="2011-03-10T00:00:00"/>
    <s v="Active"/>
    <s v="REDACTED"/>
    <s v="North East, Yorkshire and the Humber"/>
    <s v="Yorkshire and The Humber"/>
    <s v="Bradford"/>
    <s v="Bradford East"/>
    <s v="Private"/>
    <d v="2020-10-06T00:00:00"/>
    <d v="2020-11-18T00:00:00"/>
    <s v="Y"/>
  </r>
  <r>
    <s v="Ofsted Social Care Provider Webpage"/>
    <s v="SC488290"/>
    <s v="Independent Fostering Agency"/>
    <d v="2015-07-07T00:00:00"/>
    <s v="Active"/>
    <s v="Fostering Ltd"/>
    <s v="North West"/>
    <s v="North West"/>
    <s v="Lancashire"/>
    <s v="Rossendale and Darwen"/>
    <s v="Private"/>
    <d v="2020-10-06T00:00:00"/>
    <d v="2020-11-11T00:00:00"/>
    <s v="N"/>
  </r>
  <r>
    <s v="Ofsted Social Care Provider Webpage"/>
    <s v="SC366343"/>
    <s v="Children's home"/>
    <d v="2008-02-06T00:00:00"/>
    <s v="Active"/>
    <s v="REDACTED"/>
    <s v="North West"/>
    <s v="North West"/>
    <s v="Tameside"/>
    <s v="Stalybridge and Hyde"/>
    <s v="Private"/>
    <d v="2020-10-06T00:00:00"/>
    <d v="2020-11-19T00:00:00"/>
    <s v="N"/>
  </r>
  <r>
    <s v="Ofsted Social Care Provider Webpage"/>
    <s v="SC024594"/>
    <s v="Residential Special School"/>
    <d v="2002-02-18T00:00:00"/>
    <s v="Active"/>
    <s v="Chalk Hill"/>
    <s v="East of England"/>
    <s v="East of England"/>
    <s v="Suffolk"/>
    <s v="South Suffolk"/>
    <s v="Local Authority"/>
    <d v="2020-10-06T00:00:00"/>
    <d v="2020-11-09T00:00:00"/>
    <s v="N"/>
  </r>
  <r>
    <s v="Ofsted Social Care Provider Webpage"/>
    <s v="SC050390"/>
    <s v="Residential Special School"/>
    <d v="2003-07-22T00:00:00"/>
    <s v="Active"/>
    <s v="St Mary's school and sixth form college (part of the Talking Trust)"/>
    <s v="South East"/>
    <s v="South East"/>
    <s v="East Sussex"/>
    <s v="Bexhill and Battle"/>
    <s v="Voluntary"/>
    <d v="2020-10-06T00:00:00"/>
    <d v="2020-12-10T00:00:00"/>
    <s v="N"/>
  </r>
  <r>
    <s v="Ofsted Social Care Provider Webpage"/>
    <s v="SC356604"/>
    <s v="Children's home"/>
    <d v="2007-09-04T00:00:00"/>
    <s v="Active"/>
    <s v="REDACTED"/>
    <s v="North East, Yorkshire and the Humber"/>
    <s v="Yorkshire and The Humber"/>
    <s v="Barnsley"/>
    <s v="Barnsley East"/>
    <s v="Private"/>
    <d v="2020-10-06T00:00:00"/>
    <d v="2020-11-20T00:00:00"/>
    <s v="N"/>
  </r>
  <r>
    <s v="Ofsted Social Care Provider Webpage"/>
    <n v="2525774"/>
    <s v="Children's home"/>
    <d v="2019-05-28T00:00:00"/>
    <s v="Active"/>
    <s v="REDACTED"/>
    <s v="North West"/>
    <s v="North West"/>
    <s v="Oldham"/>
    <s v="Oldham East and Saddleworth"/>
    <s v="Private"/>
    <d v="2020-10-06T00:00:00"/>
    <d v="2020-11-13T00:00:00"/>
    <s v="N"/>
  </r>
  <r>
    <s v="Ofsted Social Care Provider Webpage"/>
    <s v="SC432404"/>
    <s v="Children's home"/>
    <d v="2011-09-08T00:00:00"/>
    <s v="Active"/>
    <s v="REDACTED"/>
    <s v="South West"/>
    <s v="South West"/>
    <s v="Cornwall"/>
    <s v="Camborne and Redruth"/>
    <s v="Health Authority"/>
    <d v="2020-10-06T00:00:00"/>
    <d v="2020-11-02T00:00:00"/>
    <s v="N"/>
  </r>
  <r>
    <s v="Ofsted Social Care Provider Webpage"/>
    <s v="SC482668"/>
    <s v="Children's home"/>
    <d v="2015-02-25T00:00:00"/>
    <s v="Active"/>
    <s v="REDACTED"/>
    <s v="West Midlands"/>
    <s v="West Midlands"/>
    <s v="Coventry"/>
    <s v="Coventry North East"/>
    <s v="Private"/>
    <d v="2020-10-06T00:00:00"/>
    <d v="2020-11-13T00:00:00"/>
    <s v="N"/>
  </r>
  <r>
    <s v="Ofsted Social Care Provider Webpage"/>
    <s v="SC483688"/>
    <s v="Children's home"/>
    <d v="2014-12-03T00:00:00"/>
    <s v="Active"/>
    <s v="REDACTED"/>
    <s v="North West"/>
    <s v="North West"/>
    <s v="Lancashire"/>
    <s v="Fylde"/>
    <s v="Private"/>
    <d v="2020-10-06T00:00:00"/>
    <d v="2020-11-11T00:00:00"/>
    <s v="N"/>
  </r>
  <r>
    <s v="Ofsted Social Care Provider Webpage"/>
    <s v="SC060354"/>
    <s v="Boarding School"/>
    <d v="2004-02-24T00:00:00"/>
    <s v="Active"/>
    <s v="Cranbrook School"/>
    <s v="South East"/>
    <s v="South East"/>
    <s v="Kent"/>
    <s v="Maidstone and The Weald"/>
    <s v="Academy"/>
    <d v="2020-10-06T00:00:00"/>
    <d v="2020-11-06T00:00:00"/>
    <s v="N"/>
  </r>
  <r>
    <s v="Ofsted Social Care Provider Webpage"/>
    <s v="SC066115"/>
    <s v="Children's home"/>
    <d v="2006-05-31T00:00:00"/>
    <s v="Active"/>
    <s v="REDACTED"/>
    <s v="North West"/>
    <s v="North West"/>
    <s v="Lancashire"/>
    <s v="Rossendale and Darwen"/>
    <s v="Private"/>
    <d v="2020-10-06T00:00:00"/>
    <d v="2020-11-09T00:00:00"/>
    <s v="N"/>
  </r>
  <r>
    <s v="Ofsted Social Care Provider Webpage"/>
    <s v="SC479632"/>
    <s v="Children's home"/>
    <d v="2014-08-06T00:00:00"/>
    <s v="Active"/>
    <s v="REDACTED"/>
    <s v="North West"/>
    <s v="North West"/>
    <s v="Cumbria"/>
    <s v="Carlisle"/>
    <s v="Private"/>
    <d v="2020-10-06T00:00:00"/>
    <d v="2020-11-18T00:00:00"/>
    <s v="N"/>
  </r>
  <r>
    <s v="Ofsted Social Care Provider Webpage"/>
    <s v="SC023651"/>
    <s v="Children's home"/>
    <d v="1994-12-16T00:00:00"/>
    <s v="Active"/>
    <s v="REDACTED"/>
    <s v="South East"/>
    <s v="South East"/>
    <s v="Kent"/>
    <s v="Ashford"/>
    <s v="Private"/>
    <d v="2020-10-06T00:00:00"/>
    <d v="2020-11-30T00:00:00"/>
    <s v="N"/>
  </r>
  <r>
    <s v="Ofsted Social Care Provider Webpage"/>
    <s v="SC001831"/>
    <s v="Residential Special School"/>
    <d v="2002-02-12T00:00:00"/>
    <s v="Active"/>
    <s v="The Grange Therapeutic School"/>
    <s v="East Midlands"/>
    <s v="East Midlands"/>
    <s v="Leicestershire"/>
    <s v="Rutland and Melton"/>
    <s v="Private"/>
    <d v="2020-10-06T00:00:00"/>
    <d v="2020-11-10T00:00:00"/>
    <s v="N"/>
  </r>
  <r>
    <s v="Ofsted Social Care Provider Webpage"/>
    <n v="2547837"/>
    <s v="Children's home"/>
    <d v="2019-12-17T00:00:00"/>
    <s v="Active"/>
    <s v="REDACTED"/>
    <s v="North West"/>
    <s v="North West"/>
    <s v="Sefton"/>
    <s v="Southport"/>
    <s v="Private"/>
    <d v="2020-10-06T00:00:00"/>
    <d v="2020-11-13T00:00:00"/>
    <s v="N"/>
  </r>
  <r>
    <s v="Ofsted Social Care Provider Webpage"/>
    <s v="SC383941"/>
    <s v="Children's home"/>
    <d v="2008-12-23T00:00:00"/>
    <s v="Active"/>
    <s v="REDACTED"/>
    <s v="West Midlands"/>
    <s v="West Midlands"/>
    <s v="Worcestershire"/>
    <s v="Wyre Forest"/>
    <s v="Private"/>
    <d v="2020-10-06T00:00:00"/>
    <d v="2020-10-30T00:00:00"/>
    <s v="N"/>
  </r>
  <r>
    <s v="Ofsted Social Care Provider Webpage"/>
    <s v="SC435322"/>
    <s v="Residential special school (registered as a children's home)"/>
    <d v="2011-09-15T00:00:00"/>
    <s v="Active"/>
    <s v="REDACTED"/>
    <s v="East of England"/>
    <s v="East of England"/>
    <s v="Norfolk"/>
    <s v="South West Norfolk"/>
    <s v="Private"/>
    <d v="2020-10-06T00:00:00"/>
    <d v="2020-10-29T00:00:00"/>
    <s v="N"/>
  </r>
  <r>
    <s v="Ofsted Social Care Provider Webpage"/>
    <s v="SC482293"/>
    <s v="Children's home"/>
    <d v="2014-09-22T00:00:00"/>
    <s v="Active"/>
    <s v="REDACTED"/>
    <s v="South East"/>
    <s v="South East"/>
    <s v="Hampshire"/>
    <s v="Havant"/>
    <s v="Private"/>
    <d v="2020-10-06T00:00:00"/>
    <d v="2020-11-19T00:00:00"/>
    <s v="N"/>
  </r>
  <r>
    <s v="Ofsted Social Care Provider Webpage"/>
    <s v="SC037647"/>
    <s v="Children's home"/>
    <d v="2003-03-03T00:00:00"/>
    <s v="Active"/>
    <s v="REDACTED"/>
    <s v="North West"/>
    <s v="North West"/>
    <s v="Knowsley"/>
    <s v="Knowsley"/>
    <s v="Local Authority"/>
    <d v="2020-10-06T00:00:00"/>
    <d v="2020-11-09T00:00:00"/>
    <s v="N"/>
  </r>
  <r>
    <s v="Ofsted Social Care Provider Webpage"/>
    <n v="1259508"/>
    <s v="Children's home"/>
    <d v="2017-09-21T00:00:00"/>
    <s v="Active"/>
    <s v="REDACTED"/>
    <s v="South East"/>
    <s v="South East"/>
    <s v="Oxfordshire"/>
    <s v="Witney"/>
    <s v="Private"/>
    <d v="2020-10-06T00:00:00"/>
    <d v="2020-11-23T00:00:00"/>
    <s v="N"/>
  </r>
  <r>
    <s v="Ofsted Social Care Provider Webpage"/>
    <s v="SC010699"/>
    <s v="Children's home"/>
    <d v="2001-12-27T00:00:00"/>
    <s v="Active"/>
    <s v="REDACTED"/>
    <s v="London"/>
    <s v="London"/>
    <s v="Enfield"/>
    <s v="Enfield North"/>
    <s v="Private"/>
    <d v="2020-10-06T00:00:00"/>
    <d v="2020-11-12T00:00:00"/>
    <s v="N"/>
  </r>
  <r>
    <s v="Ofsted Social Care Provider Webpage"/>
    <s v="SC489036"/>
    <s v="Children's home"/>
    <d v="2015-09-03T00:00:00"/>
    <s v="Active"/>
    <s v="REDACTED"/>
    <s v="East Midlands"/>
    <s v="East Midlands"/>
    <s v="Leicestershire"/>
    <s v="Bosworth"/>
    <s v="Private"/>
    <d v="2020-10-06T00:00:00"/>
    <d v="2020-11-11T00:00:00"/>
    <s v="N"/>
  </r>
  <r>
    <s v="Ofsted Social Care Provider Webpage"/>
    <s v="SC035805"/>
    <s v="Residential Special School"/>
    <d v="2002-08-12T00:00:00"/>
    <s v="Active"/>
    <s v="Wennington Hall School"/>
    <s v="North West"/>
    <s v="North West"/>
    <s v="Lancashire"/>
    <s v="Morecambe and Lunesdale"/>
    <s v="Local Authority"/>
    <d v="2020-10-06T00:00:00"/>
    <d v="2020-11-26T00:00:00"/>
    <s v="N"/>
  </r>
  <r>
    <s v="Ofsted Social Care Provider Webpage"/>
    <n v="2561970"/>
    <s v="Children's home"/>
    <d v="2020-01-13T00:00:00"/>
    <s v="Active"/>
    <s v="REDACTED"/>
    <s v="North West"/>
    <s v="North West"/>
    <s v="Cheshire East"/>
    <s v="Crewe and Nantwich"/>
    <s v="Private"/>
    <d v="2020-10-06T00:00:00"/>
    <d v="2020-11-06T00:00:00"/>
    <s v="N"/>
  </r>
  <r>
    <s v="Ofsted Social Care Provider Webpage"/>
    <n v="1252120"/>
    <s v="Children's home"/>
    <d v="2017-05-19T00:00:00"/>
    <s v="Active"/>
    <s v="REDACTED"/>
    <s v="North East, Yorkshire and the Humber"/>
    <s v="North East"/>
    <s v="Durham"/>
    <s v="Easington"/>
    <s v="Private"/>
    <d v="2020-10-06T00:00:00"/>
    <d v="2020-11-09T00:00:00"/>
    <s v="N"/>
  </r>
  <r>
    <s v="Ofsted Social Care Provider Webpage"/>
    <s v="SC063550"/>
    <s v="Children's home"/>
    <d v="2005-03-22T00:00:00"/>
    <s v="Active"/>
    <s v="REDACTED"/>
    <s v="North West"/>
    <s v="North West"/>
    <s v="St Helens"/>
    <s v="St Helens North"/>
    <s v="Local Authority"/>
    <d v="2020-10-06T00:00:00"/>
    <d v="2020-11-05T00:00:00"/>
    <s v="N"/>
  </r>
  <r>
    <s v="Ofsted Social Care Provider Webpage"/>
    <n v="2534827"/>
    <s v="Children's home"/>
    <d v="2019-06-20T00:00:00"/>
    <s v="Active"/>
    <s v="REDACTED"/>
    <s v="East of England"/>
    <s v="East of England"/>
    <s v="Central Bedfordshire"/>
    <s v="North East Bedfordshire"/>
    <s v="Private"/>
    <d v="2020-09-07T00:00:00"/>
    <d v="2020-10-06T00:00:00"/>
    <s v="N"/>
  </r>
  <r>
    <s v="Ofsted Social Care Provider Webpage"/>
    <s v="SC060936"/>
    <s v="Children's home"/>
    <d v="2004-09-22T00:00:00"/>
    <s v="Active"/>
    <s v="REDACTED"/>
    <s v="East of England"/>
    <s v="East of England"/>
    <s v="Suffolk"/>
    <s v="West Suffolk"/>
    <s v="Private"/>
    <d v="2020-09-07T00:00:00"/>
    <d v="2020-10-08T00:00:00"/>
    <s v="N"/>
  </r>
  <r>
    <s v="Ofsted Social Care Provider Webpage"/>
    <s v="SC059717"/>
    <s v="Children's home"/>
    <d v="2007-03-29T00:00:00"/>
    <s v="Active"/>
    <s v="REDACTED"/>
    <s v="South West"/>
    <s v="South West"/>
    <s v="Wiltshire"/>
    <s v="Salisbury"/>
    <s v="Private"/>
    <d v="2020-09-07T00:00:00"/>
    <d v="2020-10-21T00:00:00"/>
    <s v="N"/>
  </r>
  <r>
    <s v="Ofsted Social Care Provider Webpage"/>
    <n v="1254745"/>
    <s v="Children's home"/>
    <d v="2017-05-24T00:00:00"/>
    <s v="Active"/>
    <s v="REDACTED"/>
    <s v="East Midlands"/>
    <s v="East Midlands"/>
    <s v="Nottingham"/>
    <s v="Nottingham East"/>
    <s v="Private"/>
    <d v="2020-09-07T00:00:00"/>
    <d v="2020-10-22T00:00:00"/>
    <s v="Y"/>
  </r>
  <r>
    <s v="Ofsted Social Care Provider Webpage"/>
    <s v="SC034241"/>
    <s v="Residential special school (registered as a children's home)"/>
    <d v="2002-12-27T00:00:00"/>
    <s v="Active"/>
    <s v="REDACTED"/>
    <s v="East Midlands"/>
    <s v="East Midlands"/>
    <s v="Lincolnshire"/>
    <s v="Sleaford and North Hykeham"/>
    <s v="Private"/>
    <d v="2020-09-07T00:00:00"/>
    <d v="2020-10-21T00:00:00"/>
    <s v="N"/>
  </r>
  <r>
    <s v="Ofsted Social Care Provider Webpage"/>
    <n v="2495371"/>
    <s v="Children's home"/>
    <d v="2018-10-10T00:00:00"/>
    <s v="Active"/>
    <s v="REDACTED"/>
    <s v="East Midlands"/>
    <s v="East Midlands"/>
    <s v="Northamptonshire"/>
    <s v="Corby"/>
    <s v="Private"/>
    <d v="2020-09-07T00:00:00"/>
    <d v="2020-10-12T00:00:00"/>
    <s v="N"/>
  </r>
  <r>
    <s v="Ofsted Social Care Provider Webpage"/>
    <s v="SC033362"/>
    <s v="Secure children's home"/>
    <d v="2003-06-09T00:00:00"/>
    <s v="Active"/>
    <s v="REDACTED"/>
    <s v="East of England"/>
    <s v="East of England"/>
    <s v="Peterborough"/>
    <s v="North West Cambridgeshire"/>
    <s v="Local Authority"/>
    <d v="2020-09-07T00:00:00"/>
    <d v="2020-10-07T00:00:00"/>
    <s v="N"/>
  </r>
  <r>
    <s v="Ofsted Social Care Provider Webpage"/>
    <s v="SC387148"/>
    <s v="Children's home"/>
    <d v="2008-12-01T00:00:00"/>
    <s v="Active"/>
    <s v="REDACTED"/>
    <s v="North West"/>
    <s v="North West"/>
    <s v="Trafford"/>
    <s v="Stretford and Urmston"/>
    <s v="Private"/>
    <d v="2020-09-07T00:00:00"/>
    <d v="2020-10-29T00:00:00"/>
    <s v="N"/>
  </r>
  <r>
    <s v="Ofsted Social Care Provider Webpage"/>
    <n v="1246831"/>
    <s v="Children's home"/>
    <d v="2016-12-12T00:00:00"/>
    <s v="Active"/>
    <s v="REDACTED"/>
    <s v="South West"/>
    <s v="South West"/>
    <s v="Bournemouth, Christchurch &amp; Poole"/>
    <s v="Bournemouth East"/>
    <s v="Private"/>
    <d v="2020-09-07T00:00:00"/>
    <d v="2020-10-13T00:00:00"/>
    <s v="N"/>
  </r>
  <r>
    <s v="Ofsted Social Care Provider Webpage"/>
    <s v="SC483623"/>
    <s v="Children's home"/>
    <d v="2015-06-29T00:00:00"/>
    <s v="Active"/>
    <s v="REDACTED"/>
    <s v="London"/>
    <s v="London"/>
    <s v="Haringey"/>
    <s v="Hornsey and Wood Green"/>
    <s v="Private"/>
    <d v="2020-09-07T00:00:00"/>
    <d v="2020-10-09T00:00:00"/>
    <s v="N"/>
  </r>
  <r>
    <s v="Ofsted Social Care Provider Webpage"/>
    <n v="2548418"/>
    <s v="Children's home"/>
    <d v="2019-10-08T00:00:00"/>
    <s v="Active"/>
    <s v="REDACTED"/>
    <s v="South East"/>
    <s v="South East"/>
    <s v="Buckinghamshire"/>
    <s v="Wycombe"/>
    <s v="Private"/>
    <d v="2020-09-07T00:00:00"/>
    <d v="2020-10-19T00:00:00"/>
    <s v="N"/>
  </r>
  <r>
    <s v="Ofsted Social Care Provider Webpage"/>
    <n v="1245565"/>
    <s v="Children's home"/>
    <d v="2016-11-16T00:00:00"/>
    <s v="Active"/>
    <s v="REDACTED"/>
    <s v="East Midlands"/>
    <s v="East Midlands"/>
    <s v="Leicestershire"/>
    <s v="South Leicestershire"/>
    <s v="Private"/>
    <d v="2020-09-07T00:00:00"/>
    <d v="2020-10-12T00:00:00"/>
    <s v="N"/>
  </r>
  <r>
    <s v="Ofsted Social Care Provider Webpage"/>
    <s v="SC480240"/>
    <s v="Children's home"/>
    <d v="2014-10-23T00:00:00"/>
    <s v="Active"/>
    <s v="REDACTED"/>
    <s v="North West"/>
    <s v="North West"/>
    <s v="Lancashire"/>
    <s v="Hyndburn"/>
    <s v="Private"/>
    <d v="2020-09-07T00:00:00"/>
    <d v="2020-10-30T00:00:00"/>
    <s v="N"/>
  </r>
  <r>
    <s v="Ofsted Social Care Provider Webpage"/>
    <n v="1249259"/>
    <s v="Children's home"/>
    <d v="2017-03-03T00:00:00"/>
    <s v="Active"/>
    <s v="REDACTED"/>
    <s v="South East"/>
    <s v="South East"/>
    <s v="Hampshire"/>
    <s v="North West Hampshire"/>
    <s v="Private"/>
    <d v="2020-09-07T00:00:00"/>
    <d v="2020-10-19T00:00:00"/>
    <s v="N"/>
  </r>
  <r>
    <s v="Ofsted Social Care Provider Webpage"/>
    <n v="2510201"/>
    <s v="Children's home"/>
    <d v="2019-05-07T00:00:00"/>
    <s v="Active"/>
    <s v="REDACTED"/>
    <s v="North West"/>
    <s v="North West"/>
    <s v="Blackpool"/>
    <s v="Blackpool South"/>
    <s v="Private"/>
    <d v="2020-09-07T00:00:00"/>
    <d v="2020-10-06T00:00:00"/>
    <s v="N"/>
  </r>
  <r>
    <s v="Ofsted Social Care Provider Webpage"/>
    <s v="SC459168"/>
    <s v="Children's home"/>
    <d v="2013-02-20T00:00:00"/>
    <s v="Active"/>
    <s v="REDACTED"/>
    <s v="East of England"/>
    <s v="East of England"/>
    <s v="Norfolk"/>
    <s v="South West Norfolk"/>
    <s v="Private"/>
    <d v="2020-09-07T00:00:00"/>
    <d v="2020-10-07T00:00:00"/>
    <s v="N"/>
  </r>
  <r>
    <s v="Ofsted Social Care Provider Webpage"/>
    <s v="SC040105"/>
    <s v="Children's home"/>
    <d v="2003-04-01T00:00:00"/>
    <s v="Active"/>
    <s v="REDACTED"/>
    <s v="North East, Yorkshire and the Humber"/>
    <s v="Yorkshire and The Humber"/>
    <s v="Kingston upon Hull"/>
    <s v="Kingston upon Hull West and Hessle"/>
    <s v="Local Authority"/>
    <d v="2020-09-07T00:00:00"/>
    <d v="2020-10-15T00:00:00"/>
    <s v="N"/>
  </r>
  <r>
    <s v="Ofsted Social Care Provider Webpage"/>
    <n v="2528516"/>
    <s v="Children's home"/>
    <d v="2019-05-30T00:00:00"/>
    <s v="Active"/>
    <s v="REDACTED"/>
    <s v="East of England"/>
    <s v="East of England"/>
    <s v="Suffolk"/>
    <s v="Suffolk Coastal"/>
    <s v="Private"/>
    <d v="2020-09-07T00:00:00"/>
    <d v="2020-10-07T00:00:00"/>
    <s v="N"/>
  </r>
  <r>
    <s v="Ofsted Social Care Provider Webpage"/>
    <s v="SC036740"/>
    <s v="Secure children's home"/>
    <d v="2003-11-28T00:00:00"/>
    <s v="Active"/>
    <s v="REDACTED"/>
    <s v="East Midlands"/>
    <s v="East Midlands"/>
    <s v="Nottinghamshire"/>
    <s v="Broxtowe"/>
    <s v="Local Authority"/>
    <d v="2020-09-07T00:00:00"/>
    <d v="2020-10-15T00:00:00"/>
    <s v="N"/>
  </r>
  <r>
    <s v="Ofsted Social Care Provider Webpage"/>
    <s v="SC448209"/>
    <s v="Residential special school (registered as a children's home)"/>
    <d v="2012-07-27T00:00:00"/>
    <s v="Active"/>
    <s v="REDACTED"/>
    <s v="West Midlands"/>
    <s v="West Midlands"/>
    <s v="Shropshire"/>
    <s v="The Wrekin"/>
    <s v="Private"/>
    <d v="2020-10-07T00:00:00"/>
    <d v="2020-11-09T00:00:00"/>
    <s v="N"/>
  </r>
  <r>
    <s v="Ofsted Social Care Provider Webpage"/>
    <n v="1264756"/>
    <s v="Children's home"/>
    <d v="2017-10-21T00:00:00"/>
    <s v="Active"/>
    <s v="REDACTED"/>
    <s v="South West"/>
    <s v="South West"/>
    <s v="Devon"/>
    <s v="Tiverton and Honiton"/>
    <s v="Private"/>
    <d v="2020-10-07T00:00:00"/>
    <d v="2020-11-11T00:00:00"/>
    <s v="Y"/>
  </r>
  <r>
    <s v="Ofsted Social Care Provider Webpage"/>
    <s v="SC035380"/>
    <s v="Children's home"/>
    <d v="2003-03-25T00:00:00"/>
    <s v="Active"/>
    <s v="REDACTED"/>
    <s v="North East, Yorkshire and the Humber"/>
    <s v="North East"/>
    <s v="Stockton-on-Tees"/>
    <s v="Stockton South"/>
    <s v="Local Authority"/>
    <d v="2020-10-07T00:00:00"/>
    <d v="2020-11-20T00:00:00"/>
    <s v="N"/>
  </r>
  <r>
    <s v="Ofsted Social Care Provider Webpage"/>
    <s v="SC489820"/>
    <s v="Children's home"/>
    <d v="2015-10-09T00:00:00"/>
    <s v="Active"/>
    <s v="REDACTED"/>
    <s v="South West"/>
    <s v="South West"/>
    <s v="Dorset"/>
    <s v="South Dorset"/>
    <s v="Private"/>
    <d v="2020-10-07T00:00:00"/>
    <d v="2020-11-03T00:00:00"/>
    <s v="N"/>
  </r>
  <r>
    <s v="Ofsted Social Care Provider Webpage"/>
    <s v="SC458352"/>
    <s v="Children's home"/>
    <d v="2013-03-14T00:00:00"/>
    <s v="Active"/>
    <s v="REDACTED"/>
    <s v="South West"/>
    <s v="South West"/>
    <s v="Devon"/>
    <s v="Newton Abbot"/>
    <s v="Private"/>
    <d v="2020-10-07T00:00:00"/>
    <d v="2020-11-19T00:00:00"/>
    <s v="N"/>
  </r>
  <r>
    <s v="Ofsted Social Care Provider Webpage"/>
    <n v="2563818"/>
    <s v="Children's home"/>
    <d v="2020-01-03T00:00:00"/>
    <s v="Active"/>
    <s v="REDACTED"/>
    <s v="West Midlands"/>
    <s v="West Midlands"/>
    <s v="Shropshire"/>
    <s v="North Shropshire"/>
    <s v="Private"/>
    <d v="2020-10-07T00:00:00"/>
    <d v="2020-11-13T00:00:00"/>
    <s v="N"/>
  </r>
  <r>
    <s v="Ofsted Social Care Provider Webpage"/>
    <n v="2567607"/>
    <s v="Children's home"/>
    <d v="2020-02-03T00:00:00"/>
    <s v="Active"/>
    <s v="REDACTED"/>
    <s v="East Midlands"/>
    <s v="East Midlands"/>
    <s v="Leicestershire"/>
    <s v="Loughborough"/>
    <s v="Private"/>
    <d v="2020-10-07T00:00:00"/>
    <d v="2020-11-16T00:00:00"/>
    <s v="Y"/>
  </r>
  <r>
    <s v="Ofsted Social Care Provider Webpage"/>
    <n v="1241975"/>
    <s v="Children's home"/>
    <d v="2017-03-12T00:00:00"/>
    <s v="Active"/>
    <s v="REDACTED"/>
    <s v="West Midlands"/>
    <s v="West Midlands"/>
    <s v="Dudley"/>
    <s v="Dudley North"/>
    <s v="Private"/>
    <d v="2020-10-07T00:00:00"/>
    <d v="2020-11-05T00:00:00"/>
    <s v="N"/>
  </r>
  <r>
    <s v="Ofsted Social Care Provider Webpage"/>
    <n v="2548569"/>
    <s v="Children's home"/>
    <d v="2019-10-01T00:00:00"/>
    <s v="Active"/>
    <s v="REDACTED"/>
    <s v="West Midlands"/>
    <s v="West Midlands"/>
    <s v="Worcestershire"/>
    <s v="Mid Worcestershire"/>
    <s v="Private"/>
    <d v="2020-10-07T00:00:00"/>
    <d v="2020-10-30T00:00:00"/>
    <s v="N"/>
  </r>
  <r>
    <s v="Ofsted Social Care Provider Webpage"/>
    <s v="SC486398"/>
    <s v="Children's home"/>
    <d v="2015-05-14T00:00:00"/>
    <s v="Active"/>
    <s v="REDACTED"/>
    <s v="East Midlands"/>
    <s v="East Midlands"/>
    <s v="Leicestershire"/>
    <s v="Harborough"/>
    <s v="Private"/>
    <d v="2020-10-07T00:00:00"/>
    <d v="2020-11-12T00:00:00"/>
    <s v="N"/>
  </r>
  <r>
    <s v="Ofsted Social Care Provider Webpage"/>
    <s v="SC029560"/>
    <s v="Children's home"/>
    <d v="2002-05-22T00:00:00"/>
    <s v="Active"/>
    <s v="REDACTED"/>
    <s v="East of England"/>
    <s v="East of England"/>
    <s v="Southend on Sea"/>
    <s v="Rochford and Southend East"/>
    <s v="Private"/>
    <d v="2020-10-07T00:00:00"/>
    <d v="2020-11-05T00:00:00"/>
    <s v="N"/>
  </r>
  <r>
    <s v="Ofsted Social Care Provider Webpage"/>
    <n v="1256658"/>
    <s v="Children's home"/>
    <d v="2017-07-04T00:00:00"/>
    <s v="Active"/>
    <s v="REDACTED"/>
    <s v="North West"/>
    <s v="North West"/>
    <s v="Halton"/>
    <s v="Halton"/>
    <s v="Private"/>
    <d v="2020-10-07T00:00:00"/>
    <d v="2020-11-09T00:00:00"/>
    <s v="N"/>
  </r>
  <r>
    <s v="Ofsted Social Care Provider Webpage"/>
    <s v="SC437171"/>
    <s v="Children's home"/>
    <d v="2011-09-28T00:00:00"/>
    <s v="Active"/>
    <s v="REDACTED"/>
    <s v="South West"/>
    <s v="South West"/>
    <s v="Swindon"/>
    <s v="North Swindon"/>
    <s v="Private"/>
    <d v="2020-10-07T00:00:00"/>
    <d v="2020-11-09T00:00:00"/>
    <s v="N"/>
  </r>
  <r>
    <s v="Ofsted Social Care Provider Webpage"/>
    <n v="1244493"/>
    <s v="Children's home"/>
    <d v="2017-02-10T00:00:00"/>
    <s v="Active"/>
    <s v="REDACTED"/>
    <s v="North West"/>
    <s v="North West"/>
    <s v="Tameside"/>
    <s v="Stalybridge and Hyde"/>
    <s v="Private"/>
    <d v="2020-10-07T00:00:00"/>
    <d v="2020-11-17T00:00:00"/>
    <s v="N"/>
  </r>
  <r>
    <s v="Ofsted Social Care Provider Webpage"/>
    <s v="SC007943"/>
    <s v="Residential Special School"/>
    <d v="2002-02-13T00:00:00"/>
    <s v="Active"/>
    <s v="Welburn Hall School"/>
    <s v="North East, Yorkshire and the Humber"/>
    <s v="Yorkshire and The Humber"/>
    <s v="North Yorkshire"/>
    <s v="Thirsk and Malton"/>
    <s v="Local Authority"/>
    <d v="2020-10-07T00:00:00"/>
    <d v="2020-11-12T00:00:00"/>
    <s v="N"/>
  </r>
  <r>
    <s v="Ofsted Social Care Provider Webpage"/>
    <s v="SC474179"/>
    <s v="Children's home"/>
    <d v="2014-04-29T00:00:00"/>
    <s v="Active"/>
    <s v="REDACTED"/>
    <s v="West Midlands"/>
    <s v="West Midlands"/>
    <s v="Staffordshire"/>
    <s v="Burton"/>
    <s v="Private"/>
    <d v="2020-10-07T00:00:00"/>
    <d v="2020-11-09T00:00:00"/>
    <s v="N"/>
  </r>
  <r>
    <s v="Ofsted Social Care Provider Webpage"/>
    <n v="1232658"/>
    <s v="Children's home"/>
    <d v="2016-10-17T00:00:00"/>
    <s v="Active"/>
    <s v="REDACTED"/>
    <s v="North West"/>
    <s v="North West"/>
    <s v="Cheshire East"/>
    <s v="Congleton"/>
    <s v="Private"/>
    <d v="2020-10-07T00:00:00"/>
    <d v="2020-11-11T00:00:00"/>
    <s v="N"/>
  </r>
  <r>
    <s v="Ofsted Social Care Provider Webpage"/>
    <n v="1271375"/>
    <s v="Children's home"/>
    <d v="2018-03-12T00:00:00"/>
    <s v="Active"/>
    <s v="REDACTED"/>
    <s v="North West"/>
    <s v="North West"/>
    <s v="Lancashire"/>
    <s v="Preston"/>
    <s v="Private"/>
    <d v="2020-10-07T00:00:00"/>
    <d v="2020-11-27T00:00:00"/>
    <s v="Y"/>
  </r>
  <r>
    <s v="Ofsted Social Care Provider Webpage"/>
    <s v="SC481295"/>
    <s v="Children's home"/>
    <d v="2014-09-23T00:00:00"/>
    <s v="Active"/>
    <s v="REDACTED"/>
    <s v="North West"/>
    <s v="North West"/>
    <s v="Cheshire West and Chester"/>
    <s v="Eddisbury"/>
    <s v="Private"/>
    <d v="2020-10-07T00:00:00"/>
    <d v="2020-11-06T00:00:00"/>
    <s v="N"/>
  </r>
  <r>
    <s v="Ofsted Social Care Provider Webpage"/>
    <s v="SC386258"/>
    <s v="Children's home"/>
    <d v="2008-12-15T00:00:00"/>
    <s v="Active"/>
    <s v="REDACTED"/>
    <s v="East of England"/>
    <s v="East of England"/>
    <s v="Suffolk"/>
    <s v="Ipswich"/>
    <s v="Private"/>
    <d v="2020-10-07T00:00:00"/>
    <d v="2020-11-09T00:00:00"/>
    <s v="N"/>
  </r>
  <r>
    <s v="Ofsted Social Care Provider Webpage"/>
    <n v="1159397"/>
    <s v="Children's home"/>
    <d v="2016-04-04T00:00:00"/>
    <s v="Active"/>
    <s v="REDACTED"/>
    <s v="North East, Yorkshire and the Humber"/>
    <s v="Yorkshire and The Humber"/>
    <s v="North Yorkshire"/>
    <s v="Selby and Ainsty"/>
    <s v="Private"/>
    <d v="2020-10-07T00:00:00"/>
    <d v="2020-11-12T00:00:00"/>
    <s v="N"/>
  </r>
  <r>
    <s v="Ofsted Social Care Provider Webpage"/>
    <n v="1225136"/>
    <s v="Children's home"/>
    <d v="2016-05-18T00:00:00"/>
    <s v="Active"/>
    <s v="REDACTED"/>
    <s v="North West"/>
    <s v="North West"/>
    <s v="Lancashire"/>
    <s v="Preston"/>
    <s v="Private"/>
    <d v="2020-10-07T00:00:00"/>
    <d v="2020-11-11T00:00:00"/>
    <s v="N"/>
  </r>
  <r>
    <s v="Ofsted Social Care Provider Webpage"/>
    <s v="SC378600"/>
    <s v="Children's home"/>
    <d v="2008-07-24T00:00:00"/>
    <s v="Active"/>
    <s v="REDACTED"/>
    <s v="East Midlands"/>
    <s v="East Midlands"/>
    <s v="Leicestershire"/>
    <s v="Bosworth"/>
    <s v="Private"/>
    <d v="2020-10-07T00:00:00"/>
    <d v="2020-11-11T00:00:00"/>
    <s v="Y"/>
  </r>
  <r>
    <s v="Ofsted Social Care Provider Webpage"/>
    <s v="SC489610"/>
    <s v="Children's home"/>
    <d v="2015-05-29T00:00:00"/>
    <s v="Active"/>
    <s v="REDACTED"/>
    <s v="East Midlands"/>
    <s v="East Midlands"/>
    <s v="Derbyshire"/>
    <s v="South Derbyshire"/>
    <s v="Private"/>
    <d v="2020-10-07T00:00:00"/>
    <d v="2020-11-10T00:00:00"/>
    <s v="N"/>
  </r>
  <r>
    <s v="Ofsted Social Care Provider Webpage"/>
    <s v="SC456800"/>
    <s v="Children's home"/>
    <d v="2013-02-14T00:00:00"/>
    <s v="Active"/>
    <s v="REDACTED"/>
    <s v="North West"/>
    <s v="North West"/>
    <s v="Warrington"/>
    <s v="Warrington North"/>
    <s v="Private"/>
    <d v="2020-10-07T00:00:00"/>
    <d v="2020-11-17T00:00:00"/>
    <s v="N"/>
  </r>
  <r>
    <s v="Ofsted Social Care Provider Webpage"/>
    <s v="SC403890"/>
    <s v="Children's home"/>
    <d v="2010-05-20T00:00:00"/>
    <s v="Active"/>
    <s v="REDACTED"/>
    <s v="North East, Yorkshire and the Humber"/>
    <s v="Yorkshire and The Humber"/>
    <s v="Leeds"/>
    <s v="Leeds West"/>
    <s v="Private"/>
    <d v="2020-12-07T00:00:00"/>
    <d v="2021-01-12T00:00:00"/>
    <s v="N"/>
  </r>
  <r>
    <s v="Ofsted Social Care Provider Webpage"/>
    <s v="SC025938"/>
    <s v="Children's home"/>
    <d v="1996-08-09T00:00:00"/>
    <s v="Active"/>
    <s v="REDACTED"/>
    <s v="London"/>
    <s v="London"/>
    <s v="Redbridge"/>
    <s v="Ilford South"/>
    <s v="Private"/>
    <d v="2020-12-07T00:00:00"/>
    <d v="2021-01-14T00:00:00"/>
    <s v="N"/>
  </r>
  <r>
    <s v="Ofsted Social Care Provider Webpage"/>
    <s v="SC066458"/>
    <s v="Children's home"/>
    <d v="2006-03-30T00:00:00"/>
    <s v="Active"/>
    <s v="REDACTED"/>
    <s v="North East, Yorkshire and the Humber"/>
    <s v="Yorkshire and The Humber"/>
    <s v="Leeds"/>
    <s v="Leeds North East"/>
    <s v="Private"/>
    <d v="2020-12-07T00:00:00"/>
    <d v="2021-01-13T00:00:00"/>
    <s v="N"/>
  </r>
  <r>
    <s v="Ofsted Social Care Provider Webpage"/>
    <n v="1240802"/>
    <s v="Children's home"/>
    <d v="2016-07-13T00:00:00"/>
    <s v="Active"/>
    <s v="REDACTED"/>
    <s v="South West"/>
    <s v="South West"/>
    <s v="Somerset"/>
    <s v="Taunton Deane"/>
    <s v="Private"/>
    <d v="2020-09-08T00:00:00"/>
    <d v="2020-10-26T00:00:00"/>
    <s v="N"/>
  </r>
  <r>
    <s v="Ofsted Social Care Provider Webpage"/>
    <s v="SC368032"/>
    <s v="Children's home"/>
    <d v="2008-03-03T00:00:00"/>
    <s v="Resigned"/>
    <s v="REDACTED"/>
    <s v="West Midlands"/>
    <s v="West Midlands"/>
    <s v="Walsall"/>
    <s v="Aldridge-Brownhills"/>
    <s v="Private"/>
    <d v="2020-09-08T00:00:00"/>
    <d v="2020-11-02T00:00:00"/>
    <s v="Y"/>
  </r>
  <r>
    <s v="Ofsted Social Care Provider Webpage"/>
    <n v="1253711"/>
    <s v="Children's home"/>
    <d v="2017-07-10T00:00:00"/>
    <s v="Active"/>
    <s v="REDACTED"/>
    <s v="West Midlands"/>
    <s v="West Midlands"/>
    <s v="Birmingham"/>
    <s v="Birmingham, Selly Oak"/>
    <s v="Private"/>
    <d v="2020-09-08T00:00:00"/>
    <d v="2020-10-12T00:00:00"/>
    <s v="N"/>
  </r>
  <r>
    <s v="Ofsted Social Care Provider Webpage"/>
    <s v="SC405985"/>
    <s v="Children's home"/>
    <d v="2010-03-02T00:00:00"/>
    <s v="Active"/>
    <s v="REDACTED"/>
    <s v="East of England"/>
    <s v="East of England"/>
    <s v="Essex"/>
    <s v="Witham"/>
    <s v="Private"/>
    <d v="2020-09-08T00:00:00"/>
    <d v="2020-10-13T00:00:00"/>
    <s v="N"/>
  </r>
  <r>
    <s v="Ofsted Social Care Provider Webpage"/>
    <s v="SC406636"/>
    <s v="Children's home"/>
    <d v="2010-03-24T00:00:00"/>
    <s v="Active"/>
    <s v="REDACTED"/>
    <s v="North West"/>
    <s v="North West"/>
    <s v="St Helens"/>
    <s v="St Helens North"/>
    <s v="Private"/>
    <d v="2020-09-08T00:00:00"/>
    <d v="2020-11-03T00:00:00"/>
    <s v="Y"/>
  </r>
  <r>
    <s v="Ofsted Social Care Provider Webpage"/>
    <s v="SC478134"/>
    <s v="Children's home"/>
    <d v="2014-06-24T00:00:00"/>
    <s v="Active"/>
    <s v="REDACTED"/>
    <s v="West Midlands"/>
    <s v="West Midlands"/>
    <s v="Worcestershire"/>
    <s v="West Worcestershire"/>
    <s v="Private"/>
    <d v="2020-09-08T00:00:00"/>
    <d v="2020-10-07T00:00:00"/>
    <s v="N"/>
  </r>
  <r>
    <s v="Ofsted Social Care Provider Webpage"/>
    <n v="1234166"/>
    <s v="Children's home"/>
    <d v="2016-09-20T00:00:00"/>
    <s v="Active"/>
    <s v="REDACTED"/>
    <s v="London"/>
    <s v="London"/>
    <s v="Newham"/>
    <s v="West Ham"/>
    <s v="Private"/>
    <d v="2020-09-08T00:00:00"/>
    <d v="2020-10-07T00:00:00"/>
    <s v="N"/>
  </r>
  <r>
    <s v="Ofsted Social Care Provider Webpage"/>
    <n v="1264438"/>
    <s v="Children's home"/>
    <d v="2017-12-13T00:00:00"/>
    <s v="Active"/>
    <s v="REDACTED"/>
    <s v="North East, Yorkshire and the Humber"/>
    <s v="Yorkshire and The Humber"/>
    <s v="Doncaster"/>
    <s v="Don Valley"/>
    <s v="Private"/>
    <d v="2020-09-08T00:00:00"/>
    <d v="2020-10-15T00:00:00"/>
    <s v="N"/>
  </r>
  <r>
    <s v="Ofsted Social Care Provider Webpage"/>
    <n v="1247560"/>
    <s v="Children's home"/>
    <d v="2017-03-09T00:00:00"/>
    <s v="Active"/>
    <s v="REDACTED"/>
    <s v="North West"/>
    <s v="North West"/>
    <s v="Cumbria"/>
    <s v="Westmorland and Lonsdale"/>
    <s v="Private"/>
    <d v="2020-09-08T00:00:00"/>
    <d v="2020-10-30T00:00:00"/>
    <s v="N"/>
  </r>
  <r>
    <s v="Ofsted Social Care Provider Webpage"/>
    <s v="SC487549"/>
    <s v="Children's home"/>
    <d v="2015-06-12T00:00:00"/>
    <s v="Active"/>
    <s v="REDACTED"/>
    <s v="North West"/>
    <s v="North West"/>
    <s v="Cumbria"/>
    <s v="Penrith and The Border"/>
    <s v="Private"/>
    <d v="2020-09-08T00:00:00"/>
    <d v="2020-10-13T00:00:00"/>
    <s v="N"/>
  </r>
  <r>
    <s v="Ofsted Social Care Provider Webpage"/>
    <s v="SC483533"/>
    <s v="Children's home"/>
    <d v="2015-01-27T00:00:00"/>
    <s v="Active"/>
    <s v="REDACTED"/>
    <s v="North West"/>
    <s v="North West"/>
    <s v="Bolton"/>
    <s v="Bolton North East"/>
    <s v="Voluntary"/>
    <d v="2020-09-08T00:00:00"/>
    <d v="2020-10-15T00:00:00"/>
    <s v="N"/>
  </r>
  <r>
    <s v="Ofsted Social Care Provider Webpage"/>
    <n v="1234990"/>
    <s v="Children's home"/>
    <d v="2017-05-02T00:00:00"/>
    <s v="Active"/>
    <s v="REDACTED"/>
    <s v="North East, Yorkshire and the Humber"/>
    <s v="North East"/>
    <s v="Newcastle upon Tyne"/>
    <s v="Newcastle upon Tyne East"/>
    <s v="Voluntary"/>
    <d v="2020-09-08T00:00:00"/>
    <d v="2020-10-15T00:00:00"/>
    <s v="Y"/>
  </r>
  <r>
    <s v="Ofsted Social Care Provider Webpage"/>
    <s v="SC033896"/>
    <s v="Children's home"/>
    <d v="2003-03-06T00:00:00"/>
    <s v="Active"/>
    <s v="REDACTED"/>
    <s v="South East"/>
    <s v="South East"/>
    <s v="Oxfordshire"/>
    <s v="Oxford West and Abingdon"/>
    <s v="Local Authority"/>
    <d v="2020-09-08T00:00:00"/>
    <d v="2020-10-06T00:00:00"/>
    <s v="N"/>
  </r>
  <r>
    <s v="Ofsted Social Care Provider Webpage"/>
    <n v="1156098"/>
    <s v="Children's home"/>
    <d v="2016-01-06T00:00:00"/>
    <s v="Active"/>
    <s v="REDACTED"/>
    <s v="North West"/>
    <s v="North West"/>
    <s v="Bolton"/>
    <s v="Bolton South East"/>
    <s v="Private"/>
    <d v="2020-09-08T00:00:00"/>
    <d v="2020-10-16T00:00:00"/>
    <s v="N"/>
  </r>
  <r>
    <s v="Ofsted Social Care Provider Webpage"/>
    <n v="1159884"/>
    <s v="Children's home"/>
    <d v="2016-03-07T00:00:00"/>
    <s v="Active"/>
    <s v="REDACTED"/>
    <s v="North East, Yorkshire and the Humber"/>
    <s v="North East"/>
    <s v="Stockton-on-Tees"/>
    <s v="Stockton North"/>
    <s v="Private"/>
    <d v="2020-09-08T00:00:00"/>
    <d v="2020-11-03T00:00:00"/>
    <s v="Y"/>
  </r>
  <r>
    <s v="Ofsted Social Care Provider Webpage"/>
    <s v="SC040631"/>
    <s v="Children's home"/>
    <d v="2003-11-18T00:00:00"/>
    <s v="Active"/>
    <s v="REDACTED"/>
    <s v="South East"/>
    <s v="South East"/>
    <s v="Surrey"/>
    <s v="Esher and Walton"/>
    <s v="Local Authority"/>
    <d v="2020-09-08T00:00:00"/>
    <d v="2020-10-19T00:00:00"/>
    <s v="N"/>
  </r>
  <r>
    <s v="Ofsted Social Care Provider Webpage"/>
    <n v="2537149"/>
    <s v="Children's home"/>
    <d v="2019-09-05T00:00:00"/>
    <s v="Active"/>
    <s v="REDACTED"/>
    <s v="South West"/>
    <s v="South West"/>
    <s v="North Somerset"/>
    <s v="North Somerset"/>
    <s v="Private"/>
    <d v="2020-09-08T00:00:00"/>
    <d v="2020-10-08T00:00:00"/>
    <s v="N"/>
  </r>
  <r>
    <s v="Ofsted Social Care Provider Webpage"/>
    <s v="SC482415"/>
    <s v="Children's home"/>
    <d v="2015-10-09T00:00:00"/>
    <s v="Active"/>
    <s v="REDACTED"/>
    <s v="North East, Yorkshire and the Humber"/>
    <s v="Yorkshire and The Humber"/>
    <s v="Leeds"/>
    <s v="Morley and Outwood"/>
    <s v="Private"/>
    <d v="2020-09-08T00:00:00"/>
    <d v="2020-10-14T00:00:00"/>
    <s v="N"/>
  </r>
  <r>
    <s v="Ofsted Social Care Provider Webpage"/>
    <s v="SC033174"/>
    <s v="Children's home"/>
    <d v="2003-12-05T00:00:00"/>
    <s v="Active"/>
    <s v="REDACTED"/>
    <s v="South East"/>
    <s v="South East"/>
    <s v="Hampshire"/>
    <s v="North East Hampshire"/>
    <s v="Local Authority"/>
    <d v="2020-09-08T00:00:00"/>
    <d v="2020-10-13T00:00:00"/>
    <s v="Y"/>
  </r>
  <r>
    <s v="Ofsted Social Care Provider Webpage"/>
    <s v="SC033502"/>
    <s v="Children's home"/>
    <d v="2003-06-26T00:00:00"/>
    <s v="Active"/>
    <s v="REDACTED"/>
    <s v="North East, Yorkshire and the Humber"/>
    <s v="Yorkshire and The Humber"/>
    <s v="Bradford"/>
    <s v="Bradford East"/>
    <s v="Local Authority"/>
    <d v="2020-09-08T00:00:00"/>
    <d v="2020-10-08T00:00:00"/>
    <s v="N"/>
  </r>
  <r>
    <s v="Ofsted Social Care Provider Webpage"/>
    <s v="SC000802"/>
    <s v="Children's home"/>
    <d v="2001-05-02T00:00:00"/>
    <s v="Active"/>
    <s v="REDACTED"/>
    <s v="North East, Yorkshire and the Humber"/>
    <s v="North East"/>
    <s v="Darlington"/>
    <s v="Sedgefield"/>
    <s v="Private"/>
    <d v="2020-09-08T00:00:00"/>
    <d v="2020-10-20T00:00:00"/>
    <s v="N"/>
  </r>
  <r>
    <s v="Ofsted Social Care Provider Webpage"/>
    <s v="SC003884"/>
    <s v="Children's home"/>
    <d v="2001-10-19T00:00:00"/>
    <s v="Active"/>
    <s v="REDACTED"/>
    <s v="South West"/>
    <s v="South West"/>
    <s v="Devon"/>
    <s v="Newton Abbot"/>
    <s v="Private"/>
    <d v="2020-10-08T00:00:00"/>
    <d v="2020-11-16T00:00:00"/>
    <s v="N"/>
  </r>
  <r>
    <s v="Ofsted Social Care Provider Webpage"/>
    <n v="1254840"/>
    <s v="Children's home"/>
    <d v="2018-01-05T00:00:00"/>
    <s v="Active"/>
    <s v="REDACTED"/>
    <s v="West Midlands"/>
    <s v="West Midlands"/>
    <s v="Wolverhampton"/>
    <s v="Wolverhampton South West"/>
    <s v="Private"/>
    <d v="2020-10-08T00:00:00"/>
    <d v="2020-11-09T00:00:00"/>
    <s v="N"/>
  </r>
  <r>
    <s v="Ofsted Social Care Provider Webpage"/>
    <n v="1242216"/>
    <s v="Children's home"/>
    <d v="2016-09-22T00:00:00"/>
    <s v="Active"/>
    <s v="REDACTED"/>
    <s v="East Midlands"/>
    <s v="East Midlands"/>
    <s v="Leicestershire"/>
    <s v="North West Leicestershire"/>
    <s v="Private"/>
    <d v="2020-10-08T00:00:00"/>
    <d v="2020-11-11T00:00:00"/>
    <s v="N"/>
  </r>
  <r>
    <s v="Ofsted Social Care Provider Webpage"/>
    <s v="SC394283"/>
    <s v="Children's home"/>
    <d v="2009-05-13T00:00:00"/>
    <s v="Active"/>
    <s v="REDACTED"/>
    <s v="North West"/>
    <s v="North West"/>
    <s v="Salford"/>
    <s v="Worsley and Eccles South"/>
    <s v="Local Authority"/>
    <d v="2020-10-08T00:00:00"/>
    <d v="2020-11-04T00:00:00"/>
    <s v="N"/>
  </r>
  <r>
    <s v="Ofsted Social Care Provider Webpage"/>
    <s v="SC064011"/>
    <s v="Children's home"/>
    <d v="2005-04-11T00:00:00"/>
    <s v="Active"/>
    <s v="REDACTED"/>
    <s v="South East"/>
    <s v="South East"/>
    <s v="East Sussex"/>
    <s v="Hastings and Rye"/>
    <s v="Private"/>
    <d v="2020-10-08T00:00:00"/>
    <d v="2020-12-08T00:00:00"/>
    <s v="N"/>
  </r>
  <r>
    <s v="Ofsted Social Care Provider Webpage"/>
    <n v="1234243"/>
    <s v="Children's home"/>
    <d v="2016-05-27T00:00:00"/>
    <s v="Active"/>
    <s v="REDACTED"/>
    <s v="East Midlands"/>
    <s v="East Midlands"/>
    <s v="Leicestershire"/>
    <s v="Charnwood"/>
    <s v="Private"/>
    <d v="2020-12-08T00:00:00"/>
    <d v="2021-01-20T00:00:00"/>
    <s v="N"/>
  </r>
  <r>
    <s v="Ofsted Social Care Provider Webpage"/>
    <n v="2517054"/>
    <s v="Children's home"/>
    <d v="2020-02-11T00:00:00"/>
    <s v="Active"/>
    <s v="REDACTED"/>
    <s v="London"/>
    <s v="London"/>
    <s v="Lewisham"/>
    <s v="Lewisham, Deptford"/>
    <s v="Private"/>
    <d v="2020-12-08T00:00:00"/>
    <d v="2021-01-13T00:00:00"/>
    <s v="N"/>
  </r>
  <r>
    <s v="Ofsted Social Care Provider Webpage"/>
    <s v="SC023746"/>
    <s v="Children's home"/>
    <d v="2001-06-26T00:00:00"/>
    <s v="Active"/>
    <s v="REDACTED"/>
    <s v="South East"/>
    <s v="South East"/>
    <s v="Kent"/>
    <s v="South Thanet"/>
    <s v="Private"/>
    <d v="2020-12-08T00:00:00"/>
    <d v="2021-01-26T00:00:00"/>
    <s v="N"/>
  </r>
  <r>
    <s v="Ofsted Social Care Provider Webpage"/>
    <n v="2545733"/>
    <s v="Children's home"/>
    <d v="2019-10-23T00:00:00"/>
    <s v="Active"/>
    <s v="REDACTED"/>
    <s v="North West"/>
    <s v="North West"/>
    <s v="Lancashire"/>
    <s v="Fylde"/>
    <s v="Private"/>
    <d v="2020-12-08T00:00:00"/>
    <d v="2021-01-19T00:00:00"/>
    <s v="N"/>
  </r>
  <r>
    <s v="Ofsted Social Care Provider Webpage"/>
    <s v="SC068410"/>
    <s v="Residential special school (registered as a children's home)"/>
    <d v="2006-11-17T00:00:00"/>
    <s v="Active"/>
    <s v="REDACTED"/>
    <s v="West Midlands"/>
    <s v="West Midlands"/>
    <s v="Warwickshire"/>
    <s v="North Warwickshire"/>
    <s v="Private"/>
    <d v="2020-12-08T00:00:00"/>
    <d v="2021-01-22T00:00:00"/>
    <s v="N"/>
  </r>
  <r>
    <s v="Ofsted Social Care Provider Webpage"/>
    <n v="2580303"/>
    <s v="Children's home"/>
    <d v="2020-04-24T00:00:00"/>
    <s v="Active"/>
    <s v="REDACTED"/>
    <s v="West Midlands"/>
    <s v="West Midlands"/>
    <s v="Shropshire"/>
    <s v="Ludlow"/>
    <s v="Private"/>
    <d v="2020-12-08T00:00:00"/>
    <d v="2021-01-15T00:00:00"/>
    <s v="N"/>
  </r>
  <r>
    <s v="Ofsted Social Care Provider Webpage"/>
    <s v="SC459857"/>
    <s v="Children's home"/>
    <d v="2013-04-26T00:00:00"/>
    <s v="Active"/>
    <s v="REDACTED"/>
    <s v="London"/>
    <s v="London"/>
    <s v="Ealing"/>
    <s v="Ealing Central and Acton"/>
    <s v="Voluntary"/>
    <d v="2020-12-08T00:00:00"/>
    <d v="2021-01-21T00:00:00"/>
    <s v="N"/>
  </r>
  <r>
    <s v="Ofsted Social Care Provider Webpage"/>
    <s v="SC031698"/>
    <s v="Children's home"/>
    <d v="2003-07-31T00:00:00"/>
    <s v="Active"/>
    <s v="REDACTED"/>
    <s v="South East"/>
    <s v="South East"/>
    <s v="East Sussex"/>
    <s v="Bexhill and Battle"/>
    <s v="Local Authority"/>
    <d v="2020-12-08T00:00:00"/>
    <d v="2021-01-27T00:00:00"/>
    <s v="N"/>
  </r>
  <r>
    <s v="Ofsted Social Care Provider Webpage"/>
    <s v="SC377825"/>
    <s v="Children's home"/>
    <d v="2008-07-08T00:00:00"/>
    <s v="Active"/>
    <s v="REDACTED"/>
    <s v="West Midlands"/>
    <s v="West Midlands"/>
    <s v="Birmingham"/>
    <s v="Birmingham, Perry Barr"/>
    <s v="Private"/>
    <d v="2020-12-08T00:00:00"/>
    <d v="2021-01-25T00:00:00"/>
    <s v="N"/>
  </r>
  <r>
    <s v="Ofsted Social Care Provider Webpage"/>
    <s v="SC458141"/>
    <s v="Children's home"/>
    <d v="2013-01-10T00:00:00"/>
    <s v="Active"/>
    <s v="REDACTED"/>
    <s v="East of England"/>
    <s v="East of England"/>
    <s v="Hertfordshire"/>
    <s v="Welwyn Hatfield"/>
    <s v="Local Authority"/>
    <d v="2020-12-08T00:00:00"/>
    <d v="2020-12-29T00:00:00"/>
    <s v="N"/>
  </r>
  <r>
    <s v="Ofsted Social Care Provider Webpage"/>
    <n v="1256973"/>
    <s v="Children's home"/>
    <d v="2017-08-04T00:00:00"/>
    <s v="Active"/>
    <s v="REDACTED"/>
    <s v="South East"/>
    <s v="South East"/>
    <s v="Surrey"/>
    <s v="Esher and Walton"/>
    <s v="Private"/>
    <d v="2020-12-08T00:00:00"/>
    <d v="2021-01-15T00:00:00"/>
    <s v="N"/>
  </r>
  <r>
    <s v="Ofsted Social Care Provider Webpage"/>
    <s v="SC034746"/>
    <s v="Children's home"/>
    <d v="2003-04-01T00:00:00"/>
    <s v="Active"/>
    <s v="REDACTED"/>
    <s v="North East, Yorkshire and the Humber"/>
    <s v="Yorkshire and The Humber"/>
    <s v="Kingston upon Hull"/>
    <s v="Kingston upon Hull West and Hessle"/>
    <s v="Local Authority"/>
    <d v="2020-12-08T00:00:00"/>
    <d v="2021-01-25T00:00:00"/>
    <s v="N"/>
  </r>
  <r>
    <s v="Ofsted Social Care Provider Webpage"/>
    <s v="SC490365"/>
    <s v="Children's home"/>
    <d v="2015-05-05T00:00:00"/>
    <s v="Active"/>
    <s v="REDACTED"/>
    <s v="London"/>
    <s v="London"/>
    <s v="Hackney"/>
    <s v="Hackney North and Stoke Newington"/>
    <s v="Private"/>
    <d v="2020-12-08T00:00:00"/>
    <d v="2021-01-19T00:00:00"/>
    <s v="N"/>
  </r>
  <r>
    <s v="Ofsted Social Care Provider Webpage"/>
    <s v="SC014848"/>
    <s v="Children's home"/>
    <d v="2001-07-01T00:00:00"/>
    <s v="Active"/>
    <s v="REDACTED"/>
    <s v="South East"/>
    <s v="South East"/>
    <s v="West Sussex"/>
    <s v="Crawley"/>
    <s v="Private"/>
    <d v="2020-12-08T00:00:00"/>
    <d v="2021-01-27T00:00:00"/>
    <s v="N"/>
  </r>
  <r>
    <s v="Ofsted Social Care Provider Webpage"/>
    <s v="SC429748"/>
    <s v="Children's home"/>
    <d v="2011-07-22T00:00:00"/>
    <s v="Active"/>
    <s v="REDACTED"/>
    <s v="East of England"/>
    <s v="East of England"/>
    <s v="Suffolk"/>
    <s v="South Suffolk"/>
    <s v="Private"/>
    <d v="2020-12-08T00:00:00"/>
    <d v="2021-01-19T00:00:00"/>
    <s v="N"/>
  </r>
  <r>
    <s v="Ofsted Social Care Provider Webpage"/>
    <n v="2552036"/>
    <s v="Children's home"/>
    <d v="2020-01-13T00:00:00"/>
    <s v="Active"/>
    <s v="REDACTED"/>
    <s v="North East, Yorkshire and the Humber"/>
    <s v="North East"/>
    <s v="Newcastle upon Tyne"/>
    <s v="Newcastle upon Tyne East"/>
    <s v="Private"/>
    <d v="2020-12-08T00:00:00"/>
    <d v="2021-01-07T00:00:00"/>
    <s v="N"/>
  </r>
  <r>
    <s v="Ofsted Social Care Provider Webpage"/>
    <n v="1259631"/>
    <s v="Children's home"/>
    <d v="2017-10-13T00:00:00"/>
    <s v="Active"/>
    <s v="REDACTED"/>
    <s v="North East, Yorkshire and the Humber"/>
    <s v="Yorkshire and The Humber"/>
    <s v="Bradford"/>
    <s v="Bradford South"/>
    <s v="Private"/>
    <d v="2020-12-08T00:00:00"/>
    <d v="2021-01-25T00:00:00"/>
    <s v="N"/>
  </r>
  <r>
    <s v="Ofsted Social Care Provider Webpage"/>
    <n v="2546196"/>
    <s v="Children's home"/>
    <d v="2019-09-26T00:00:00"/>
    <s v="Active"/>
    <s v="REDACTED"/>
    <s v="East of England"/>
    <s v="East of England"/>
    <s v="Essex"/>
    <s v="Clacton"/>
    <s v="Private"/>
    <d v="2020-12-08T00:00:00"/>
    <d v="2021-01-18T00:00:00"/>
    <s v="N"/>
  </r>
  <r>
    <s v="Ofsted Social Care Provider Webpage"/>
    <s v="SC482301"/>
    <s v="Children's home"/>
    <d v="2014-09-22T00:00:00"/>
    <s v="Active"/>
    <s v="REDACTED"/>
    <s v="South East"/>
    <s v="South East"/>
    <s v="Hampshire"/>
    <s v="Havant"/>
    <s v="Private"/>
    <d v="2020-12-08T00:00:00"/>
    <d v="2021-01-27T00:00:00"/>
    <s v="N"/>
  </r>
  <r>
    <s v="Ofsted Social Care Provider Webpage"/>
    <s v="SC372504"/>
    <s v="Residential special school (registered as a children's home)"/>
    <d v="2009-08-14T00:00:00"/>
    <s v="Active"/>
    <s v="REDACTED"/>
    <s v="East Midlands"/>
    <s v="East Midlands"/>
    <s v="Derbyshire"/>
    <s v="South Derbyshire"/>
    <s v="Private"/>
    <d v="2020-12-08T00:00:00"/>
    <d v="2021-01-18T00:00:00"/>
    <s v="N"/>
  </r>
  <r>
    <s v="Ofsted Social Care Provider Webpage"/>
    <n v="1258091"/>
    <s v="Children's home"/>
    <d v="2017-08-20T00:00:00"/>
    <s v="Active"/>
    <s v="REDACTED"/>
    <s v="West Midlands"/>
    <s v="West Midlands"/>
    <s v="Staffordshire"/>
    <s v="Tamworth"/>
    <s v="Private"/>
    <d v="2020-12-08T00:00:00"/>
    <d v="2021-01-15T00:00:00"/>
    <s v="N"/>
  </r>
  <r>
    <s v="Ofsted Social Care Provider Webpage"/>
    <s v="SC470797"/>
    <s v="Children's home"/>
    <d v="2013-10-16T00:00:00"/>
    <s v="Active"/>
    <s v="REDACTED"/>
    <s v="North West"/>
    <s v="North West"/>
    <s v="Bolton"/>
    <s v="Bolton North East"/>
    <s v="Voluntary"/>
    <d v="2020-12-08T00:00:00"/>
    <d v="2021-01-19T00:00:00"/>
    <s v="N"/>
  </r>
  <r>
    <s v="Ofsted Social Care Provider Webpage"/>
    <s v="SC040628"/>
    <s v="Children's home"/>
    <d v="2003-10-10T00:00:00"/>
    <s v="Active"/>
    <s v="REDACTED"/>
    <s v="South East"/>
    <s v="South East"/>
    <s v="Surrey"/>
    <s v="Epsom and Ewell"/>
    <s v="Local Authority"/>
    <d v="2020-12-08T00:00:00"/>
    <d v="2021-01-26T00:00:00"/>
    <s v="N"/>
  </r>
  <r>
    <s v="Ofsted Social Care Provider Webpage"/>
    <s v="SC480850"/>
    <s v="Children's home"/>
    <d v="2014-11-11T00:00:00"/>
    <s v="Active"/>
    <s v="REDACTED"/>
    <s v="North East, Yorkshire and the Humber"/>
    <s v="Yorkshire and The Humber"/>
    <s v="York"/>
    <s v="York Central"/>
    <s v="Private"/>
    <d v="2020-12-08T00:00:00"/>
    <d v="2021-01-21T00:00:00"/>
    <s v="Y"/>
  </r>
  <r>
    <s v="Ofsted Social Care Provider Webpage"/>
    <s v="SC043732"/>
    <s v="Children's home"/>
    <d v="2003-10-09T00:00:00"/>
    <s v="Active"/>
    <s v="REDACTED"/>
    <s v="East Midlands"/>
    <s v="East Midlands"/>
    <s v="Lincolnshire"/>
    <s v="Grantham and Stamford"/>
    <s v="Local Authority"/>
    <d v="2020-12-08T00:00:00"/>
    <d v="2021-01-18T00:00:00"/>
    <s v="N"/>
  </r>
  <r>
    <s v="Ofsted Social Care Provider Webpage"/>
    <s v="SC481221"/>
    <s v="Children's home"/>
    <d v="2014-10-29T00:00:00"/>
    <s v="Active"/>
    <s v="REDACTED"/>
    <s v="East of England"/>
    <s v="East of England"/>
    <s v="Suffolk"/>
    <s v="West Suffolk"/>
    <s v="Private"/>
    <d v="2020-12-08T00:00:00"/>
    <d v="2021-01-05T00:00:00"/>
    <s v="N"/>
  </r>
  <r>
    <s v="Ofsted Social Care Provider Webpage"/>
    <n v="2541467"/>
    <s v="Children's home"/>
    <d v="2019-12-16T00:00:00"/>
    <s v="Active"/>
    <s v="REDACTED"/>
    <s v="North West"/>
    <s v="North West"/>
    <s v="Liverpool"/>
    <s v="Liverpool, Wavertree"/>
    <s v="Private"/>
    <d v="2020-12-08T00:00:00"/>
    <d v="2021-01-18T00:00:00"/>
    <s v="N"/>
  </r>
  <r>
    <s v="Ofsted Social Care Provider Webpage"/>
    <s v="SC482275"/>
    <s v="Children's home"/>
    <d v="2014-11-14T00:00:00"/>
    <s v="Active"/>
    <s v="REDACTED"/>
    <s v="South West"/>
    <s v="South West"/>
    <s v="Cornwall"/>
    <s v="Camborne and Redruth"/>
    <s v="Private"/>
    <d v="2020-12-08T00:00:00"/>
    <d v="2021-01-25T00:00:00"/>
    <s v="N"/>
  </r>
  <r>
    <s v="Ofsted Social Care Provider Webpage"/>
    <n v="2557141"/>
    <s v="Children's home"/>
    <d v="2020-07-13T00:00:00"/>
    <s v="Active"/>
    <s v="REDACTED"/>
    <s v="London"/>
    <s v="London"/>
    <s v="Bexley"/>
    <s v="Erith and Thamesmead"/>
    <s v="Private"/>
    <d v="2020-12-08T00:00:00"/>
    <d v="2021-01-19T00:00:00"/>
    <s v="N"/>
  </r>
  <r>
    <s v="Ofsted Social Care Provider Webpage"/>
    <n v="2552727"/>
    <s v="Children's home"/>
    <d v="2019-12-02T00:00:00"/>
    <s v="Active"/>
    <s v="REDACTED"/>
    <s v="East of England"/>
    <s v="East of England"/>
    <s v="Suffolk"/>
    <s v="South Suffolk"/>
    <s v="Private"/>
    <d v="2020-12-08T00:00:00"/>
    <d v="2021-01-08T00:00:00"/>
    <s v="N"/>
  </r>
  <r>
    <s v="Ofsted Social Care Provider Webpage"/>
    <n v="1155757"/>
    <s v="Children's home"/>
    <d v="2015-05-18T00:00:00"/>
    <s v="Active"/>
    <s v="REDACTED"/>
    <s v="North East, Yorkshire and the Humber"/>
    <s v="North East"/>
    <s v="Northumberland"/>
    <s v="Wansbeck"/>
    <s v="Local Authority"/>
    <d v="2020-09-09T00:00:00"/>
    <d v="2020-10-07T00:00:00"/>
    <s v="N"/>
  </r>
  <r>
    <s v="Ofsted Social Care Provider Webpage"/>
    <s v="SC489187"/>
    <s v="Children's home"/>
    <d v="2015-10-08T00:00:00"/>
    <s v="Active"/>
    <s v="REDACTED"/>
    <s v="North East, Yorkshire and the Humber"/>
    <s v="North East"/>
    <s v="Redcar and Cleveland"/>
    <s v="Redcar"/>
    <s v="Private"/>
    <d v="2020-09-09T00:00:00"/>
    <d v="2020-10-15T00:00:00"/>
    <s v="N"/>
  </r>
  <r>
    <s v="Ofsted Social Care Provider Webpage"/>
    <s v="SC457488"/>
    <s v="Children's home"/>
    <d v="2013-02-14T00:00:00"/>
    <s v="Active"/>
    <s v="REDACTED"/>
    <s v="West Midlands"/>
    <s v="West Midlands"/>
    <s v="Warwickshire"/>
    <s v="Stratford-on-Avon"/>
    <s v="Private"/>
    <d v="2020-09-09T00:00:00"/>
    <d v="2020-10-13T00:00:00"/>
    <s v="N"/>
  </r>
  <r>
    <s v="Ofsted Social Care Provider Webpage"/>
    <n v="1277079"/>
    <s v="Children's home"/>
    <d v="2018-04-16T00:00:00"/>
    <s v="Active"/>
    <s v="REDACTED"/>
    <s v="North East, Yorkshire and the Humber"/>
    <s v="Yorkshire and The Humber"/>
    <s v="Calderdale"/>
    <s v="Calder Valley"/>
    <s v="Private"/>
    <d v="2020-09-09T00:00:00"/>
    <d v="2020-10-09T00:00:00"/>
    <s v="N"/>
  </r>
  <r>
    <s v="Ofsted Social Care Provider Webpage"/>
    <s v="SC040509"/>
    <s v="Children's home"/>
    <d v="2004-02-25T00:00:00"/>
    <s v="Active"/>
    <s v="REDACTED"/>
    <s v="North West"/>
    <s v="North West"/>
    <s v="Salford"/>
    <s v="Blackley and Broughton"/>
    <s v="Local Authority"/>
    <d v="2020-09-09T00:00:00"/>
    <d v="2020-10-28T00:00:00"/>
    <s v="N"/>
  </r>
  <r>
    <s v="Ofsted Social Care Provider Webpage"/>
    <s v="SC035428"/>
    <s v="Children's home"/>
    <d v="2004-01-05T00:00:00"/>
    <s v="Active"/>
    <s v="REDACTED"/>
    <s v="North West"/>
    <s v="North West"/>
    <s v="Lancashire"/>
    <s v="Wyre and Preston North"/>
    <s v="Local Authority"/>
    <d v="2020-09-09T00:00:00"/>
    <d v="2020-10-21T00:00:00"/>
    <s v="N"/>
  </r>
  <r>
    <s v="Ofsted Social Care Provider Webpage"/>
    <s v="SC034953"/>
    <s v="Children's home"/>
    <d v="2003-08-05T00:00:00"/>
    <s v="Active"/>
    <s v="REDACTED"/>
    <s v="North East, Yorkshire and the Humber"/>
    <s v="Yorkshire and The Humber"/>
    <s v="Calderdale"/>
    <s v="Halifax"/>
    <s v="Local Authority"/>
    <d v="2020-09-09T00:00:00"/>
    <d v="2020-10-14T00:00:00"/>
    <s v="N"/>
  </r>
  <r>
    <s v="Ofsted Social Care Provider Webpage"/>
    <s v="SC454900"/>
    <s v="Children's home"/>
    <d v="2012-11-23T00:00:00"/>
    <s v="Active"/>
    <s v="REDACTED"/>
    <s v="South West"/>
    <s v="South West"/>
    <s v="Plymouth"/>
    <s v="South West Devon"/>
    <s v="Local Authority"/>
    <d v="2020-09-09T00:00:00"/>
    <d v="2020-10-19T00:00:00"/>
    <s v="N"/>
  </r>
  <r>
    <s v="Ofsted Social Care Provider Webpage"/>
    <s v="SC483958"/>
    <s v="Children's home"/>
    <d v="2014-11-11T00:00:00"/>
    <s v="Active"/>
    <s v="REDACTED"/>
    <s v="West Midlands"/>
    <s v="West Midlands"/>
    <s v="Dudley"/>
    <s v="Halesowen and Rowley Regis"/>
    <s v="Private"/>
    <d v="2020-09-09T00:00:00"/>
    <d v="2020-10-07T00:00:00"/>
    <s v="N"/>
  </r>
  <r>
    <s v="Ofsted Social Care Provider Webpage"/>
    <s v="SC489970"/>
    <s v="Children's home"/>
    <d v="2015-07-28T00:00:00"/>
    <s v="Active"/>
    <s v="REDACTED"/>
    <s v="East Midlands"/>
    <s v="East Midlands"/>
    <s v="Leicestershire"/>
    <s v="Bosworth"/>
    <s v="Private"/>
    <d v="2020-09-09T00:00:00"/>
    <d v="2020-11-09T00:00:00"/>
    <s v="Y"/>
  </r>
  <r>
    <s v="Ofsted Social Care Provider Webpage"/>
    <n v="1253623"/>
    <s v="Children's home"/>
    <d v="2017-07-07T00:00:00"/>
    <s v="Active"/>
    <s v="REDACTED"/>
    <s v="West Midlands"/>
    <s v="West Midlands"/>
    <s v="Birmingham"/>
    <s v="Birmingham, Hall Green"/>
    <s v="Private"/>
    <d v="2020-09-09T00:00:00"/>
    <d v="2020-10-16T00:00:00"/>
    <s v="N"/>
  </r>
  <r>
    <s v="Ofsted Social Care Provider Webpage"/>
    <n v="1271998"/>
    <s v="Children's home"/>
    <d v="2018-05-23T00:00:00"/>
    <s v="Active"/>
    <s v="REDACTED"/>
    <s v="North West"/>
    <s v="North West"/>
    <s v="Lancashire"/>
    <s v="Preston"/>
    <s v="Private"/>
    <d v="2020-09-09T00:00:00"/>
    <d v="2020-11-17T00:00:00"/>
    <s v="N"/>
  </r>
  <r>
    <s v="Ofsted Social Care Provider Webpage"/>
    <n v="1227060"/>
    <s v="Residential special school (registered as a children's home)"/>
    <d v="2015-12-09T00:00:00"/>
    <s v="Active"/>
    <s v="REDACTED"/>
    <s v="North East, Yorkshire and the Humber"/>
    <s v="Yorkshire and The Humber"/>
    <s v="North Yorkshire"/>
    <s v="Skipton and Ripon"/>
    <s v="Private"/>
    <d v="2020-09-09T00:00:00"/>
    <d v="2020-11-04T00:00:00"/>
    <s v="N"/>
  </r>
  <r>
    <s v="Ofsted Social Care Provider Webpage"/>
    <n v="2509684"/>
    <s v="Children's home"/>
    <d v="2018-11-30T00:00:00"/>
    <s v="Active"/>
    <s v="REDACTED"/>
    <s v="South West"/>
    <s v="South West"/>
    <s v="Somerset"/>
    <s v="Yeovil"/>
    <s v="Private"/>
    <d v="2020-09-09T00:00:00"/>
    <d v="2020-10-14T00:00:00"/>
    <s v="N"/>
  </r>
  <r>
    <s v="Ofsted Social Care Provider Webpage"/>
    <n v="2509300"/>
    <s v="Children's home"/>
    <d v="2019-03-25T00:00:00"/>
    <s v="Active"/>
    <s v="REDACTED"/>
    <s v="West Midlands"/>
    <s v="West Midlands"/>
    <s v="Warwickshire"/>
    <s v="Rugby"/>
    <s v="Private"/>
    <d v="2020-09-09T00:00:00"/>
    <d v="2020-10-07T00:00:00"/>
    <s v="N"/>
  </r>
  <r>
    <s v="Ofsted Social Care Provider Webpage"/>
    <s v="SC037910"/>
    <s v="Children's home"/>
    <d v="2003-12-09T00:00:00"/>
    <s v="Active"/>
    <s v="REDACTED"/>
    <s v="South East"/>
    <s v="South East"/>
    <s v="Hampshire"/>
    <s v="Basingstoke"/>
    <s v="Local Authority"/>
    <d v="2020-09-09T00:00:00"/>
    <d v="2020-10-06T00:00:00"/>
    <s v="N"/>
  </r>
  <r>
    <s v="Ofsted Social Care Provider Webpage"/>
    <n v="1246521"/>
    <s v="Children's home"/>
    <d v="2016-11-22T00:00:00"/>
    <s v="Active"/>
    <s v="REDACTED"/>
    <s v="South East"/>
    <s v="South East"/>
    <s v="Hampshire"/>
    <s v="Meon Valley"/>
    <s v="Private"/>
    <d v="2020-09-09T00:00:00"/>
    <d v="2020-10-06T00:00:00"/>
    <s v="N"/>
  </r>
  <r>
    <s v="Ofsted Social Care Provider Webpage"/>
    <n v="1229766"/>
    <s v="Residential special school (registered as a children's home)"/>
    <d v="2016-01-14T00:00:00"/>
    <s v="Active"/>
    <s v="REDACTED"/>
    <s v="East of England"/>
    <s v="East of England"/>
    <s v="Cambridgeshire"/>
    <s v="South Cambridgeshire"/>
    <s v="Private"/>
    <d v="2020-09-09T00:00:00"/>
    <d v="2020-10-14T00:00:00"/>
    <s v="N"/>
  </r>
  <r>
    <s v="Ofsted Social Care Provider Webpage"/>
    <n v="1244413"/>
    <s v="Children's home"/>
    <d v="2017-02-03T00:00:00"/>
    <s v="Active"/>
    <s v="REDACTED"/>
    <s v="North East, Yorkshire and the Humber"/>
    <s v="North East"/>
    <s v="Stockton-on-Tees"/>
    <s v="Stockton North"/>
    <s v="Private"/>
    <d v="2020-09-09T00:00:00"/>
    <d v="2020-10-26T00:00:00"/>
    <s v="N"/>
  </r>
  <r>
    <s v="Ofsted Social Care Provider Webpage"/>
    <s v="SC022444"/>
    <s v="Children's home"/>
    <d v="2001-09-26T00:00:00"/>
    <s v="Active"/>
    <s v="REDACTED"/>
    <s v="North West"/>
    <s v="North West"/>
    <s v="St Helens"/>
    <s v="St Helens South and Whiston"/>
    <s v="Private"/>
    <d v="2020-09-09T00:00:00"/>
    <d v="2020-10-08T00:00:00"/>
    <s v="N"/>
  </r>
  <r>
    <s v="Ofsted Social Care Provider Webpage"/>
    <n v="2538285"/>
    <s v="Children's home"/>
    <d v="2019-11-26T00:00:00"/>
    <s v="Active"/>
    <s v="REDACTED"/>
    <s v="North West"/>
    <s v="North West"/>
    <s v="Lancashire"/>
    <s v="Hyndburn"/>
    <s v="Private"/>
    <d v="2020-09-09T00:00:00"/>
    <d v="2020-10-27T00:00:00"/>
    <s v="N"/>
  </r>
  <r>
    <s v="Ofsted Social Care Provider Webpage"/>
    <n v="2484443"/>
    <s v="Children's home"/>
    <d v="2018-08-20T00:00:00"/>
    <s v="Active"/>
    <s v="REDACTED"/>
    <s v="South West"/>
    <s v="South West"/>
    <s v="Somerset"/>
    <s v="Somerton and Frome"/>
    <s v="Private"/>
    <d v="2020-09-09T00:00:00"/>
    <d v="2020-10-21T00:00:00"/>
    <s v="N"/>
  </r>
  <r>
    <s v="Ofsted Social Care Provider Webpage"/>
    <n v="2537782"/>
    <s v="Children's home"/>
    <d v="2019-10-18T00:00:00"/>
    <s v="Active"/>
    <s v="REDACTED"/>
    <s v="East of England"/>
    <s v="East of England"/>
    <s v="Norfolk"/>
    <s v="North Norfolk"/>
    <s v="Private"/>
    <d v="2020-09-09T00:00:00"/>
    <d v="2020-10-07T00:00:00"/>
    <s v="N"/>
  </r>
  <r>
    <s v="Ofsted Social Care Provider Webpage"/>
    <s v="SC476270"/>
    <s v="Children's home"/>
    <d v="2014-02-28T00:00:00"/>
    <s v="Active"/>
    <s v="REDACTED"/>
    <s v="West Midlands"/>
    <s v="West Midlands"/>
    <s v="Walsall"/>
    <s v="Aldridge-Brownhills"/>
    <s v="Private"/>
    <d v="2020-09-09T00:00:00"/>
    <d v="2020-10-27T00:00:00"/>
    <s v="Y"/>
  </r>
  <r>
    <s v="Ofsted Social Care Provider Webpage"/>
    <s v="SC447930"/>
    <s v="Children's home"/>
    <d v="2012-05-28T00:00:00"/>
    <s v="Active"/>
    <s v="REDACTED"/>
    <s v="North West"/>
    <s v="North West"/>
    <s v="Warrington"/>
    <s v="Warrington South"/>
    <s v="Local Authority"/>
    <d v="2020-09-09T00:00:00"/>
    <d v="2020-10-08T00:00:00"/>
    <s v="N"/>
  </r>
  <r>
    <s v="Ofsted Social Care Provider Webpage"/>
    <s v="SC042967"/>
    <s v="Children's home"/>
    <d v="2004-02-20T00:00:00"/>
    <s v="Active"/>
    <s v="REDACTED"/>
    <s v="East Midlands"/>
    <s v="East Midlands"/>
    <s v="Lincolnshire"/>
    <s v="South Holland and The Deepings"/>
    <s v="Local Authority"/>
    <d v="2020-09-09T00:00:00"/>
    <d v="2020-10-27T00:00:00"/>
    <s v="Y"/>
  </r>
  <r>
    <s v="Ofsted Social Care Provider Webpage"/>
    <s v="SC366002"/>
    <s v="Children's home"/>
    <d v="2008-01-23T00:00:00"/>
    <s v="Active"/>
    <s v="REDACTED"/>
    <s v="North West"/>
    <s v="North West"/>
    <s v="Cheshire West and Chester"/>
    <s v="Weaver Vale"/>
    <s v="Private"/>
    <d v="2020-09-09T00:00:00"/>
    <d v="2020-10-16T00:00:00"/>
    <s v="N"/>
  </r>
  <r>
    <s v="Ofsted Social Care Provider Webpage"/>
    <n v="2562531"/>
    <s v="Children's home"/>
    <d v="2019-12-02T00:00:00"/>
    <s v="Active"/>
    <s v="REDACTED"/>
    <s v="West Midlands"/>
    <s v="West Midlands"/>
    <s v="Staffordshire"/>
    <s v="Stone"/>
    <s v="Private"/>
    <d v="2020-09-09T00:00:00"/>
    <d v="2020-10-13T00:00:00"/>
    <s v="N"/>
  </r>
  <r>
    <s v="Ofsted Social Care Provider Webpage"/>
    <s v="SC035648"/>
    <s v="Secure children's home"/>
    <d v="2003-09-04T00:00:00"/>
    <s v="Active"/>
    <s v="REDACTED"/>
    <s v="North East, Yorkshire and the Humber"/>
    <s v="North East"/>
    <s v="Durham"/>
    <s v="Sedgefield"/>
    <s v="Local Authority"/>
    <d v="2020-11-09T00:00:00"/>
    <d v="2020-12-03T00:00:00"/>
    <s v="N"/>
  </r>
  <r>
    <s v="Ofsted Social Care Provider Webpage"/>
    <s v="SC037447"/>
    <s v="Children's home"/>
    <d v="2003-02-21T00:00:00"/>
    <s v="Active"/>
    <s v="REDACTED"/>
    <s v="South East"/>
    <s v="South East"/>
    <s v="West Sussex"/>
    <s v="Mid Sussex"/>
    <s v="Local Authority"/>
    <d v="2020-12-09T00:00:00"/>
    <d v="2021-01-26T00:00:00"/>
    <s v="N"/>
  </r>
  <r>
    <s v="Ofsted Social Care Provider Webpage"/>
    <s v="SC066565"/>
    <s v="Residential special school (registered as a children's home)"/>
    <d v="2006-07-18T00:00:00"/>
    <s v="Active"/>
    <s v="REDACTED"/>
    <s v="North East, Yorkshire and the Humber"/>
    <s v="Yorkshire and The Humber"/>
    <s v="North Lincolnshire"/>
    <s v="Cleethorpes"/>
    <s v="Private"/>
    <d v="2020-12-09T00:00:00"/>
    <d v="2021-01-25T00:00:00"/>
    <s v="N"/>
  </r>
  <r>
    <s v="Ofsted Social Care Provider Webpage"/>
    <s v="SC068955"/>
    <s v="Children's home"/>
    <d v="2006-11-21T00:00:00"/>
    <s v="Active"/>
    <s v="REDACTED"/>
    <s v="East of England"/>
    <s v="East of England"/>
    <s v="Norfolk"/>
    <s v="Norwich South"/>
    <s v="Local Authority"/>
    <d v="2020-12-09T00:00:00"/>
    <d v="2021-01-18T00:00:00"/>
    <s v="N"/>
  </r>
  <r>
    <s v="Ofsted Social Care Provider Webpage"/>
    <s v="SC363144"/>
    <s v="Residential Special School"/>
    <d v="2007-08-30T00:00:00"/>
    <s v="Active"/>
    <s v="Unsted Park School"/>
    <s v="South East"/>
    <s v="South East"/>
    <s v="Surrey"/>
    <s v="South West Surrey"/>
    <s v="Private"/>
    <d v="2020-12-09T00:00:00"/>
    <d v="2021-01-29T00:00:00"/>
    <s v="N"/>
  </r>
  <r>
    <s v="Ofsted Social Care Provider Webpage"/>
    <s v="SC473460"/>
    <s v="Children's home"/>
    <d v="2014-02-28T00:00:00"/>
    <s v="Active"/>
    <s v="REDACTED"/>
    <s v="London"/>
    <s v="London"/>
    <s v="Enfield"/>
    <s v="Enfield North"/>
    <s v="Private"/>
    <d v="2020-12-09T00:00:00"/>
    <d v="2021-01-21T00:00:00"/>
    <s v="N"/>
  </r>
  <r>
    <s v="Ofsted Social Care Provider Webpage"/>
    <s v="SC450992"/>
    <s v="Children's home"/>
    <d v="2012-07-13T00:00:00"/>
    <s v="Active"/>
    <s v="REDACTED"/>
    <s v="West Midlands"/>
    <s v="West Midlands"/>
    <s v="Dudley"/>
    <s v="Dudley South"/>
    <s v="Private"/>
    <d v="2020-12-09T00:00:00"/>
    <d v="2021-01-15T00:00:00"/>
    <s v="N"/>
  </r>
  <r>
    <s v="Ofsted Social Care Provider Webpage"/>
    <n v="2520922"/>
    <s v="Children's home"/>
    <d v="2019-06-06T00:00:00"/>
    <s v="Active"/>
    <s v="REDACTED"/>
    <s v="North East, Yorkshire and the Humber"/>
    <s v="North East"/>
    <s v="Stockton-on-Tees"/>
    <s v="Stockton North"/>
    <s v="Private"/>
    <d v="2020-12-09T00:00:00"/>
    <d v="2021-01-26T00:00:00"/>
    <s v="N"/>
  </r>
  <r>
    <s v="Ofsted Social Care Provider Webpage"/>
    <n v="2569163"/>
    <s v="Children's home"/>
    <d v="2020-03-13T00:00:00"/>
    <s v="Active"/>
    <s v="REDACTED"/>
    <s v="North East, Yorkshire and the Humber"/>
    <s v="Yorkshire and The Humber"/>
    <s v="Doncaster"/>
    <s v="Don Valley"/>
    <s v="Private"/>
    <d v="2020-12-09T00:00:00"/>
    <d v="2021-01-26T00:00:00"/>
    <s v="N"/>
  </r>
  <r>
    <s v="Ofsted Social Care Provider Webpage"/>
    <n v="1258894"/>
    <s v="Children's home"/>
    <d v="2017-08-03T00:00:00"/>
    <s v="Active"/>
    <s v="REDACTED"/>
    <s v="East Midlands"/>
    <s v="East Midlands"/>
    <s v="Leicester"/>
    <s v="Leicester East"/>
    <s v="Private"/>
    <d v="2020-12-09T00:00:00"/>
    <d v="2021-01-21T00:00:00"/>
    <s v="N"/>
  </r>
  <r>
    <s v="Ofsted Social Care Provider Webpage"/>
    <s v="SC052946"/>
    <s v="Children's home"/>
    <d v="2003-12-08T00:00:00"/>
    <s v="Active"/>
    <s v="REDACTED"/>
    <s v="London"/>
    <s v="London"/>
    <s v="Redbridge"/>
    <s v="Ilford North"/>
    <s v="Private"/>
    <d v="2020-12-09T00:00:00"/>
    <d v="2021-01-25T00:00:00"/>
    <s v="N"/>
  </r>
  <r>
    <s v="Ofsted Social Care Provider Webpage"/>
    <s v="SC482418"/>
    <s v="Children's home"/>
    <d v="2015-04-13T00:00:00"/>
    <s v="Active"/>
    <s v="REDACTED"/>
    <s v="North East, Yorkshire and the Humber"/>
    <s v="North East"/>
    <s v="Durham"/>
    <s v="North West Durham"/>
    <s v="Private"/>
    <d v="2020-12-09T00:00:00"/>
    <d v="2021-01-20T00:00:00"/>
    <s v="N"/>
  </r>
  <r>
    <s v="Ofsted Social Care Provider Webpage"/>
    <s v="SC411142"/>
    <s v="Children's home"/>
    <d v="2010-06-03T00:00:00"/>
    <s v="Active"/>
    <s v="REDACTED"/>
    <s v="West Midlands"/>
    <s v="West Midlands"/>
    <s v="Shropshire"/>
    <s v="North Shropshire"/>
    <s v="Private"/>
    <d v="2020-12-09T00:00:00"/>
    <d v="2021-01-21T00:00:00"/>
    <s v="N"/>
  </r>
  <r>
    <s v="Ofsted Social Care Provider Webpage"/>
    <n v="1225371"/>
    <s v="Children's home"/>
    <d v="2016-04-27T00:00:00"/>
    <s v="Active"/>
    <s v="REDACTED"/>
    <s v="North West"/>
    <s v="North West"/>
    <s v="Warrington"/>
    <s v="Warrington South"/>
    <s v="Private"/>
    <d v="2020-12-09T00:00:00"/>
    <d v="2021-01-25T00:00:00"/>
    <s v="N"/>
  </r>
  <r>
    <s v="Ofsted Social Care Provider Webpage"/>
    <s v="SC047978"/>
    <s v="Children's home"/>
    <d v="2003-06-27T00:00:00"/>
    <s v="Active"/>
    <s v="REDACTED"/>
    <s v="East Midlands"/>
    <s v="East Midlands"/>
    <s v="Nottinghamshire"/>
    <s v="Broxtowe"/>
    <s v="Private"/>
    <d v="2020-12-09T00:00:00"/>
    <d v="2021-01-25T00:00:00"/>
    <s v="N"/>
  </r>
  <r>
    <s v="Ofsted Social Care Provider Webpage"/>
    <s v="SC456409"/>
    <s v="Children's home"/>
    <d v="2013-02-20T00:00:00"/>
    <s v="Active"/>
    <s v="REDACTED"/>
    <s v="North West"/>
    <s v="North West"/>
    <s v="Rochdale"/>
    <s v="Rochdale"/>
    <s v="Private"/>
    <d v="2020-12-09T00:00:00"/>
    <d v="2021-01-28T00:00:00"/>
    <s v="N"/>
  </r>
  <r>
    <s v="Ofsted Social Care Provider Webpage"/>
    <n v="2483881"/>
    <s v="Children's home"/>
    <d v="2018-08-23T00:00:00"/>
    <s v="Active"/>
    <s v="REDACTED"/>
    <s v="East Midlands"/>
    <s v="East Midlands"/>
    <s v="Leicester"/>
    <s v="Leicester West"/>
    <s v="Private"/>
    <d v="2020-12-09T00:00:00"/>
    <d v="2021-01-25T00:00:00"/>
    <s v="N"/>
  </r>
  <r>
    <s v="Ofsted Social Care Provider Webpage"/>
    <n v="1276216"/>
    <s v="Children's home"/>
    <d v="2018-07-23T00:00:00"/>
    <s v="Active"/>
    <s v="REDACTED"/>
    <s v="West Midlands"/>
    <s v="West Midlands"/>
    <s v="Staffordshire"/>
    <s v="Stone"/>
    <s v="Private"/>
    <d v="2020-12-09T00:00:00"/>
    <d v="2021-01-20T00:00:00"/>
    <s v="N"/>
  </r>
  <r>
    <s v="Ofsted Social Care Provider Webpage"/>
    <s v="SC488943"/>
    <s v="Children's home"/>
    <d v="2015-07-22T00:00:00"/>
    <s v="Active"/>
    <s v="REDACTED"/>
    <s v="West Midlands"/>
    <s v="West Midlands"/>
    <s v="Staffordshire"/>
    <s v="Stone"/>
    <s v="Private"/>
    <d v="2020-12-09T00:00:00"/>
    <d v="2021-01-22T00:00:00"/>
    <s v="N"/>
  </r>
  <r>
    <s v="Ofsted Social Care Provider Webpage"/>
    <n v="1277453"/>
    <s v="Children's home"/>
    <d v="2018-07-12T00:00:00"/>
    <s v="Active"/>
    <s v="REDACTED"/>
    <s v="South East"/>
    <s v="South East"/>
    <s v="Buckinghamshire"/>
    <s v="Aylesbury"/>
    <s v="Local Authority"/>
    <d v="2020-12-09T00:00:00"/>
    <d v="2021-02-05T00:00:00"/>
    <s v="N"/>
  </r>
  <r>
    <s v="Ofsted Social Care Provider Webpage"/>
    <n v="2585541"/>
    <s v="Children's home"/>
    <d v="2020-06-17T00:00:00"/>
    <s v="Active"/>
    <s v="REDACTED"/>
    <s v="North West"/>
    <s v="North West"/>
    <s v="Knowsley"/>
    <s v="Knowsley"/>
    <s v="Private"/>
    <d v="2020-12-09T00:00:00"/>
    <d v="2021-01-26T00:00:00"/>
    <s v="N"/>
  </r>
  <r>
    <s v="Ofsted Social Care Provider Webpage"/>
    <s v="SC436818"/>
    <s v="Children's home"/>
    <d v="2012-02-20T00:00:00"/>
    <s v="Active"/>
    <s v="REDACTED"/>
    <s v="East Midlands"/>
    <s v="East Midlands"/>
    <s v="Nottingham"/>
    <s v="Nottingham South"/>
    <s v="Private"/>
    <d v="2020-12-09T00:00:00"/>
    <d v="2021-01-22T00:00:00"/>
    <s v="N"/>
  </r>
  <r>
    <s v="Ofsted Social Care Provider Webpage"/>
    <s v="SC043039"/>
    <s v="Boarding School"/>
    <d v="2003-02-14T00:00:00"/>
    <s v="Active"/>
    <s v="Madinatul Uloom Al Islamiyah "/>
    <s v="West Midlands"/>
    <s v="West Midlands"/>
    <s v="Worcestershire"/>
    <s v="Wyre Forest"/>
    <s v="Voluntary"/>
    <d v="2020-12-09T00:00:00"/>
    <d v="2021-01-25T00:00:00"/>
    <s v="N"/>
  </r>
  <r>
    <s v="Ofsted Social Care Provider Webpage"/>
    <s v="SC065046"/>
    <s v="Children's home"/>
    <d v="2005-09-16T00:00:00"/>
    <s v="Active"/>
    <s v="REDACTED"/>
    <s v="South West"/>
    <s v="South West"/>
    <s v="Bournemouth, Christchurch &amp; Poole"/>
    <s v="Bournemouth East"/>
    <s v="Private"/>
    <d v="2020-12-09T00:00:00"/>
    <d v="2021-01-20T00:00:00"/>
    <s v="N"/>
  </r>
  <r>
    <s v="Ofsted Social Care Provider Webpage"/>
    <s v="SC021684"/>
    <s v="Children's home"/>
    <d v="2001-12-04T00:00:00"/>
    <s v="Active"/>
    <s v="REDACTED"/>
    <s v="North West"/>
    <s v="North West"/>
    <s v="Manchester"/>
    <s v="Manchester, Gorton"/>
    <s v="Private"/>
    <d v="2020-12-09T00:00:00"/>
    <d v="2021-01-25T00:00:00"/>
    <s v="N"/>
  </r>
  <r>
    <s v="Ofsted Social Care Provider Webpage"/>
    <n v="1271234"/>
    <s v="Children's home"/>
    <d v="2018-04-06T00:00:00"/>
    <s v="Active"/>
    <s v="REDACTED"/>
    <s v="West Midlands"/>
    <s v="West Midlands"/>
    <s v="Staffordshire"/>
    <s v="Stoke-on-Trent North"/>
    <s v="Private"/>
    <d v="2020-12-09T00:00:00"/>
    <d v="2021-01-21T00:00:00"/>
    <s v="N"/>
  </r>
  <r>
    <s v="Ofsted Social Care Provider Webpage"/>
    <n v="2506232"/>
    <s v="Children's home"/>
    <d v="2019-02-13T00:00:00"/>
    <s v="Active"/>
    <s v="REDACTED"/>
    <s v="South East"/>
    <s v="South East"/>
    <s v="Hampshire"/>
    <s v="North East Hampshire"/>
    <s v="Private"/>
    <d v="2020-12-09T00:00:00"/>
    <d v="2021-01-26T00:00:00"/>
    <s v="N"/>
  </r>
  <r>
    <s v="Ofsted Social Care Provider Webpage"/>
    <s v="SC470290"/>
    <s v="Children's home"/>
    <d v="2014-01-23T00:00:00"/>
    <s v="Active"/>
    <s v="REDACTED"/>
    <s v="South West"/>
    <s v="South West"/>
    <s v="Somerset"/>
    <s v="Bridgwater and West Somerset"/>
    <s v="Private"/>
    <d v="2020-12-09T00:00:00"/>
    <d v="2021-01-22T00:00:00"/>
    <s v="N"/>
  </r>
  <r>
    <s v="Ofsted Social Care Provider Webpage"/>
    <n v="2491062"/>
    <s v="Children's home"/>
    <d v="2018-10-25T00:00:00"/>
    <s v="Active"/>
    <s v="REDACTED"/>
    <s v="East of England"/>
    <s v="East of England"/>
    <s v="Hertfordshire"/>
    <s v="Hitchin and Harpenden"/>
    <s v="Private"/>
    <d v="2020-09-10T00:00:00"/>
    <d v="2020-10-19T00:00:00"/>
    <s v="N"/>
  </r>
  <r>
    <s v="Ofsted Social Care Provider Webpage"/>
    <s v="SC473404"/>
    <s v="Children's home"/>
    <d v="2013-11-29T00:00:00"/>
    <s v="Suspended"/>
    <s v="REDACTED"/>
    <s v="South East"/>
    <s v="South East"/>
    <s v="Kent"/>
    <s v="Dover"/>
    <s v="Private"/>
    <d v="2020-09-10T00:00:00"/>
    <d v="2020-10-27T00:00:00"/>
    <s v="Y"/>
  </r>
  <r>
    <s v="Ofsted Social Care Provider Webpage"/>
    <n v="1236620"/>
    <s v="Children's home"/>
    <d v="2016-07-18T00:00:00"/>
    <s v="Active"/>
    <s v="REDACTED"/>
    <s v="South West"/>
    <s v="South West"/>
    <s v="Somerset"/>
    <s v="Bridgwater and West Somerset"/>
    <s v="Private"/>
    <d v="2020-09-10T00:00:00"/>
    <d v="2020-10-14T00:00:00"/>
    <s v="N"/>
  </r>
  <r>
    <s v="Ofsted Social Care Provider Webpage"/>
    <s v="SC430320"/>
    <s v="Children's home"/>
    <d v="2011-08-09T00:00:00"/>
    <s v="Active"/>
    <s v="REDACTED"/>
    <s v="London"/>
    <s v="London"/>
    <s v="Barking and Dagenham"/>
    <s v="Barking"/>
    <s v="Private"/>
    <d v="2020-09-10T00:00:00"/>
    <d v="2020-10-13T00:00:00"/>
    <s v="N"/>
  </r>
  <r>
    <s v="Ofsted Social Care Provider Webpage"/>
    <s v="SC427652"/>
    <s v="Children's home"/>
    <d v="2011-05-05T00:00:00"/>
    <s v="Active"/>
    <s v="REDACTED"/>
    <s v="East of England"/>
    <s v="East of England"/>
    <s v="Suffolk"/>
    <s v="West Suffolk"/>
    <s v="Private"/>
    <d v="2020-09-10T00:00:00"/>
    <d v="2020-10-07T00:00:00"/>
    <s v="N"/>
  </r>
  <r>
    <s v="Ofsted Social Care Provider Webpage"/>
    <s v="SC059037"/>
    <s v="Children's home"/>
    <d v="2004-03-08T00:00:00"/>
    <s v="Active"/>
    <s v="REDACTED"/>
    <s v="South East"/>
    <s v="South East"/>
    <s v="Kent"/>
    <s v="Sittingbourne and Sheppey"/>
    <s v="Private"/>
    <d v="2020-12-10T00:00:00"/>
    <d v="2021-01-25T00:00:00"/>
    <s v="N"/>
  </r>
  <r>
    <s v="Ofsted Social Care Provider Webpage"/>
    <n v="1269421"/>
    <s v="Children's home"/>
    <d v="2018-01-23T00:00:00"/>
    <s v="Active"/>
    <s v="REDACTED"/>
    <s v="East Midlands"/>
    <s v="East Midlands"/>
    <s v="Derbyshire"/>
    <s v="North East Derbyshire"/>
    <s v="Private"/>
    <d v="2020-12-10T00:00:00"/>
    <d v="2021-01-14T00:00:00"/>
    <s v="N"/>
  </r>
  <r>
    <s v="Ofsted Social Care Provider Webpage"/>
    <n v="2577014"/>
    <s v="Children's home"/>
    <d v="2020-08-12T00:00:00"/>
    <s v="Active"/>
    <s v="REDACTED"/>
    <s v="North East, Yorkshire and the Humber"/>
    <s v="Yorkshire and The Humber"/>
    <s v="Rotherham"/>
    <s v="Rother Valley"/>
    <s v="Private"/>
    <d v="2020-12-10T00:00:00"/>
    <d v="2021-01-21T00:00:00"/>
    <s v="N"/>
  </r>
  <r>
    <s v="Ofsted Social Care Provider Webpage"/>
    <s v="SC451174"/>
    <s v="Children's home"/>
    <d v="2012-11-26T00:00:00"/>
    <s v="Active"/>
    <s v="REDACTED"/>
    <s v="North West"/>
    <s v="North West"/>
    <s v="Manchester"/>
    <s v="Manchester Central"/>
    <s v="Private"/>
    <d v="2020-12-10T00:00:00"/>
    <d v="2021-01-26T00:00:00"/>
    <s v="N"/>
  </r>
  <r>
    <s v="Ofsted Social Care Provider Webpage"/>
    <s v="SC466786"/>
    <s v="Children's home"/>
    <d v="2013-09-02T00:00:00"/>
    <s v="Active"/>
    <s v="REDACTED"/>
    <s v="East of England"/>
    <s v="East of England"/>
    <s v="Peterborough"/>
    <s v="North West Cambridgeshire"/>
    <s v="Private"/>
    <d v="2020-12-10T00:00:00"/>
    <d v="2021-01-18T00:00:00"/>
    <s v="N"/>
  </r>
  <r>
    <s v="Ofsted Social Care Provider Webpage"/>
    <n v="1256367"/>
    <s v="Children's home"/>
    <d v="2017-05-24T00:00:00"/>
    <s v="Active"/>
    <s v="REDACTED"/>
    <s v="East Midlands"/>
    <s v="East Midlands"/>
    <s v="Northamptonshire"/>
    <s v="Northampton North"/>
    <s v="Private"/>
    <d v="2020-12-10T00:00:00"/>
    <d v="2021-01-25T00:00:00"/>
    <s v="N"/>
  </r>
  <r>
    <s v="Ofsted Social Care Provider Webpage"/>
    <s v="SC032439"/>
    <s v="Children's home"/>
    <d v="2004-02-19T00:00:00"/>
    <s v="Active"/>
    <s v="REDACTED"/>
    <s v="South West"/>
    <s v="South West"/>
    <s v="Wiltshire"/>
    <s v="Devizes"/>
    <s v="Local Authority"/>
    <d v="2020-12-10T00:00:00"/>
    <d v="2021-01-26T00:00:00"/>
    <s v="N"/>
  </r>
  <r>
    <s v="Ofsted Social Care Provider Webpage"/>
    <s v="SC457132"/>
    <s v="Children's home"/>
    <d v="2013-02-25T00:00:00"/>
    <s v="Active"/>
    <s v="REDACTED"/>
    <s v="South West"/>
    <s v="South West"/>
    <s v="Devon"/>
    <s v="Newton Abbot"/>
    <s v="Private"/>
    <d v="2020-12-10T00:00:00"/>
    <d v="2021-01-25T00:00:00"/>
    <s v="N"/>
  </r>
  <r>
    <s v="Ofsted Social Care Provider Webpage"/>
    <n v="2515380"/>
    <s v="Children's home"/>
    <d v="2019-02-11T00:00:00"/>
    <s v="Active"/>
    <s v="REDACTED"/>
    <s v="East Midlands"/>
    <s v="East Midlands"/>
    <s v="Northamptonshire"/>
    <s v="Northampton South"/>
    <s v="Private"/>
    <d v="2020-12-10T00:00:00"/>
    <d v="2021-01-29T00:00:00"/>
    <s v="Y"/>
  </r>
  <r>
    <s v="Ofsted Social Care Provider Webpage"/>
    <s v="SC446003"/>
    <s v="Children's home"/>
    <d v="2012-10-05T00:00:00"/>
    <s v="Active"/>
    <s v="REDACTED"/>
    <s v="North West"/>
    <s v="North West"/>
    <s v="Cumbria"/>
    <s v="Penrith and The Border"/>
    <s v="Voluntary"/>
    <d v="2020-12-10T00:00:00"/>
    <d v="2021-01-27T00:00:00"/>
    <s v="N"/>
  </r>
  <r>
    <s v="Ofsted Social Care Provider Webpage"/>
    <s v="SC430757"/>
    <s v="Independent Fostering Agency"/>
    <d v="2011-08-25T00:00:00"/>
    <s v="Active"/>
    <s v="Break Fostering Service"/>
    <s v="East of England"/>
    <s v="East of England"/>
    <s v="Norfolk"/>
    <s v="Norwich North"/>
    <s v="Voluntary"/>
    <d v="2020-11-11T00:00:00"/>
    <d v="2020-12-10T00:00:00"/>
    <s v="N"/>
  </r>
  <r>
    <s v="Ofsted Social Care Provider Webpage"/>
    <s v="SC381667"/>
    <s v="Children's home"/>
    <d v="2008-09-30T00:00:00"/>
    <s v="Active"/>
    <s v="REDACTED"/>
    <s v="North West"/>
    <s v="North West"/>
    <s v="Liverpool"/>
    <s v="Liverpool, West Derby"/>
    <s v="Private"/>
    <d v="2020-12-11T00:00:00"/>
    <d v="2021-02-02T00:00:00"/>
    <s v="N"/>
  </r>
  <r>
    <s v="Ofsted Social Care Provider Webpage"/>
    <s v="SC370703"/>
    <s v="Children's home"/>
    <d v="2008-05-02T00:00:00"/>
    <s v="Active"/>
    <s v="REDACTED"/>
    <s v="South East"/>
    <s v="South East"/>
    <s v="Surrey"/>
    <s v="Woking"/>
    <s v="Local Authority"/>
    <d v="2020-10-12T00:00:00"/>
    <d v="2021-01-04T00:00:00"/>
    <s v="Y"/>
  </r>
  <r>
    <s v="Ofsted Social Care Provider Webpage"/>
    <s v="SC022448"/>
    <s v="Secure children's home"/>
    <d v="2002-02-18T00:00:00"/>
    <s v="Active"/>
    <s v="REDACTED"/>
    <s v="North West"/>
    <s v="North West"/>
    <s v="St Helens"/>
    <s v="St Helens North"/>
    <s v="Voluntary"/>
    <d v="2020-10-12T00:00:00"/>
    <d v="2020-11-11T00:00:00"/>
    <s v="N"/>
  </r>
  <r>
    <s v="Ofsted Social Care Provider Webpage"/>
    <n v="2588370"/>
    <s v="Children's home"/>
    <d v="2020-04-14T00:00:00"/>
    <s v="Active"/>
    <s v="REDACTED"/>
    <s v="East Midlands"/>
    <s v="East Midlands"/>
    <s v="Derbyshire"/>
    <s v="Derbyshire Dales"/>
    <s v="Private"/>
    <d v="2020-10-12T00:00:00"/>
    <d v="2020-11-11T00:00:00"/>
    <s v="N"/>
  </r>
  <r>
    <s v="Ofsted Social Care Provider Webpage"/>
    <s v="SC046276"/>
    <s v="Secure children's home"/>
    <d v="2004-03-19T00:00:00"/>
    <s v="Active"/>
    <s v="REDACTED"/>
    <s v="South West"/>
    <s v="South West"/>
    <s v="Devon"/>
    <s v="Exeter"/>
    <s v="Local Authority"/>
    <d v="2020-10-12T00:00:00"/>
    <d v="2020-11-12T00:00:00"/>
    <s v="N"/>
  </r>
  <r>
    <s v="Ofsted Social Care Provider Webpage"/>
    <n v="2530832"/>
    <s v="Children's home"/>
    <d v="2019-07-11T00:00:00"/>
    <s v="Active"/>
    <s v="REDACTED"/>
    <s v="West Midlands"/>
    <s v="West Midlands"/>
    <s v="Coventry"/>
    <s v="Coventry North East"/>
    <s v="Private"/>
    <d v="2020-10-12T00:00:00"/>
    <d v="2020-11-18T00:00:00"/>
    <s v="N"/>
  </r>
  <r>
    <s v="Ofsted Social Care Provider Webpage"/>
    <s v="SC040191"/>
    <s v="Children's home"/>
    <d v="2002-11-18T00:00:00"/>
    <s v="Active"/>
    <s v="REDACTED"/>
    <s v="East of England"/>
    <s v="East of England"/>
    <s v="Norfolk"/>
    <s v="Norwich North"/>
    <s v="Voluntary"/>
    <d v="2020-10-12T00:00:00"/>
    <d v="2020-10-29T00:00:00"/>
    <s v="N"/>
  </r>
  <r>
    <s v="Ofsted Social Care Provider Webpage"/>
    <s v="SC487165"/>
    <s v="Children's home"/>
    <d v="2015-03-30T00:00:00"/>
    <s v="Active"/>
    <s v="REDACTED"/>
    <s v="South East"/>
    <s v="South East"/>
    <s v="Hampshire"/>
    <s v="New Forest West"/>
    <s v="Private"/>
    <d v="2020-10-12T00:00:00"/>
    <d v="2020-12-08T00:00:00"/>
    <s v="N"/>
  </r>
  <r>
    <s v="Ofsted Social Care Provider Webpage"/>
    <n v="2523027"/>
    <s v="Children's home"/>
    <d v="2019-07-08T00:00:00"/>
    <s v="Active"/>
    <s v="REDACTED"/>
    <s v="South East"/>
    <s v="South East"/>
    <s v="Reading"/>
    <s v="Reading West"/>
    <s v="Private"/>
    <d v="2020-10-12T00:00:00"/>
    <d v="2020-11-24T00:00:00"/>
    <s v="N"/>
  </r>
  <r>
    <s v="Ofsted Social Care Provider Webpage"/>
    <n v="2495377"/>
    <s v="Residential special school (registered as a children's home)"/>
    <d v="2018-09-26T00:00:00"/>
    <s v="Active"/>
    <s v="REDACTED"/>
    <s v="East of England"/>
    <s v="East of England"/>
    <s v="Hertfordshire"/>
    <s v="Hertford and Stortford"/>
    <s v="Voluntary"/>
    <d v="2020-10-12T00:00:00"/>
    <d v="2020-11-06T00:00:00"/>
    <s v="N"/>
  </r>
  <r>
    <s v="Ofsted Social Care Provider Webpage"/>
    <s v="SC056397"/>
    <s v="Residential Special School"/>
    <d v="2003-10-20T00:00:00"/>
    <s v="Active"/>
    <s v="Hailey Hall School"/>
    <s v="East of England"/>
    <s v="East of England"/>
    <s v="Hertfordshire"/>
    <s v="Broxbourne"/>
    <s v="Academy"/>
    <d v="2020-10-12T00:00:00"/>
    <d v="2020-11-05T00:00:00"/>
    <s v="N"/>
  </r>
  <r>
    <s v="Ofsted Social Care Provider Webpage"/>
    <s v="SC047483"/>
    <s v="Children's home"/>
    <d v="2003-08-19T00:00:00"/>
    <s v="Active"/>
    <s v="REDACTED"/>
    <s v="West Midlands"/>
    <s v="West Midlands"/>
    <s v="Staffordshire"/>
    <s v="Stafford"/>
    <s v="Private"/>
    <d v="2020-10-12T00:00:00"/>
    <d v="2020-11-13T00:00:00"/>
    <s v="N"/>
  </r>
  <r>
    <s v="Ofsted Social Care Provider Webpage"/>
    <s v="SC402135"/>
    <s v="Children's home"/>
    <d v="2009-10-11T00:00:00"/>
    <s v="Active"/>
    <s v="REDACTED"/>
    <s v="South East"/>
    <s v="South East"/>
    <s v="Hampshire"/>
    <s v="New Forest East"/>
    <s v="Private"/>
    <d v="2020-10-12T00:00:00"/>
    <d v="2021-01-06T00:00:00"/>
    <s v="Y"/>
  </r>
  <r>
    <s v="Ofsted Social Care Provider Webpage"/>
    <s v="SC390785"/>
    <s v="Children's home"/>
    <d v="2009-04-01T00:00:00"/>
    <s v="Active"/>
    <s v="REDACTED"/>
    <s v="South East"/>
    <s v="South East"/>
    <s v="West Sussex"/>
    <s v="Arundel and South Downs"/>
    <s v="Private"/>
    <d v="2020-10-12T00:00:00"/>
    <d v="2020-12-08T00:00:00"/>
    <s v="N"/>
  </r>
  <r>
    <s v="Ofsted Social Care Provider Webpage"/>
    <s v="SC059261"/>
    <s v="Children's home"/>
    <d v="2004-05-25T00:00:00"/>
    <s v="Active"/>
    <s v="REDACTED"/>
    <s v="North West"/>
    <s v="North West"/>
    <s v="Liverpool"/>
    <s v="Liverpool, Wavertree"/>
    <s v="Private"/>
    <d v="2020-10-12T00:00:00"/>
    <d v="2020-11-19T00:00:00"/>
    <s v="N"/>
  </r>
  <r>
    <s v="Ofsted Social Care Provider Webpage"/>
    <s v="SC424103"/>
    <s v="Children's home"/>
    <d v="2011-04-08T00:00:00"/>
    <s v="Active"/>
    <s v="REDACTED"/>
    <s v="South East"/>
    <s v="South East"/>
    <s v="Buckinghamshire"/>
    <s v="Aylesbury"/>
    <s v="Voluntary"/>
    <d v="2020-10-13T00:00:00"/>
    <d v="2020-11-30T00:00:00"/>
    <s v="N"/>
  </r>
  <r>
    <s v="Ofsted Social Care Provider Webpage"/>
    <n v="2519084"/>
    <s v="Children's home"/>
    <d v="2019-05-14T00:00:00"/>
    <s v="Active"/>
    <s v="REDACTED"/>
    <s v="West Midlands"/>
    <s v="West Midlands"/>
    <s v="Staffordshire"/>
    <s v="Cannock Chase"/>
    <s v="Private"/>
    <d v="2020-10-13T00:00:00"/>
    <d v="2020-11-12T00:00:00"/>
    <s v="N"/>
  </r>
  <r>
    <s v="Ofsted Social Care Provider Webpage"/>
    <s v="SC373044"/>
    <s v="Children's home"/>
    <d v="2008-03-18T00:00:00"/>
    <s v="Active"/>
    <s v="REDACTED"/>
    <s v="North West"/>
    <s v="North West"/>
    <s v="Bolton"/>
    <s v="Bolton North East"/>
    <s v="Voluntary"/>
    <d v="2020-10-13T00:00:00"/>
    <d v="2020-11-12T00:00:00"/>
    <s v="N"/>
  </r>
  <r>
    <s v="Ofsted Social Care Provider Webpage"/>
    <s v="SC457506"/>
    <s v="Children's home"/>
    <d v="2013-03-18T00:00:00"/>
    <s v="Active"/>
    <s v="REDACTED"/>
    <s v="North West"/>
    <s v="North West"/>
    <s v="Oldham"/>
    <s v="Oldham West and Royton"/>
    <s v="Private"/>
    <d v="2020-10-13T00:00:00"/>
    <d v="2020-11-23T00:00:00"/>
    <s v="Y"/>
  </r>
  <r>
    <s v="Ofsted Social Care Provider Webpage"/>
    <s v="SC463639"/>
    <s v="Children's home"/>
    <d v="2013-07-19T00:00:00"/>
    <s v="Active"/>
    <s v="REDACTED"/>
    <s v="West Midlands"/>
    <s v="West Midlands"/>
    <s v="Birmingham"/>
    <s v="Sutton Coldfield"/>
    <s v="Private"/>
    <d v="2020-10-13T00:00:00"/>
    <d v="2020-11-17T00:00:00"/>
    <s v="Y"/>
  </r>
  <r>
    <s v="Ofsted Social Care Provider Webpage"/>
    <n v="1216657"/>
    <s v="Children's home"/>
    <d v="2015-12-23T00:00:00"/>
    <s v="Active"/>
    <s v="REDACTED"/>
    <s v="East Midlands"/>
    <s v="East Midlands"/>
    <s v="Nottingham"/>
    <s v="Nottingham East"/>
    <s v="Voluntary"/>
    <d v="2020-10-13T00:00:00"/>
    <d v="2020-11-19T00:00:00"/>
    <s v="N"/>
  </r>
  <r>
    <s v="Ofsted Social Care Provider Webpage"/>
    <n v="2573144"/>
    <s v="Children's home"/>
    <d v="2020-05-04T00:00:00"/>
    <s v="Active"/>
    <s v="REDACTED"/>
    <s v="West Midlands"/>
    <s v="West Midlands"/>
    <s v="Staffordshire"/>
    <s v="Cannock Chase"/>
    <s v="Private"/>
    <d v="2020-10-13T00:00:00"/>
    <d v="2020-11-12T00:00:00"/>
    <s v="N"/>
  </r>
  <r>
    <s v="Ofsted Social Care Provider Webpage"/>
    <n v="2569358"/>
    <s v="Children's home"/>
    <d v="2020-05-20T00:00:00"/>
    <s v="Active"/>
    <s v="REDACTED"/>
    <s v="North East, Yorkshire and the Humber"/>
    <s v="North East"/>
    <s v="Sunderland"/>
    <s v="Sunderland Central"/>
    <s v="Private"/>
    <d v="2020-10-13T00:00:00"/>
    <d v="2020-11-18T00:00:00"/>
    <s v="Y"/>
  </r>
  <r>
    <s v="Ofsted Social Care Provider Webpage"/>
    <s v="SC392712"/>
    <s v="Children's home"/>
    <d v="2009-05-13T00:00:00"/>
    <s v="Active"/>
    <s v="REDACTED"/>
    <s v="East Midlands"/>
    <s v="East Midlands"/>
    <s v="Nottinghamshire"/>
    <s v="Gedling"/>
    <s v="Private"/>
    <d v="2020-10-13T00:00:00"/>
    <d v="2020-11-10T00:00:00"/>
    <s v="N"/>
  </r>
  <r>
    <s v="Ofsted Social Care Provider Webpage"/>
    <n v="1249111"/>
    <s v="Children's home"/>
    <d v="2016-12-14T00:00:00"/>
    <s v="Active"/>
    <s v="REDACTED"/>
    <s v="South East"/>
    <s v="South East"/>
    <s v="Hampshire"/>
    <s v="New Forest West"/>
    <s v="Private"/>
    <d v="2020-10-13T00:00:00"/>
    <d v="2020-12-11T00:00:00"/>
    <s v="N"/>
  </r>
  <r>
    <s v="Ofsted Social Care Provider Webpage"/>
    <n v="2534829"/>
    <s v="Children's home"/>
    <d v="2019-08-23T00:00:00"/>
    <s v="Active"/>
    <s v="REDACTED"/>
    <s v="North West"/>
    <s v="North West"/>
    <s v="Lancashire"/>
    <s v="Fylde"/>
    <s v="Private"/>
    <d v="2020-10-13T00:00:00"/>
    <d v="2020-11-19T00:00:00"/>
    <s v="N"/>
  </r>
  <r>
    <s v="Ofsted Social Care Provider Webpage"/>
    <s v="SC374180"/>
    <s v="Children's home"/>
    <d v="2008-08-07T00:00:00"/>
    <s v="Resigned"/>
    <s v="REDACTED"/>
    <s v="East Midlands"/>
    <s v="East Midlands"/>
    <s v="Northamptonshire"/>
    <s v="Northampton North"/>
    <s v="Local Authority"/>
    <d v="2020-10-13T00:00:00"/>
    <d v="2020-12-10T00:00:00"/>
    <s v="N"/>
  </r>
  <r>
    <s v="Ofsted Social Care Provider Webpage"/>
    <n v="2490999"/>
    <s v="Children's home"/>
    <d v="2018-10-04T00:00:00"/>
    <s v="Active"/>
    <s v="REDACTED"/>
    <s v="East Midlands"/>
    <s v="East Midlands"/>
    <s v="Leicestershire"/>
    <s v="South Leicestershire"/>
    <s v="Private"/>
    <d v="2020-10-13T00:00:00"/>
    <d v="2020-11-13T00:00:00"/>
    <s v="N"/>
  </r>
  <r>
    <s v="Ofsted Social Care Provider Webpage"/>
    <s v="SC056259"/>
    <s v="Children's home"/>
    <d v="2004-06-25T00:00:00"/>
    <s v="Active"/>
    <s v="REDACTED"/>
    <s v="North East, Yorkshire and the Humber"/>
    <s v="Yorkshire and The Humber"/>
    <s v="East Riding of Yorkshire"/>
    <s v="Beverley and Holderness"/>
    <s v="Private"/>
    <d v="2020-10-13T00:00:00"/>
    <d v="2020-11-17T00:00:00"/>
    <s v="N"/>
  </r>
  <r>
    <s v="Ofsted Social Care Provider Webpage"/>
    <s v="SC362170"/>
    <s v="Children's home"/>
    <d v="2008-01-17T00:00:00"/>
    <s v="Active"/>
    <s v="REDACTED"/>
    <s v="West Midlands"/>
    <s v="West Midlands"/>
    <s v="Stoke-on-Trent"/>
    <s v="Stoke-on-Trent South"/>
    <s v="Private"/>
    <d v="2020-10-13T00:00:00"/>
    <d v="2020-11-09T00:00:00"/>
    <s v="N"/>
  </r>
  <r>
    <s v="Ofsted Social Care Provider Webpage"/>
    <s v="SC476602"/>
    <s v="Children's home"/>
    <d v="2015-03-05T00:00:00"/>
    <s v="Active"/>
    <s v="REDACTED"/>
    <s v="North East, Yorkshire and the Humber"/>
    <s v="North East"/>
    <s v="Durham"/>
    <s v="Bishop Auckland"/>
    <s v="Private"/>
    <d v="2020-10-13T00:00:00"/>
    <d v="2020-11-17T00:00:00"/>
    <s v="Y"/>
  </r>
  <r>
    <s v="Ofsted Social Care Provider Webpage"/>
    <n v="2570253"/>
    <s v="Children's home"/>
    <d v="2020-03-10T00:00:00"/>
    <s v="Active"/>
    <s v="REDACTED"/>
    <s v="East Midlands"/>
    <s v="East Midlands"/>
    <s v="Lincolnshire"/>
    <s v="Grantham and Stamford"/>
    <s v="Private"/>
    <d v="2020-10-13T00:00:00"/>
    <d v="2020-11-13T00:00:00"/>
    <s v="Y"/>
  </r>
  <r>
    <s v="Ofsted Social Care Provider Webpage"/>
    <n v="1246449"/>
    <s v="Children's home"/>
    <d v="2017-02-09T00:00:00"/>
    <s v="Active"/>
    <s v="REDACTED"/>
    <s v="South East"/>
    <s v="South East"/>
    <s v="Hampshire"/>
    <s v="Romsey and Southampton North"/>
    <s v="Private"/>
    <d v="2020-10-13T00:00:00"/>
    <d v="2020-12-08T00:00:00"/>
    <s v="N"/>
  </r>
  <r>
    <s v="Ofsted Social Care Provider Webpage"/>
    <s v="SC044224"/>
    <s v="Children's home"/>
    <d v="2003-10-10T00:00:00"/>
    <s v="Active"/>
    <s v="REDACTED"/>
    <s v="North West"/>
    <s v="North West"/>
    <s v="Lancashire"/>
    <s v="South Ribble"/>
    <s v="Private"/>
    <d v="2020-10-13T00:00:00"/>
    <d v="2020-11-19T00:00:00"/>
    <s v="N"/>
  </r>
  <r>
    <s v="Ofsted Social Care Provider Webpage"/>
    <n v="1235653"/>
    <s v="Children's home"/>
    <d v="2016-04-12T00:00:00"/>
    <s v="Active"/>
    <s v="REDACTED"/>
    <s v="London"/>
    <s v="London"/>
    <s v="Merton"/>
    <s v="Wimbledon"/>
    <s v="Private"/>
    <d v="2020-10-13T00:00:00"/>
    <d v="2020-11-17T00:00:00"/>
    <s v="N"/>
  </r>
  <r>
    <s v="Ofsted Social Care Provider Webpage"/>
    <n v="2526435"/>
    <s v="Children's home"/>
    <d v="2019-07-04T00:00:00"/>
    <s v="Active"/>
    <s v="REDACTED"/>
    <s v="East of England"/>
    <s v="East of England"/>
    <s v="Essex"/>
    <s v="Braintree"/>
    <s v="Private"/>
    <d v="2020-10-13T00:00:00"/>
    <d v="2020-11-10T00:00:00"/>
    <s v="N"/>
  </r>
  <r>
    <s v="Ofsted Social Care Provider Webpage"/>
    <n v="1254780"/>
    <s v="Children's home"/>
    <d v="2017-07-17T00:00:00"/>
    <s v="Active"/>
    <s v="REDACTED"/>
    <s v="West Midlands"/>
    <s v="West Midlands"/>
    <s v="Walsall"/>
    <s v="Walsall South"/>
    <s v="Private"/>
    <d v="2020-10-13T00:00:00"/>
    <d v="2020-11-17T00:00:00"/>
    <s v="Y"/>
  </r>
  <r>
    <s v="Ofsted Social Care Provider Webpage"/>
    <n v="1247212"/>
    <s v="Children's home"/>
    <d v="2017-02-07T00:00:00"/>
    <s v="Active"/>
    <s v="REDACTED"/>
    <s v="North West"/>
    <s v="North West"/>
    <s v="St Helens"/>
    <s v="St Helens North"/>
    <s v="Private"/>
    <d v="2020-10-13T00:00:00"/>
    <d v="2020-11-13T00:00:00"/>
    <s v="N"/>
  </r>
  <r>
    <s v="Ofsted Social Care Provider Webpage"/>
    <n v="1273663"/>
    <s v="Children's home"/>
    <d v="2018-03-20T00:00:00"/>
    <s v="Active"/>
    <s v="REDACTED"/>
    <s v="West Midlands"/>
    <s v="West Midlands"/>
    <s v="Birmingham"/>
    <s v="Birmingham, Ladywood"/>
    <s v="Voluntary"/>
    <d v="2020-10-13T00:00:00"/>
    <d v="2020-11-13T00:00:00"/>
    <s v="N"/>
  </r>
  <r>
    <s v="Ofsted Social Care Provider Webpage"/>
    <n v="1277076"/>
    <s v="Independent Fostering Agency"/>
    <d v="2018-08-13T00:00:00"/>
    <s v="Active"/>
    <s v="F5 Foster Care Limited"/>
    <s v="West Midlands"/>
    <s v="West Midlands"/>
    <s v="Birmingham"/>
    <s v="Birmingham, Yardley"/>
    <s v="Private"/>
    <d v="2020-10-13T00:00:00"/>
    <d v="2020-11-12T00:00:00"/>
    <s v="N"/>
  </r>
  <r>
    <s v="Ofsted Social Care Provider Webpage"/>
    <n v="1256135"/>
    <s v="Children's home"/>
    <d v="2017-05-24T00:00:00"/>
    <s v="Active"/>
    <s v="REDACTED"/>
    <s v="West Midlands"/>
    <s v="West Midlands"/>
    <s v="Staffordshire"/>
    <s v="Burton"/>
    <s v="Private"/>
    <d v="2020-10-13T00:00:00"/>
    <d v="2021-01-05T00:00:00"/>
    <s v="Y"/>
  </r>
  <r>
    <s v="Ofsted Social Care Provider Webpage"/>
    <s v="SC472485"/>
    <s v="Residential special school (registered as a children's home)"/>
    <d v="2013-12-12T00:00:00"/>
    <s v="Active"/>
    <s v="REDACTED"/>
    <s v="South West"/>
    <s v="South West"/>
    <s v="Dorset"/>
    <s v="Christchurch"/>
    <s v="Private"/>
    <d v="2020-10-13T00:00:00"/>
    <d v="2020-11-19T00:00:00"/>
    <s v="N"/>
  </r>
  <r>
    <s v="Ofsted Social Care Provider Webpage"/>
    <n v="2483693"/>
    <s v="Children's home"/>
    <d v="2018-07-22T00:00:00"/>
    <s v="Active"/>
    <s v="REDACTED"/>
    <s v="East Midlands"/>
    <s v="East Midlands"/>
    <s v="Leicestershire"/>
    <s v="Rutland and Melton"/>
    <s v="Private"/>
    <d v="2020-10-13T00:00:00"/>
    <d v="2020-11-13T00:00:00"/>
    <s v="N"/>
  </r>
  <r>
    <s v="Ofsted Social Care Provider Webpage"/>
    <s v="SC473877"/>
    <s v="Children's home"/>
    <d v="2014-03-28T00:00:00"/>
    <s v="Active"/>
    <s v="REDACTED"/>
    <s v="South East"/>
    <s v="South East"/>
    <s v="Kent"/>
    <s v="North Thanet"/>
    <s v="Private"/>
    <d v="2020-10-13T00:00:00"/>
    <d v="2020-12-08T00:00:00"/>
    <s v="N"/>
  </r>
  <r>
    <s v="Ofsted Social Care Provider Webpage"/>
    <n v="1275500"/>
    <s v="Children's home"/>
    <d v="2018-09-04T00:00:00"/>
    <s v="Active"/>
    <s v="REDACTED"/>
    <s v="South East"/>
    <s v="South East"/>
    <s v="East Sussex"/>
    <s v="Bexhill and Battle"/>
    <s v="Private"/>
    <d v="2020-10-13T00:00:00"/>
    <d v="2020-12-14T00:00:00"/>
    <s v="N"/>
  </r>
  <r>
    <s v="Ofsted Social Care Provider Webpage"/>
    <n v="2491059"/>
    <s v="Children's home"/>
    <d v="2018-10-15T00:00:00"/>
    <s v="Active"/>
    <s v="REDACTED"/>
    <s v="South West"/>
    <s v="South West"/>
    <s v="Somerset"/>
    <s v="Taunton Deane"/>
    <s v="Private"/>
    <d v="2020-10-13T00:00:00"/>
    <d v="2020-11-27T00:00:00"/>
    <s v="N"/>
  </r>
  <r>
    <s v="Ofsted Social Care Provider Webpage"/>
    <n v="1263248"/>
    <s v="Children's home"/>
    <d v="2018-01-22T00:00:00"/>
    <s v="Active"/>
    <s v="REDACTED"/>
    <s v="North West"/>
    <s v="North West"/>
    <s v="St Helens"/>
    <s v="St Helens South and Whiston"/>
    <s v="Private"/>
    <d v="2020-10-13T00:00:00"/>
    <d v="2020-11-18T00:00:00"/>
    <s v="N"/>
  </r>
  <r>
    <s v="Ofsted Social Care Provider Webpage"/>
    <s v="SC061770"/>
    <s v="Children's home"/>
    <d v="2004-10-14T00:00:00"/>
    <s v="Active"/>
    <s v="REDACTED"/>
    <s v="East of England"/>
    <s v="East of England"/>
    <s v="Peterborough"/>
    <s v="Peterborough"/>
    <s v="Private"/>
    <d v="2020-10-13T00:00:00"/>
    <d v="2020-11-06T00:00:00"/>
    <s v="N"/>
  </r>
  <r>
    <s v="Ofsted Social Care Provider Webpage"/>
    <s v="SC457180"/>
    <s v="Children's home"/>
    <d v="2013-02-14T00:00:00"/>
    <s v="Active"/>
    <s v="REDACTED"/>
    <s v="North West"/>
    <s v="North West"/>
    <s v="Warrington"/>
    <s v="Warrington North"/>
    <s v="Private"/>
    <d v="2020-10-13T00:00:00"/>
    <d v="2020-11-13T00:00:00"/>
    <s v="N"/>
  </r>
  <r>
    <s v="Ofsted Social Care Provider Webpage"/>
    <n v="1260700"/>
    <s v="Children's home"/>
    <d v="2017-10-10T00:00:00"/>
    <s v="Active"/>
    <s v="REDACTED"/>
    <s v="East Midlands"/>
    <s v="East Midlands"/>
    <s v="Leicestershire"/>
    <s v="Bosworth"/>
    <s v="Private"/>
    <d v="2020-10-13T00:00:00"/>
    <d v="2020-11-16T00:00:00"/>
    <s v="N"/>
  </r>
  <r>
    <s v="Ofsted Social Care Provider Webpage"/>
    <s v="SC471856"/>
    <s v="Children's home"/>
    <d v="2013-12-09T00:00:00"/>
    <s v="Active"/>
    <s v="REDACTED"/>
    <s v="East of England"/>
    <s v="East of England"/>
    <s v="Norfolk"/>
    <s v="North Norfolk"/>
    <s v="Private"/>
    <d v="2020-10-13T00:00:00"/>
    <d v="2020-11-09T00:00:00"/>
    <s v="N"/>
  </r>
  <r>
    <s v="Ofsted Social Care Provider Webpage"/>
    <s v="SC457639"/>
    <s v="Children's home"/>
    <d v="2014-01-24T00:00:00"/>
    <s v="Resigned"/>
    <s v="REDACTED"/>
    <s v="South East"/>
    <s v="South East"/>
    <s v="Kent"/>
    <s v="South Thanet"/>
    <s v="Private"/>
    <d v="2020-09-14T00:00:00"/>
    <d v="2020-10-19T00:00:00"/>
    <s v="Y"/>
  </r>
  <r>
    <s v="Ofsted Social Care Provider Webpage"/>
    <s v="SC396813"/>
    <s v="Residential special school (registered as a children's home)"/>
    <d v="2009-07-15T00:00:00"/>
    <s v="Active"/>
    <s v="REDACTED"/>
    <s v="South East"/>
    <s v="South East"/>
    <s v="East Sussex"/>
    <s v="Lewes"/>
    <s v="Voluntary"/>
    <d v="2020-09-14T00:00:00"/>
    <d v="2020-10-14T00:00:00"/>
    <s v="N"/>
  </r>
  <r>
    <s v="Ofsted Social Care Provider Webpage"/>
    <s v="SC471581"/>
    <s v="Children's home"/>
    <d v="2013-11-29T00:00:00"/>
    <s v="Active"/>
    <s v="REDACTED"/>
    <s v="West Midlands"/>
    <s v="West Midlands"/>
    <s v="Staffordshire"/>
    <s v="Cannock Chase"/>
    <s v="Private"/>
    <d v="2020-09-14T00:00:00"/>
    <d v="2020-10-28T00:00:00"/>
    <s v="N"/>
  </r>
  <r>
    <s v="Ofsted Social Care Provider Webpage"/>
    <s v="SC481235"/>
    <s v="Children's home"/>
    <d v="2014-09-04T00:00:00"/>
    <s v="Active"/>
    <s v="REDACTED"/>
    <s v="West Midlands"/>
    <s v="West Midlands"/>
    <s v="Sandwell"/>
    <s v="Warley"/>
    <s v="Private"/>
    <d v="2020-09-14T00:00:00"/>
    <d v="2020-10-09T00:00:00"/>
    <s v="N"/>
  </r>
  <r>
    <s v="Ofsted Social Care Provider Webpage"/>
    <n v="1274846"/>
    <s v="Children's home"/>
    <d v="2018-06-28T00:00:00"/>
    <s v="Active"/>
    <s v="REDACTED"/>
    <s v="East of England"/>
    <s v="East of England"/>
    <s v="Cambridgeshire"/>
    <s v="North East Cambridgeshire"/>
    <s v="Private"/>
    <d v="2020-09-14T00:00:00"/>
    <d v="2020-10-08T00:00:00"/>
    <s v="N"/>
  </r>
  <r>
    <s v="Ofsted Social Care Provider Webpage"/>
    <n v="1247390"/>
    <s v="Children's home"/>
    <d v="2016-12-22T00:00:00"/>
    <s v="Active"/>
    <s v="REDACTED"/>
    <s v="South West"/>
    <s v="South West"/>
    <s v="Gloucestershire"/>
    <s v="Stroud"/>
    <s v="Private"/>
    <d v="2020-09-14T00:00:00"/>
    <d v="2020-10-14T00:00:00"/>
    <s v="N"/>
  </r>
  <r>
    <s v="Ofsted Social Care Provider Webpage"/>
    <n v="1247144"/>
    <s v="Children's home"/>
    <d v="2016-11-28T00:00:00"/>
    <s v="Active"/>
    <s v="REDACTED"/>
    <s v="East Midlands"/>
    <s v="East Midlands"/>
    <s v="Derby"/>
    <s v="Derby North"/>
    <s v="Private"/>
    <d v="2020-09-14T00:00:00"/>
    <d v="2020-10-14T00:00:00"/>
    <s v="N"/>
  </r>
  <r>
    <s v="Ofsted Social Care Provider Webpage"/>
    <n v="1272657"/>
    <s v="Children's home"/>
    <d v="2018-06-07T00:00:00"/>
    <s v="Active"/>
    <s v="REDACTED"/>
    <s v="East of England"/>
    <s v="East of England"/>
    <s v="Suffolk"/>
    <s v="Ipswich"/>
    <s v="Private"/>
    <d v="2020-09-14T00:00:00"/>
    <d v="2020-10-21T00:00:00"/>
    <s v="N"/>
  </r>
  <r>
    <s v="Ofsted Social Care Provider Webpage"/>
    <n v="1185765"/>
    <s v="Children's home"/>
    <d v="2015-12-09T00:00:00"/>
    <s v="Active"/>
    <s v="REDACTED"/>
    <s v="West Midlands"/>
    <s v="West Midlands"/>
    <s v="Staffordshire"/>
    <s v="Cannock Chase"/>
    <s v="Private"/>
    <d v="2020-09-14T00:00:00"/>
    <d v="2020-10-19T00:00:00"/>
    <s v="Y"/>
  </r>
  <r>
    <s v="Ofsted Social Care Provider Webpage"/>
    <s v="SC043994"/>
    <s v="Residential special school (registered as a children's home)"/>
    <d v="2005-05-09T00:00:00"/>
    <s v="Active"/>
    <s v="REDACTED"/>
    <s v="South East"/>
    <s v="South East"/>
    <s v="Buckinghamshire"/>
    <s v="Buckingham"/>
    <s v="Voluntary"/>
    <d v="2020-09-14T00:00:00"/>
    <d v="2020-10-14T00:00:00"/>
    <s v="N"/>
  </r>
  <r>
    <s v="Ofsted Social Care Provider Webpage"/>
    <s v="SC478152"/>
    <s v="Children's home"/>
    <d v="2015-03-05T00:00:00"/>
    <s v="Active"/>
    <s v="REDACTED"/>
    <s v="South West"/>
    <s v="South West"/>
    <s v="Somerset"/>
    <s v="Bridgwater and West Somerset"/>
    <s v="Private"/>
    <d v="2020-09-14T00:00:00"/>
    <d v="2020-10-28T00:00:00"/>
    <s v="N"/>
  </r>
  <r>
    <s v="Ofsted Social Care Provider Webpage"/>
    <n v="2528264"/>
    <s v="Children's home"/>
    <d v="2019-08-09T00:00:00"/>
    <s v="Active"/>
    <s v="REDACTED"/>
    <s v="London"/>
    <s v="London"/>
    <s v="Redbridge"/>
    <s v="Ilford South"/>
    <s v="Private"/>
    <d v="2020-09-14T00:00:00"/>
    <d v="2020-10-21T00:00:00"/>
    <s v="N"/>
  </r>
  <r>
    <s v="Ofsted Social Care Provider Webpage"/>
    <s v="SC064428"/>
    <s v="Children's home"/>
    <d v="2005-05-12T00:00:00"/>
    <s v="Active"/>
    <s v="REDACTED"/>
    <s v="North West"/>
    <s v="North West"/>
    <s v="Wigan"/>
    <s v="Wigan"/>
    <s v="Private"/>
    <d v="2020-09-14T00:00:00"/>
    <d v="2020-11-02T00:00:00"/>
    <s v="N"/>
  </r>
  <r>
    <s v="Ofsted Social Care Provider Webpage"/>
    <n v="1258386"/>
    <s v="Children's home"/>
    <d v="2017-09-04T00:00:00"/>
    <s v="Active"/>
    <s v="REDACTED"/>
    <s v="South East"/>
    <s v="South East"/>
    <s v="Kent"/>
    <s v="Ashford"/>
    <s v="Private"/>
    <d v="2020-09-14T00:00:00"/>
    <d v="2020-11-10T00:00:00"/>
    <s v="N"/>
  </r>
  <r>
    <s v="Ofsted Social Care Provider Webpage"/>
    <s v="SC476249"/>
    <s v="Children's home"/>
    <d v="2014-06-30T00:00:00"/>
    <s v="Active"/>
    <s v="REDACTED"/>
    <s v="West Midlands"/>
    <s v="West Midlands"/>
    <s v="Warwickshire"/>
    <s v="North Warwickshire"/>
    <s v="Private"/>
    <d v="2020-09-14T00:00:00"/>
    <d v="2020-10-13T00:00:00"/>
    <s v="N"/>
  </r>
  <r>
    <s v="Ofsted Social Care Provider Webpage"/>
    <s v="SC453372"/>
    <s v="Children's home"/>
    <d v="2013-04-24T00:00:00"/>
    <s v="Active"/>
    <s v="REDACTED"/>
    <s v="North East, Yorkshire and the Humber"/>
    <s v="North East"/>
    <s v="Durham"/>
    <s v="Bishop Auckland"/>
    <s v="Private"/>
    <d v="2020-09-14T00:00:00"/>
    <d v="2020-10-16T00:00:00"/>
    <s v="Y"/>
  </r>
  <r>
    <s v="Ofsted Social Care Provider Webpage"/>
    <n v="1255823"/>
    <s v="Children's home"/>
    <d v="2017-06-20T00:00:00"/>
    <s v="Active"/>
    <s v="REDACTED"/>
    <s v="South East"/>
    <s v="South East"/>
    <s v="Hampshire"/>
    <s v="New Forest East"/>
    <s v="Local Authority"/>
    <d v="2020-10-14T00:00:00"/>
    <d v="2020-11-18T00:00:00"/>
    <s v="N"/>
  </r>
  <r>
    <s v="Ofsted Social Care Provider Webpage"/>
    <n v="2539201"/>
    <s v="Children's home"/>
    <d v="2019-08-28T00:00:00"/>
    <s v="Active"/>
    <s v="REDACTED"/>
    <s v="East Midlands"/>
    <s v="East Midlands"/>
    <s v="Nottinghamshire"/>
    <s v="Bassetlaw"/>
    <s v="Private"/>
    <d v="2020-10-14T00:00:00"/>
    <d v="2020-11-13T00:00:00"/>
    <s v="N"/>
  </r>
  <r>
    <s v="Ofsted Social Care Provider Webpage"/>
    <s v="SC026910"/>
    <s v="Residential special school (registered as a children's home)"/>
    <d v="2002-02-19T00:00:00"/>
    <s v="Active"/>
    <s v="REDACTED"/>
    <s v="South West"/>
    <s v="South West"/>
    <s v="Dorset"/>
    <s v="North Dorset"/>
    <s v="Private"/>
    <d v="2020-10-14T00:00:00"/>
    <d v="2020-11-19T00:00:00"/>
    <s v="N"/>
  </r>
  <r>
    <s v="Ofsted Social Care Provider Webpage"/>
    <n v="1155761"/>
    <s v="Children's home"/>
    <d v="2015-10-08T00:00:00"/>
    <s v="Active"/>
    <s v="REDACTED"/>
    <s v="South West"/>
    <s v="South West"/>
    <s v="Gloucestershire"/>
    <s v="Gloucester"/>
    <s v="Private"/>
    <d v="2020-10-14T00:00:00"/>
    <d v="2020-11-19T00:00:00"/>
    <s v="Y"/>
  </r>
  <r>
    <s v="Ofsted Social Care Provider Webpage"/>
    <n v="2594875"/>
    <s v="Children's home"/>
    <d v="2020-07-13T00:00:00"/>
    <s v="Active"/>
    <s v="REDACTED"/>
    <s v="East of England"/>
    <s v="East of England"/>
    <s v="Cambridgeshire"/>
    <s v="North West Cambridgeshire"/>
    <s v="Private"/>
    <d v="2020-10-14T00:00:00"/>
    <d v="2020-11-13T00:00:00"/>
    <s v="N"/>
  </r>
  <r>
    <s v="Ofsted Social Care Provider Webpage"/>
    <s v="SC060554"/>
    <s v="Children's home"/>
    <d v="2004-05-28T00:00:00"/>
    <s v="Active"/>
    <s v="REDACTED"/>
    <s v="West Midlands"/>
    <s v="West Midlands"/>
    <s v="Staffordshire"/>
    <s v="Cannock Chase"/>
    <s v="Private"/>
    <d v="2020-10-14T00:00:00"/>
    <d v="2020-11-13T00:00:00"/>
    <s v="N"/>
  </r>
  <r>
    <s v="Ofsted Social Care Provider Webpage"/>
    <n v="2529639"/>
    <s v="Children's home"/>
    <d v="2019-08-06T00:00:00"/>
    <s v="Active"/>
    <s v="REDACTED"/>
    <s v="West Midlands"/>
    <s v="West Midlands"/>
    <s v="Coventry"/>
    <s v="Coventry South"/>
    <s v="Local Authority"/>
    <d v="2020-10-14T00:00:00"/>
    <d v="2020-11-27T00:00:00"/>
    <s v="Y"/>
  </r>
  <r>
    <s v="Ofsted Social Care Provider Webpage"/>
    <s v="SC389649"/>
    <s v="Children's home"/>
    <d v="2009-02-18T00:00:00"/>
    <s v="Resigned"/>
    <s v="REDACTED"/>
    <s v="North West"/>
    <s v="North West"/>
    <s v="Manchester"/>
    <s v="Manchester, Gorton"/>
    <s v="Private"/>
    <d v="2020-10-14T00:00:00"/>
    <d v="2020-11-20T00:00:00"/>
    <s v="N"/>
  </r>
  <r>
    <s v="Ofsted Social Care Provider Webpage"/>
    <n v="2509452"/>
    <s v="Children's home"/>
    <d v="2019-03-11T00:00:00"/>
    <s v="Active"/>
    <s v="REDACTED"/>
    <s v="North West"/>
    <s v="North West"/>
    <s v="Wigan"/>
    <s v="Leigh"/>
    <s v="Private"/>
    <d v="2020-10-14T00:00:00"/>
    <d v="2020-11-13T00:00:00"/>
    <s v="N"/>
  </r>
  <r>
    <s v="Ofsted Social Care Provider Webpage"/>
    <n v="2586949"/>
    <s v="Children's home"/>
    <d v="2020-04-30T00:00:00"/>
    <s v="Active"/>
    <s v="REDACTED"/>
    <s v="North West"/>
    <s v="North West"/>
    <s v="Lancashire"/>
    <s v="Rossendale and Darwen"/>
    <s v="Private"/>
    <d v="2020-10-14T00:00:00"/>
    <d v="2020-11-19T00:00:00"/>
    <s v="N"/>
  </r>
  <r>
    <s v="Ofsted Social Care Provider Webpage"/>
    <n v="2511289"/>
    <s v="Children's home"/>
    <d v="2019-01-21T00:00:00"/>
    <s v="Active"/>
    <s v="REDACTED"/>
    <s v="South West"/>
    <s v="South West"/>
    <s v="Plymouth"/>
    <s v="Plymouth, Sutton and Devonport"/>
    <s v="Private"/>
    <d v="2020-10-14T00:00:00"/>
    <d v="2020-11-17T00:00:00"/>
    <s v="N"/>
  </r>
  <r>
    <s v="Ofsted Social Care Provider Webpage"/>
    <s v="SC023737"/>
    <s v="Children's home"/>
    <d v="2001-06-26T00:00:00"/>
    <s v="Active"/>
    <s v="REDACTED"/>
    <s v="South East"/>
    <s v="South East"/>
    <s v="Kent"/>
    <s v="North Thanet"/>
    <s v="Private"/>
    <d v="2020-10-14T00:00:00"/>
    <d v="2020-11-27T00:00:00"/>
    <s v="N"/>
  </r>
  <r>
    <s v="Ofsted Social Care Provider Webpage"/>
    <s v="SC421197"/>
    <s v="Children's home"/>
    <d v="2011-01-06T00:00:00"/>
    <s v="Active"/>
    <s v="REDACTED"/>
    <s v="North West"/>
    <s v="North West"/>
    <s v="Lancashire"/>
    <s v="Morecambe and Lunesdale"/>
    <s v="Private"/>
    <d v="2020-10-14T00:00:00"/>
    <d v="2020-11-30T00:00:00"/>
    <s v="N"/>
  </r>
  <r>
    <s v="Ofsted Social Care Provider Webpage"/>
    <s v="SC059998"/>
    <s v="Children's home"/>
    <d v="2004-02-10T00:00:00"/>
    <s v="Active"/>
    <s v="REDACTED"/>
    <s v="East Midlands"/>
    <s v="East Midlands"/>
    <s v="Derby"/>
    <s v="Derby South"/>
    <s v="Private"/>
    <d v="2020-10-14T00:00:00"/>
    <d v="2020-11-17T00:00:00"/>
    <s v="N"/>
  </r>
  <r>
    <s v="Ofsted Social Care Provider Webpage"/>
    <n v="2515609"/>
    <s v="Children's home"/>
    <d v="2019-02-21T00:00:00"/>
    <s v="Active"/>
    <s v="REDACTED"/>
    <s v="West Midlands"/>
    <s v="West Midlands"/>
    <s v="Coventry"/>
    <s v="Coventry North East"/>
    <s v="Private"/>
    <d v="2020-10-14T00:00:00"/>
    <d v="2020-11-19T00:00:00"/>
    <s v="N"/>
  </r>
  <r>
    <s v="Ofsted Social Care Provider Webpage"/>
    <s v="SC482340"/>
    <s v="Children's home"/>
    <d v="2014-12-03T00:00:00"/>
    <s v="Active"/>
    <s v="REDACTED"/>
    <s v="North West"/>
    <s v="North West"/>
    <s v="Knowsley"/>
    <s v="Knowsley"/>
    <s v="Private"/>
    <d v="2020-10-14T00:00:00"/>
    <d v="2020-11-17T00:00:00"/>
    <s v="N"/>
  </r>
  <r>
    <s v="Ofsted Social Care Provider Webpage"/>
    <s v="SC420388"/>
    <s v="Children's home"/>
    <d v="2010-12-22T00:00:00"/>
    <s v="Active"/>
    <s v="REDACTED"/>
    <s v="North West"/>
    <s v="North West"/>
    <s v="Bury"/>
    <s v="Bury North"/>
    <s v="Private"/>
    <d v="2020-10-14T00:00:00"/>
    <d v="2020-11-17T00:00:00"/>
    <s v="N"/>
  </r>
  <r>
    <s v="Ofsted Social Care Provider Webpage"/>
    <s v="SC439535"/>
    <s v="Children's home"/>
    <d v="2011-12-09T00:00:00"/>
    <s v="Active"/>
    <s v="REDACTED"/>
    <s v="North East, Yorkshire and the Humber"/>
    <s v="Yorkshire and The Humber"/>
    <s v="North Yorkshire"/>
    <s v="Selby and Ainsty"/>
    <s v="Private"/>
    <d v="2020-10-14T00:00:00"/>
    <d v="2020-12-02T00:00:00"/>
    <s v="N"/>
  </r>
  <r>
    <s v="Ofsted Social Care Provider Webpage"/>
    <n v="2529667"/>
    <s v="Children's home"/>
    <d v="2019-03-15T00:00:00"/>
    <s v="Active"/>
    <s v="REDACTED"/>
    <s v="South West"/>
    <s v="South West"/>
    <s v="Devon"/>
    <s v="Central Devon"/>
    <s v="Local Authority"/>
    <d v="2020-10-14T00:00:00"/>
    <d v="2020-11-20T00:00:00"/>
    <s v="Y"/>
  </r>
  <r>
    <s v="Ofsted Social Care Provider Webpage"/>
    <s v="SC039847"/>
    <s v="Boarding School"/>
    <d v="2002-11-07T00:00:00"/>
    <s v="Active"/>
    <s v="Sexeys School"/>
    <s v="South West"/>
    <s v="South West"/>
    <s v="Somerset"/>
    <s v="Somerton and Frome"/>
    <s v="Academy"/>
    <d v="2020-10-14T00:00:00"/>
    <d v="2020-11-20T00:00:00"/>
    <s v="N"/>
  </r>
  <r>
    <s v="Ofsted Social Care Provider Webpage"/>
    <n v="1239948"/>
    <s v="Children's home"/>
    <d v="2016-05-25T00:00:00"/>
    <s v="Active"/>
    <s v="REDACTED"/>
    <s v="South East"/>
    <s v="South East"/>
    <s v="Portsmouth"/>
    <s v="Portsmouth South"/>
    <s v="Local Authority"/>
    <d v="2020-10-14T00:00:00"/>
    <d v="2020-12-07T00:00:00"/>
    <s v="N"/>
  </r>
  <r>
    <s v="Ofsted Social Care Provider Webpage"/>
    <n v="2495951"/>
    <s v="Children's home"/>
    <d v="2018-10-16T00:00:00"/>
    <s v="Active"/>
    <s v="REDACTED"/>
    <s v="East Midlands"/>
    <s v="East Midlands"/>
    <s v="Leicestershire"/>
    <s v="North West Leicestershire"/>
    <s v="Private"/>
    <d v="2020-10-14T00:00:00"/>
    <d v="2020-11-18T00:00:00"/>
    <s v="Y"/>
  </r>
  <r>
    <s v="Ofsted Social Care Provider Webpage"/>
    <n v="2491037"/>
    <s v="Children's home"/>
    <d v="2018-12-03T00:00:00"/>
    <s v="Active"/>
    <s v="REDACTED"/>
    <s v="East Midlands"/>
    <s v="East Midlands"/>
    <s v="Nottingham"/>
    <s v="Nottingham North"/>
    <s v="Private"/>
    <d v="2020-10-14T00:00:00"/>
    <d v="2020-11-12T00:00:00"/>
    <s v="N"/>
  </r>
  <r>
    <s v="Ofsted Social Care Provider Webpage"/>
    <n v="2496864"/>
    <s v="Children's home"/>
    <d v="2018-09-06T00:00:00"/>
    <s v="Active"/>
    <s v="REDACTED"/>
    <s v="North East, Yorkshire and the Humber"/>
    <s v="North East"/>
    <s v="Northumberland"/>
    <s v="Blyth Valley"/>
    <s v="Private"/>
    <d v="2020-12-14T00:00:00"/>
    <d v="2021-01-26T00:00:00"/>
    <s v="N"/>
  </r>
  <r>
    <s v="Ofsted Social Care Provider Webpage"/>
    <n v="1027158"/>
    <s v="Children's home"/>
    <d v="2015-09-04T00:00:00"/>
    <s v="Active"/>
    <s v="REDACTED"/>
    <s v="East of England"/>
    <s v="East of England"/>
    <s v="Norfolk"/>
    <s v="South West Norfolk"/>
    <s v="Private"/>
    <d v="2020-12-14T00:00:00"/>
    <d v="2021-01-25T00:00:00"/>
    <s v="N"/>
  </r>
  <r>
    <s v="Ofsted Social Care Provider Webpage"/>
    <n v="2579887"/>
    <s v="Children's home"/>
    <d v="2020-06-18T00:00:00"/>
    <s v="Active"/>
    <s v="REDACTED"/>
    <s v="South West"/>
    <s v="South West"/>
    <s v="Dorset"/>
    <s v="West Dorset"/>
    <s v="Private"/>
    <d v="2020-12-14T00:00:00"/>
    <d v="2021-01-21T00:00:00"/>
    <s v="Y"/>
  </r>
  <r>
    <s v="Ofsted Social Care Provider Webpage"/>
    <n v="2571759"/>
    <s v="Children's home"/>
    <d v="2020-02-11T00:00:00"/>
    <s v="Active"/>
    <s v="REDACTED"/>
    <s v="North East, Yorkshire and the Humber"/>
    <s v="Yorkshire and The Humber"/>
    <s v="Kirklees"/>
    <s v="Batley and Spen"/>
    <s v="Private"/>
    <d v="2020-12-14T00:00:00"/>
    <d v="2021-01-25T00:00:00"/>
    <s v="N"/>
  </r>
  <r>
    <s v="Ofsted Social Care Provider Webpage"/>
    <s v="SC426172"/>
    <s v="Children's home"/>
    <d v="2011-04-06T00:00:00"/>
    <s v="Active"/>
    <s v="REDACTED"/>
    <s v="East of England"/>
    <s v="East of England"/>
    <s v="Hertfordshire"/>
    <s v="Hertford and Stortford"/>
    <s v="Voluntary"/>
    <d v="2020-12-14T00:00:00"/>
    <d v="2021-01-25T00:00:00"/>
    <s v="N"/>
  </r>
  <r>
    <s v="Ofsted Social Care Provider Webpage"/>
    <s v="SC381522"/>
    <s v="Children's home"/>
    <d v="2008-10-06T00:00:00"/>
    <s v="Active"/>
    <s v="REDACTED"/>
    <s v="East Midlands"/>
    <s v="East Midlands"/>
    <s v="Nottinghamshire"/>
    <s v="Ashfield"/>
    <s v="Private"/>
    <d v="2020-12-14T00:00:00"/>
    <d v="2021-01-22T00:00:00"/>
    <s v="N"/>
  </r>
  <r>
    <s v="Ofsted Social Care Provider Webpage"/>
    <s v="SC476008"/>
    <s v="Children's home"/>
    <d v="2014-02-28T00:00:00"/>
    <s v="Active"/>
    <s v="REDACTED"/>
    <s v="North West"/>
    <s v="North West"/>
    <s v="Cheshire East"/>
    <s v="Macclesfield"/>
    <s v="Private"/>
    <d v="2020-12-14T00:00:00"/>
    <d v="2021-01-29T00:00:00"/>
    <s v="N"/>
  </r>
  <r>
    <s v="Ofsted Social Care Provider Webpage"/>
    <n v="1270002"/>
    <s v="Children's home"/>
    <d v="2018-05-22T00:00:00"/>
    <s v="Active"/>
    <s v="REDACTED"/>
    <s v="North West"/>
    <s v="North West"/>
    <s v="Liverpool"/>
    <s v="Garston and Halewood"/>
    <s v="Private"/>
    <d v="2020-12-14T00:00:00"/>
    <d v="2021-01-26T00:00:00"/>
    <s v="N"/>
  </r>
  <r>
    <s v="Ofsted Social Care Provider Webpage"/>
    <n v="2521953"/>
    <s v="Children's home"/>
    <d v="2019-10-01T00:00:00"/>
    <s v="Active"/>
    <s v="REDACTED"/>
    <s v="North West"/>
    <s v="North West"/>
    <s v="Lancashire"/>
    <s v="Blackpool North and Cleveleys"/>
    <s v="Private"/>
    <d v="2020-12-14T00:00:00"/>
    <d v="2021-01-29T00:00:00"/>
    <s v="N"/>
  </r>
  <r>
    <s v="Ofsted Social Care Provider Webpage"/>
    <s v="SC457434"/>
    <s v="Children's home"/>
    <d v="2013-02-19T00:00:00"/>
    <s v="Active"/>
    <s v="REDACTED"/>
    <s v="North East, Yorkshire and the Humber"/>
    <s v="North East"/>
    <s v="Middlesbrough"/>
    <s v="Middlesbrough"/>
    <s v="Private"/>
    <d v="2020-09-15T00:00:00"/>
    <d v="2020-10-26T00:00:00"/>
    <s v="N"/>
  </r>
  <r>
    <s v="Ofsted Social Care Provider Webpage"/>
    <s v="SC029865"/>
    <s v="Children's home"/>
    <d v="2002-12-30T00:00:00"/>
    <s v="Active"/>
    <s v="REDACTED"/>
    <s v="South East"/>
    <s v="South East"/>
    <s v="West Sussex"/>
    <s v="Mid Sussex"/>
    <s v="Private"/>
    <d v="2020-09-15T00:00:00"/>
    <d v="2020-10-19T00:00:00"/>
    <s v="N"/>
  </r>
  <r>
    <s v="Ofsted Social Care Provider Webpage"/>
    <s v="SC487702"/>
    <s v="Children's home"/>
    <d v="2015-09-28T00:00:00"/>
    <s v="Active"/>
    <s v="REDACTED"/>
    <s v="East of England"/>
    <s v="East of England"/>
    <s v="Suffolk"/>
    <s v="Ipswich"/>
    <s v="Private"/>
    <d v="2020-09-15T00:00:00"/>
    <d v="2020-10-19T00:00:00"/>
    <s v="N"/>
  </r>
  <r>
    <s v="Ofsted Social Care Provider Webpage"/>
    <s v="SC062074"/>
    <s v="Children's home"/>
    <d v="2004-12-23T00:00:00"/>
    <s v="Active"/>
    <s v="REDACTED"/>
    <s v="West Midlands"/>
    <s v="West Midlands"/>
    <s v="Herefordshire"/>
    <s v="North Herefordshire"/>
    <s v="Private"/>
    <d v="2020-09-15T00:00:00"/>
    <d v="2020-10-22T00:00:00"/>
    <s v="N"/>
  </r>
  <r>
    <s v="Ofsted Social Care Provider Webpage"/>
    <n v="1238043"/>
    <s v="Children's home"/>
    <d v="2016-07-01T00:00:00"/>
    <s v="Active"/>
    <s v="REDACTED"/>
    <s v="North West"/>
    <s v="North West"/>
    <s v="Lancashire"/>
    <s v="Wyre and Preston North"/>
    <s v="Private"/>
    <d v="2020-09-15T00:00:00"/>
    <d v="2020-11-06T00:00:00"/>
    <s v="N"/>
  </r>
  <r>
    <s v="Ofsted Social Care Provider Webpage"/>
    <s v="SC040266"/>
    <s v="Children's home"/>
    <d v="2003-08-15T00:00:00"/>
    <s v="Active"/>
    <s v="REDACTED"/>
    <s v="North West"/>
    <s v="North West"/>
    <s v="Wigan"/>
    <s v="Wigan"/>
    <s v="Local Authority"/>
    <d v="2020-09-15T00:00:00"/>
    <d v="2020-11-11T00:00:00"/>
    <s v="N"/>
  </r>
  <r>
    <s v="Ofsted Social Care Provider Webpage"/>
    <s v="SC061005"/>
    <s v="Children's home"/>
    <d v="2004-06-24T00:00:00"/>
    <s v="Active"/>
    <s v="REDACTED"/>
    <s v="North East, Yorkshire and the Humber"/>
    <s v="Yorkshire and The Humber"/>
    <s v="Bradford"/>
    <s v="Shipley"/>
    <s v="Local Authority"/>
    <d v="2020-09-15T00:00:00"/>
    <d v="2020-10-15T00:00:00"/>
    <s v="N"/>
  </r>
  <r>
    <s v="Ofsted Social Care Provider Webpage"/>
    <s v="SC438648"/>
    <s v="Children's home"/>
    <d v="2011-12-14T00:00:00"/>
    <s v="Active"/>
    <s v="REDACTED"/>
    <s v="South East"/>
    <s v="South East"/>
    <s v="Kent"/>
    <s v="South Thanet"/>
    <s v="Private"/>
    <d v="2020-09-15T00:00:00"/>
    <d v="2020-10-19T00:00:00"/>
    <s v="Y"/>
  </r>
  <r>
    <s v="Ofsted Social Care Provider Webpage"/>
    <n v="2540927"/>
    <s v="Children's home"/>
    <d v="2019-07-24T00:00:00"/>
    <s v="Active"/>
    <s v="REDACTED"/>
    <s v="East Midlands"/>
    <s v="East Midlands"/>
    <s v="Lincolnshire"/>
    <s v="Gainsborough"/>
    <s v="Private"/>
    <d v="2020-09-15T00:00:00"/>
    <d v="2020-10-13T00:00:00"/>
    <s v="N"/>
  </r>
  <r>
    <s v="Ofsted Social Care Provider Webpage"/>
    <n v="1262935"/>
    <s v="Children's home"/>
    <d v="2017-08-18T00:00:00"/>
    <s v="Active"/>
    <s v="REDACTED"/>
    <s v="North West"/>
    <s v="North West"/>
    <s v="Cumbria"/>
    <s v="Penrith and The Border"/>
    <s v="Private"/>
    <d v="2020-09-15T00:00:00"/>
    <d v="2020-10-29T00:00:00"/>
    <s v="N"/>
  </r>
  <r>
    <s v="Ofsted Social Care Provider Webpage"/>
    <s v="SC475323"/>
    <s v="Children's home"/>
    <d v="2014-02-06T00:00:00"/>
    <s v="Active"/>
    <s v="REDACTED"/>
    <s v="West Midlands"/>
    <s v="West Midlands"/>
    <s v="Staffordshire"/>
    <s v="Staffordshire Moorlands"/>
    <s v="Private"/>
    <d v="2020-09-15T00:00:00"/>
    <d v="2020-10-30T00:00:00"/>
    <s v="N"/>
  </r>
  <r>
    <s v="Ofsted Social Care Provider Webpage"/>
    <s v="SC421063"/>
    <s v="Children's home"/>
    <d v="2011-02-03T00:00:00"/>
    <s v="Active"/>
    <s v="REDACTED"/>
    <s v="South East"/>
    <s v="South East"/>
    <s v="Buckinghamshire"/>
    <s v="Buckingham"/>
    <s v="Private"/>
    <d v="2020-09-15T00:00:00"/>
    <d v="2020-10-28T00:00:00"/>
    <s v="N"/>
  </r>
  <r>
    <s v="Ofsted Social Care Provider Webpage"/>
    <s v="SC025420"/>
    <s v="Children's home"/>
    <d v="2000-11-14T00:00:00"/>
    <s v="Active"/>
    <s v="REDACTED"/>
    <s v="North West"/>
    <s v="North West"/>
    <s v="Liverpool"/>
    <s v="Liverpool, Riverside"/>
    <s v="Private"/>
    <d v="2020-09-15T00:00:00"/>
    <d v="2020-10-29T00:00:00"/>
    <s v="N"/>
  </r>
  <r>
    <s v="Ofsted Social Care Provider Webpage"/>
    <s v="SC035543"/>
    <s v="Children's home"/>
    <d v="2003-04-01T00:00:00"/>
    <s v="Active"/>
    <s v="REDACTED"/>
    <s v="North East, Yorkshire and the Humber"/>
    <s v="Yorkshire and The Humber"/>
    <s v="East Riding of Yorkshire"/>
    <s v="East Yorkshire"/>
    <s v="Local Authority"/>
    <d v="2020-09-15T00:00:00"/>
    <d v="2020-10-20T00:00:00"/>
    <s v="N"/>
  </r>
  <r>
    <s v="Ofsted Social Care Provider Webpage"/>
    <s v="SC479649"/>
    <s v="Children's home"/>
    <d v="2014-11-30T00:00:00"/>
    <s v="Active"/>
    <s v="REDACTED"/>
    <s v="North West"/>
    <s v="North West"/>
    <s v="Lancashire"/>
    <s v="Lancaster and Fleetwood"/>
    <s v="Private"/>
    <d v="2020-09-15T00:00:00"/>
    <d v="2020-10-27T00:00:00"/>
    <s v="Y"/>
  </r>
  <r>
    <s v="Ofsted Social Care Provider Webpage"/>
    <n v="1227330"/>
    <s v="Children's home"/>
    <d v="2016-05-04T00:00:00"/>
    <s v="Resigned"/>
    <s v="REDACTED"/>
    <s v="West Midlands"/>
    <s v="West Midlands"/>
    <s v="Telford and Wrekin"/>
    <s v="The Wrekin"/>
    <s v="Private"/>
    <d v="2020-09-15T00:00:00"/>
    <d v="2020-10-15T00:00:00"/>
    <s v="N"/>
  </r>
  <r>
    <s v="Ofsted Social Care Provider Webpage"/>
    <s v="SC457500"/>
    <s v="Children's home"/>
    <d v="2013-02-27T00:00:00"/>
    <s v="Active"/>
    <s v="REDACTED"/>
    <s v="East Midlands"/>
    <s v="East Midlands"/>
    <s v="Nottingham"/>
    <s v="Nottingham East"/>
    <s v="Private"/>
    <d v="2020-09-15T00:00:00"/>
    <d v="2020-10-16T00:00:00"/>
    <s v="N"/>
  </r>
  <r>
    <s v="Ofsted Social Care Provider Webpage"/>
    <s v="SC060750"/>
    <s v="Children's home"/>
    <d v="2004-06-24T00:00:00"/>
    <s v="Active"/>
    <s v="REDACTED"/>
    <s v="North West"/>
    <s v="North West"/>
    <s v="Lancashire"/>
    <s v="Rossendale and Darwen"/>
    <s v="Private"/>
    <d v="2020-09-15T00:00:00"/>
    <d v="2020-10-22T00:00:00"/>
    <s v="N"/>
  </r>
  <r>
    <s v="Ofsted Social Care Provider Webpage"/>
    <s v="SC039414"/>
    <s v="Children's home"/>
    <d v="2003-11-03T00:00:00"/>
    <s v="Active"/>
    <s v="REDACTED"/>
    <s v="North East, Yorkshire and the Humber"/>
    <s v="Yorkshire and The Humber"/>
    <s v="Sheffield"/>
    <s v="Sheffield Central"/>
    <s v="Local Authority"/>
    <d v="2020-09-15T00:00:00"/>
    <d v="2020-10-21T00:00:00"/>
    <s v="N"/>
  </r>
  <r>
    <s v="Ofsted Social Care Provider Webpage"/>
    <s v="SC387671"/>
    <s v="Children's home"/>
    <d v="2009-02-27T00:00:00"/>
    <s v="Active"/>
    <s v="REDACTED"/>
    <s v="North West"/>
    <s v="North West"/>
    <s v="Oldham"/>
    <s v="Oldham East and Saddleworth"/>
    <s v="Local Authority"/>
    <d v="2020-09-15T00:00:00"/>
    <d v="2020-10-21T00:00:00"/>
    <s v="N"/>
  </r>
  <r>
    <s v="Ofsted Social Care Provider Webpage"/>
    <s v="SC067865"/>
    <s v="Children's home"/>
    <d v="2006-10-25T00:00:00"/>
    <s v="Active"/>
    <s v="REDACTED"/>
    <s v="North East, Yorkshire and the Humber"/>
    <s v="Yorkshire and The Humber"/>
    <s v="Barnsley"/>
    <s v="Barnsley Central"/>
    <s v="Private"/>
    <d v="2020-09-15T00:00:00"/>
    <d v="2020-10-26T00:00:00"/>
    <s v="N"/>
  </r>
  <r>
    <s v="Ofsted Social Care Provider Webpage"/>
    <s v="SC036248"/>
    <s v="Children's home"/>
    <d v="2003-12-11T00:00:00"/>
    <s v="Active"/>
    <s v="REDACTED"/>
    <s v="East Midlands"/>
    <s v="East Midlands"/>
    <s v="Derbyshire"/>
    <s v="Erewash"/>
    <s v="Local Authority"/>
    <d v="2020-09-15T00:00:00"/>
    <d v="2020-10-16T00:00:00"/>
    <s v="N"/>
  </r>
  <r>
    <s v="Ofsted Social Care Provider Webpage"/>
    <s v="SC451819"/>
    <s v="Children's home"/>
    <d v="2012-08-07T00:00:00"/>
    <s v="Active"/>
    <s v="REDACTED"/>
    <s v="South West"/>
    <s v="South West"/>
    <s v="Wiltshire"/>
    <s v="South West Wiltshire"/>
    <s v="Private"/>
    <d v="2020-09-15T00:00:00"/>
    <d v="2020-10-26T00:00:00"/>
    <s v="N"/>
  </r>
  <r>
    <s v="Ofsted Social Care Provider Webpage"/>
    <n v="1270393"/>
    <s v="Children's home"/>
    <d v="2018-03-10T00:00:00"/>
    <s v="Active"/>
    <s v="REDACTED"/>
    <s v="North East, Yorkshire and the Humber"/>
    <s v="Yorkshire and The Humber"/>
    <s v="Rotherham"/>
    <s v="Rother Valley"/>
    <s v="Private"/>
    <d v="2020-09-15T00:00:00"/>
    <d v="2020-10-22T00:00:00"/>
    <s v="N"/>
  </r>
  <r>
    <s v="Ofsted Social Care Provider Webpage"/>
    <n v="1265096"/>
    <s v="Children's home"/>
    <d v="2018-04-19T00:00:00"/>
    <s v="Active"/>
    <s v="REDACTED"/>
    <s v="West Midlands"/>
    <s v="West Midlands"/>
    <s v="Wolverhampton"/>
    <s v="Wolverhampton North East"/>
    <s v="Private"/>
    <d v="2020-09-15T00:00:00"/>
    <d v="2020-10-14T00:00:00"/>
    <s v="N"/>
  </r>
  <r>
    <s v="Ofsted Social Care Provider Webpage"/>
    <n v="1278020"/>
    <s v="Children's home"/>
    <d v="2018-07-10T00:00:00"/>
    <s v="Active"/>
    <s v="REDACTED"/>
    <s v="South West"/>
    <s v="South West"/>
    <s v="Devon"/>
    <s v="North Devon"/>
    <s v="Private"/>
    <d v="2020-09-15T00:00:00"/>
    <d v="2020-11-12T00:00:00"/>
    <s v="N"/>
  </r>
  <r>
    <s v="Ofsted Social Care Provider Webpage"/>
    <s v="SC450045"/>
    <s v="Children's home"/>
    <d v="2012-08-01T00:00:00"/>
    <s v="Active"/>
    <s v="REDACTED"/>
    <s v="East of England"/>
    <s v="East of England"/>
    <s v="Norfolk"/>
    <s v="Norwich North"/>
    <s v="Local Authority"/>
    <d v="2020-09-15T00:00:00"/>
    <d v="2020-10-14T00:00:00"/>
    <s v="N"/>
  </r>
  <r>
    <s v="Ofsted Social Care Provider Webpage"/>
    <s v="SC403472"/>
    <s v="Children's home"/>
    <d v="2010-05-11T00:00:00"/>
    <s v="Active"/>
    <s v="REDACTED"/>
    <s v="North East, Yorkshire and the Humber"/>
    <s v="North East"/>
    <s v="Newcastle upon Tyne"/>
    <s v="Newcastle upon Tyne North"/>
    <s v="Private"/>
    <d v="2020-09-15T00:00:00"/>
    <d v="2020-10-23T00:00:00"/>
    <s v="N"/>
  </r>
  <r>
    <s v="Ofsted Social Care Provider Webpage"/>
    <s v="SC033389"/>
    <s v="Children's home"/>
    <d v="2003-07-17T00:00:00"/>
    <s v="Active"/>
    <s v="REDACTED"/>
    <s v="North East, Yorkshire and the Humber"/>
    <s v="Yorkshire and The Humber"/>
    <s v="Leeds"/>
    <s v="Leeds North West"/>
    <s v="Local Authority"/>
    <d v="2020-09-15T00:00:00"/>
    <d v="2020-10-20T00:00:00"/>
    <s v="N"/>
  </r>
  <r>
    <s v="Ofsted Social Care Provider Webpage"/>
    <n v="2532131"/>
    <s v="Children's home"/>
    <d v="2019-07-12T00:00:00"/>
    <s v="Active"/>
    <s v="REDACTED"/>
    <s v="East of England"/>
    <s v="East of England"/>
    <s v="Norfolk"/>
    <s v="Norwich South"/>
    <s v="Private"/>
    <d v="2020-09-15T00:00:00"/>
    <d v="2020-10-12T00:00:00"/>
    <s v="N"/>
  </r>
  <r>
    <s v="Ofsted Social Care Provider Webpage"/>
    <n v="1267402"/>
    <s v="Children's home"/>
    <d v="2018-04-13T00:00:00"/>
    <s v="Active"/>
    <s v="REDACTED"/>
    <s v="North East, Yorkshire and the Humber"/>
    <s v="North East"/>
    <s v="Redcar and Cleveland"/>
    <s v="Redcar"/>
    <s v="Private"/>
    <d v="2020-09-15T00:00:00"/>
    <d v="2020-11-13T00:00:00"/>
    <s v="N"/>
  </r>
  <r>
    <s v="Ofsted Social Care Provider Webpage"/>
    <n v="2509670"/>
    <s v="Children's home"/>
    <d v="2019-03-28T00:00:00"/>
    <s v="Active"/>
    <s v="REDACTED"/>
    <s v="North West"/>
    <s v="North West"/>
    <s v="Stockport"/>
    <s v="Stockport"/>
    <s v="Private"/>
    <d v="2020-09-15T00:00:00"/>
    <d v="2020-11-12T00:00:00"/>
    <s v="N"/>
  </r>
  <r>
    <s v="Ofsted Social Care Provider Webpage"/>
    <n v="1236625"/>
    <s v="Children's home"/>
    <d v="2016-07-21T00:00:00"/>
    <s v="Active"/>
    <s v="REDACTED"/>
    <s v="East Midlands"/>
    <s v="East Midlands"/>
    <s v="Leicestershire"/>
    <s v="Charnwood"/>
    <s v="Private"/>
    <d v="2020-09-15T00:00:00"/>
    <d v="2020-10-22T00:00:00"/>
    <s v="N"/>
  </r>
  <r>
    <s v="Ofsted Social Care Provider Webpage"/>
    <s v="SC370982"/>
    <s v="Children's home"/>
    <d v="2008-06-16T00:00:00"/>
    <s v="Active"/>
    <s v="REDACTED"/>
    <s v="West Midlands"/>
    <s v="West Midlands"/>
    <s v="Shropshire"/>
    <s v="Shrewsbury and Atcham"/>
    <s v="Local Authority"/>
    <d v="2020-09-15T00:00:00"/>
    <d v="2020-10-19T00:00:00"/>
    <s v="Y"/>
  </r>
  <r>
    <s v="Ofsted Social Care Provider Webpage"/>
    <s v="SC363268"/>
    <s v="Children's home"/>
    <d v="2008-01-09T00:00:00"/>
    <s v="Active"/>
    <s v="REDACTED"/>
    <s v="South East"/>
    <s v="South East"/>
    <s v="Hampshire"/>
    <s v="New Forest East"/>
    <s v="Private"/>
    <d v="2020-09-15T00:00:00"/>
    <d v="2020-10-27T00:00:00"/>
    <s v="N"/>
  </r>
  <r>
    <s v="Ofsted Social Care Provider Webpage"/>
    <n v="1258343"/>
    <s v="Children's home"/>
    <d v="2017-09-19T00:00:00"/>
    <s v="Active"/>
    <s v="REDACTED"/>
    <s v="South West"/>
    <s v="South West"/>
    <s v="Wiltshire"/>
    <s v="Salisbury"/>
    <s v="Private"/>
    <d v="2020-09-15T00:00:00"/>
    <d v="2020-10-28T00:00:00"/>
    <s v="N"/>
  </r>
  <r>
    <s v="Ofsted Social Care Provider Webpage"/>
    <n v="1249115"/>
    <s v="Children's home"/>
    <d v="2017-03-12T00:00:00"/>
    <s v="Active"/>
    <s v="REDACTED"/>
    <s v="North East, Yorkshire and the Humber"/>
    <s v="Yorkshire and The Humber"/>
    <s v="Calderdale"/>
    <s v="Calder Valley"/>
    <s v="Private"/>
    <d v="2020-09-15T00:00:00"/>
    <d v="2020-11-03T00:00:00"/>
    <s v="N"/>
  </r>
  <r>
    <s v="Ofsted Social Care Provider Webpage"/>
    <n v="2522240"/>
    <s v="Children's home"/>
    <d v="2019-05-09T00:00:00"/>
    <s v="Active"/>
    <s v="REDACTED"/>
    <s v="North East, Yorkshire and the Humber"/>
    <s v="North East"/>
    <s v="Sunderland"/>
    <s v="Sunderland Central"/>
    <s v="Voluntary"/>
    <d v="2020-09-15T00:00:00"/>
    <d v="2020-10-13T00:00:00"/>
    <s v="N"/>
  </r>
  <r>
    <s v="Ofsted Social Care Provider Webpage"/>
    <s v="SC065067"/>
    <s v="Children's home"/>
    <d v="2005-09-01T00:00:00"/>
    <s v="Active"/>
    <s v="REDACTED"/>
    <s v="North West"/>
    <s v="North West"/>
    <s v="Salford"/>
    <s v="Salford and Eccles"/>
    <s v="Local Authority"/>
    <d v="2020-09-15T00:00:00"/>
    <d v="2020-10-28T00:00:00"/>
    <s v="Y"/>
  </r>
  <r>
    <s v="Ofsted Social Care Provider Webpage"/>
    <s v="SC480681"/>
    <s v="Children's home"/>
    <d v="2015-01-27T00:00:00"/>
    <s v="Active"/>
    <s v="REDACTED"/>
    <s v="North West"/>
    <s v="North West"/>
    <s v="Lancashire"/>
    <s v="Wyre and Preston North"/>
    <s v="Private"/>
    <d v="2020-09-15T00:00:00"/>
    <d v="2020-10-20T00:00:00"/>
    <s v="N"/>
  </r>
  <r>
    <s v="Ofsted Social Care Provider Webpage"/>
    <n v="1263270"/>
    <s v="Children's home"/>
    <d v="2017-08-18T00:00:00"/>
    <s v="Active"/>
    <s v="REDACTED"/>
    <s v="South West"/>
    <s v="South West"/>
    <s v="Cornwall"/>
    <s v="South East Cornwall"/>
    <s v="Private"/>
    <d v="2020-10-15T00:00:00"/>
    <d v="2020-11-17T00:00:00"/>
    <s v="N"/>
  </r>
  <r>
    <s v="Ofsted Social Care Provider Webpage"/>
    <s v="SC063219"/>
    <s v="Children's home"/>
    <d v="2005-07-22T00:00:00"/>
    <s v="Active"/>
    <s v="REDACTED"/>
    <s v="London"/>
    <s v="London"/>
    <s v="Newham"/>
    <s v="West Ham"/>
    <s v="Private"/>
    <d v="2020-10-15T00:00:00"/>
    <d v="2020-11-19T00:00:00"/>
    <s v="N"/>
  </r>
  <r>
    <s v="Ofsted Social Care Provider Webpage"/>
    <n v="2580890"/>
    <s v="Children's home"/>
    <d v="2020-04-29T00:00:00"/>
    <s v="Active"/>
    <s v="REDACTED"/>
    <s v="South West"/>
    <s v="South West"/>
    <s v="Somerset"/>
    <s v="Bridgwater and West Somerset"/>
    <s v="Private"/>
    <d v="2020-10-15T00:00:00"/>
    <d v="2020-11-19T00:00:00"/>
    <s v="N"/>
  </r>
  <r>
    <s v="Ofsted Social Care Provider Webpage"/>
    <n v="1250186"/>
    <s v="Children's home"/>
    <d v="2017-05-17T00:00:00"/>
    <s v="Active"/>
    <s v="REDACTED"/>
    <s v="West Midlands"/>
    <s v="West Midlands"/>
    <s v="Telford and Wrekin"/>
    <s v="The Wrekin"/>
    <s v="Private"/>
    <d v="2020-10-15T00:00:00"/>
    <d v="2020-11-26T00:00:00"/>
    <s v="N"/>
  </r>
  <r>
    <s v="Ofsted Social Care Provider Webpage"/>
    <s v="SC446261"/>
    <s v="Children's home"/>
    <d v="2012-04-23T00:00:00"/>
    <s v="Active"/>
    <s v="REDACTED"/>
    <s v="West Midlands"/>
    <s v="West Midlands"/>
    <s v="Staffordshire"/>
    <s v="Staffordshire Moorlands"/>
    <s v="Private"/>
    <d v="2020-10-15T00:00:00"/>
    <d v="2020-11-23T00:00:00"/>
    <s v="N"/>
  </r>
  <r>
    <s v="Ofsted Social Care Provider Webpage"/>
    <s v="SC018958"/>
    <s v="Residential Special School"/>
    <d v="2002-02-15T00:00:00"/>
    <s v="Active"/>
    <s v="West Kirby Residential School"/>
    <s v="North West"/>
    <s v="North West"/>
    <s v="Wirral"/>
    <s v="Wirral West"/>
    <s v="Voluntary"/>
    <d v="2020-10-15T00:00:00"/>
    <d v="2020-11-19T00:00:00"/>
    <s v="N"/>
  </r>
  <r>
    <s v="Ofsted Social Care Provider Webpage"/>
    <s v="SC489416"/>
    <s v="Children's home"/>
    <d v="2015-08-12T00:00:00"/>
    <s v="Active"/>
    <s v="REDACTED"/>
    <s v="North West"/>
    <s v="North West"/>
    <s v="Lancashire"/>
    <s v="Hyndburn"/>
    <s v="Private"/>
    <d v="2020-10-15T00:00:00"/>
    <d v="2020-11-20T00:00:00"/>
    <s v="N"/>
  </r>
  <r>
    <s v="Ofsted Social Care Provider Webpage"/>
    <n v="2548794"/>
    <s v="Children's home"/>
    <d v="2020-07-02T00:00:00"/>
    <s v="Active"/>
    <s v="REDACTED"/>
    <s v="London"/>
    <s v="London"/>
    <s v="Barnet"/>
    <s v="Finchley and Golders Green"/>
    <s v="Private"/>
    <d v="2020-12-15T00:00:00"/>
    <d v="2021-01-27T00:00:00"/>
    <s v="Y"/>
  </r>
  <r>
    <s v="Ofsted Social Care Provider Webpage"/>
    <n v="1249196"/>
    <s v="Children's home"/>
    <d v="2017-01-23T00:00:00"/>
    <s v="Active"/>
    <s v="REDACTED"/>
    <s v="South West"/>
    <s v="South West"/>
    <s v="Somerset"/>
    <s v="Bridgwater and West Somerset"/>
    <s v="Private"/>
    <d v="2020-12-15T00:00:00"/>
    <d v="2021-01-25T00:00:00"/>
    <s v="N"/>
  </r>
  <r>
    <s v="Ofsted Social Care Provider Webpage"/>
    <s v="SC069293"/>
    <s v="Children's home"/>
    <d v="2007-02-09T00:00:00"/>
    <s v="Active"/>
    <s v="REDACTED"/>
    <s v="North East, Yorkshire and the Humber"/>
    <s v="Yorkshire and The Humber"/>
    <s v="Calderdale"/>
    <s v="Calder Valley"/>
    <s v="Private"/>
    <d v="2020-12-15T00:00:00"/>
    <d v="2021-01-26T00:00:00"/>
    <s v="N"/>
  </r>
  <r>
    <s v="Ofsted Social Care Provider Webpage"/>
    <n v="1164089"/>
    <s v="Children's home"/>
    <d v="2015-08-16T00:00:00"/>
    <s v="Active"/>
    <s v="REDACTED"/>
    <s v="East of England"/>
    <s v="East of England"/>
    <s v="Hertfordshire"/>
    <s v="St Albans"/>
    <s v="Private"/>
    <d v="2020-12-15T00:00:00"/>
    <d v="2021-01-25T00:00:00"/>
    <s v="N"/>
  </r>
  <r>
    <s v="Ofsted Social Care Provider Webpage"/>
    <s v="SC413985"/>
    <s v="Children's home"/>
    <d v="2010-09-30T00:00:00"/>
    <s v="Active"/>
    <s v="REDACTED"/>
    <s v="North West"/>
    <s v="North West"/>
    <s v="Salford"/>
    <s v="Worsley and Eccles South"/>
    <s v="Voluntary"/>
    <d v="2020-12-15T00:00:00"/>
    <d v="2021-01-28T00:00:00"/>
    <s v="N"/>
  </r>
  <r>
    <s v="Ofsted Social Care Provider Webpage"/>
    <n v="2602980"/>
    <s v="Children's home"/>
    <d v="2020-09-03T00:00:00"/>
    <s v="Active"/>
    <s v="REDACTED"/>
    <s v="East of England"/>
    <s v="East of England"/>
    <s v="Cambridgeshire"/>
    <s v="Cambridge"/>
    <s v="Local Authority"/>
    <d v="2020-12-15T00:00:00"/>
    <d v="2021-01-25T00:00:00"/>
    <s v="N"/>
  </r>
  <r>
    <s v="Ofsted Social Care Provider Webpage"/>
    <s v="SC411825"/>
    <s v="Children's home"/>
    <d v="2010-06-17T00:00:00"/>
    <s v="Active"/>
    <s v="REDACTED"/>
    <s v="North West"/>
    <s v="North West"/>
    <s v="Wigan"/>
    <s v="Leigh"/>
    <s v="Private"/>
    <d v="2020-12-15T00:00:00"/>
    <d v="2021-01-28T00:00:00"/>
    <s v="N"/>
  </r>
  <r>
    <s v="Ofsted Social Care Provider Webpage"/>
    <n v="2555505"/>
    <s v="Children's home"/>
    <d v="2020-04-01T00:00:00"/>
    <s v="Active"/>
    <s v="REDACTED"/>
    <s v="East Midlands"/>
    <s v="East Midlands"/>
    <s v="Lincolnshire"/>
    <s v="Boston and Skegness"/>
    <s v="Private"/>
    <d v="2020-12-15T00:00:00"/>
    <d v="2021-01-25T00:00:00"/>
    <s v="Y"/>
  </r>
  <r>
    <s v="Ofsted Social Care Provider Webpage"/>
    <s v="SC458115"/>
    <s v="Residential special school (registered as a children's home)"/>
    <d v="2013-02-01T00:00:00"/>
    <s v="Active"/>
    <s v="REDACTED"/>
    <s v="North East, Yorkshire and the Humber"/>
    <s v="Yorkshire and The Humber"/>
    <s v="Sheffield"/>
    <s v="Sheffield, Hallam"/>
    <s v="Local Authority"/>
    <d v="2020-12-15T00:00:00"/>
    <d v="2021-01-26T00:00:00"/>
    <s v="N"/>
  </r>
  <r>
    <s v="Ofsted Social Care Provider Webpage"/>
    <s v="SC013553"/>
    <s v="Children's home"/>
    <d v="1998-01-16T00:00:00"/>
    <s v="Active"/>
    <s v="REDACTED"/>
    <s v="South East"/>
    <s v="South East"/>
    <s v="Surrey"/>
    <s v="South West Surrey"/>
    <s v="Private"/>
    <d v="2020-12-15T00:00:00"/>
    <d v="2021-01-27T00:00:00"/>
    <s v="N"/>
  </r>
  <r>
    <s v="Ofsted Social Care Provider Webpage"/>
    <s v="SC457183"/>
    <s v="Children's home"/>
    <d v="2013-02-14T00:00:00"/>
    <s v="Active"/>
    <s v="REDACTED"/>
    <s v="North West"/>
    <s v="North West"/>
    <s v="Halton"/>
    <s v="Halton"/>
    <s v="Private"/>
    <d v="2020-12-15T00:00:00"/>
    <d v="2021-01-29T00:00:00"/>
    <s v="Y"/>
  </r>
  <r>
    <s v="Ofsted Social Care Provider Webpage"/>
    <s v="SC368137"/>
    <s v="Children's home"/>
    <d v="2007-12-10T00:00:00"/>
    <s v="Active"/>
    <s v="REDACTED"/>
    <s v="South West"/>
    <s v="South West"/>
    <s v="Devon"/>
    <s v="Torridge and West Devon"/>
    <s v="Private"/>
    <d v="2020-12-15T00:00:00"/>
    <d v="2021-01-27T00:00:00"/>
    <s v="N"/>
  </r>
  <r>
    <s v="Ofsted Social Care Provider Webpage"/>
    <s v="SC408655"/>
    <s v="Children's home"/>
    <d v="2010-05-20T00:00:00"/>
    <s v="Active"/>
    <s v="REDACTED"/>
    <s v="South East"/>
    <s v="South East"/>
    <s v="Hampshire"/>
    <s v="Basingstoke"/>
    <s v="Private"/>
    <d v="2020-12-15T00:00:00"/>
    <d v="2021-01-28T00:00:00"/>
    <s v="N"/>
  </r>
  <r>
    <s v="Ofsted Social Care Provider Webpage"/>
    <s v="SC008490"/>
    <s v="Children's home"/>
    <d v="2001-05-09T00:00:00"/>
    <s v="Active"/>
    <s v="REDACTED"/>
    <s v="North West"/>
    <s v="North West"/>
    <s v="Stockport"/>
    <s v="Hazel Grove"/>
    <s v="Private"/>
    <d v="2020-12-15T00:00:00"/>
    <d v="2021-01-27T00:00:00"/>
    <s v="N"/>
  </r>
  <r>
    <s v="Ofsted Social Care Provider Webpage"/>
    <s v="SC037596"/>
    <s v="Children's home"/>
    <d v="2002-11-15T00:00:00"/>
    <s v="Active"/>
    <s v="REDACTED"/>
    <s v="South West"/>
    <s v="South West"/>
    <s v="Wiltshire"/>
    <s v="Salisbury"/>
    <s v="Private"/>
    <d v="2020-12-15T00:00:00"/>
    <d v="2021-01-26T00:00:00"/>
    <s v="N"/>
  </r>
  <r>
    <s v="Ofsted Social Care Provider Webpage"/>
    <n v="2483715"/>
    <s v="Children's home"/>
    <d v="2018-07-26T00:00:00"/>
    <s v="Active"/>
    <s v="REDACTED"/>
    <s v="South East"/>
    <s v="South East"/>
    <s v="West Berkshire"/>
    <s v="Newbury"/>
    <s v="Private"/>
    <d v="2020-12-15T00:00:00"/>
    <d v="2021-01-19T00:00:00"/>
    <s v="N"/>
  </r>
  <r>
    <s v="Ofsted Social Care Provider Webpage"/>
    <s v="SC044562"/>
    <s v="Residential special school (registered as a children's home)"/>
    <d v="2003-07-25T00:00:00"/>
    <s v="Active"/>
    <s v="REDACTED"/>
    <s v="East Midlands"/>
    <s v="East Midlands"/>
    <s v="Lincolnshire"/>
    <s v="Gainsborough"/>
    <s v="Private"/>
    <d v="2020-12-15T00:00:00"/>
    <d v="2021-01-25T00:00:00"/>
    <s v="N"/>
  </r>
  <r>
    <s v="Ofsted Social Care Provider Webpage"/>
    <n v="1263120"/>
    <s v="Children's home"/>
    <d v="2017-09-22T00:00:00"/>
    <s v="Active"/>
    <s v="REDACTED"/>
    <s v="North West"/>
    <s v="North West"/>
    <s v="Wirral"/>
    <s v="Birkenhead"/>
    <s v="Private"/>
    <d v="2020-12-15T00:00:00"/>
    <d v="2021-01-26T00:00:00"/>
    <s v="N"/>
  </r>
  <r>
    <s v="Ofsted Social Care Provider Webpage"/>
    <n v="1256795"/>
    <s v="Children's home"/>
    <d v="2017-06-30T00:00:00"/>
    <s v="Active"/>
    <s v="REDACTED"/>
    <s v="North East, Yorkshire and the Humber"/>
    <s v="Yorkshire and The Humber"/>
    <s v="Kirklees"/>
    <s v="Batley and Spen"/>
    <s v="Private"/>
    <d v="2020-12-15T00:00:00"/>
    <d v="2021-01-28T00:00:00"/>
    <s v="Y"/>
  </r>
  <r>
    <s v="Ofsted Social Care Provider Webpage"/>
    <n v="2531620"/>
    <s v="Children's home"/>
    <d v="2019-06-11T00:00:00"/>
    <s v="Active"/>
    <s v="REDACTED"/>
    <s v="East of England"/>
    <s v="East of England"/>
    <s v="Cambridgeshire"/>
    <s v="North West Cambridgeshire"/>
    <s v="Private"/>
    <d v="2020-12-15T00:00:00"/>
    <d v="2021-01-22T00:00:00"/>
    <s v="N"/>
  </r>
  <r>
    <s v="Ofsted Social Care Provider Webpage"/>
    <n v="1273591"/>
    <s v="Independent Fostering Agency"/>
    <d v="2018-03-19T00:00:00"/>
    <s v="Active"/>
    <s v="Birmingham Children's Trust Fostering Agency"/>
    <s v="West Midlands"/>
    <s v="West Midlands"/>
    <s v="Birmingham"/>
    <s v="Birmingham, Ladywood"/>
    <s v="Voluntary"/>
    <d v="2020-12-15T00:00:00"/>
    <d v="2021-02-02T00:00:00"/>
    <s v="N"/>
  </r>
  <r>
    <s v="Ofsted Social Care Provider Webpage"/>
    <s v="SC062573"/>
    <s v="Children's home"/>
    <d v="2005-01-20T00:00:00"/>
    <s v="Active"/>
    <s v="REDACTED"/>
    <s v="North East, Yorkshire and the Humber"/>
    <s v="Yorkshire and The Humber"/>
    <s v="Wakefield"/>
    <s v="Normanton, Pontefract and Castleford"/>
    <s v="Local Authority"/>
    <d v="2020-12-15T00:00:00"/>
    <d v="2021-01-26T00:00:00"/>
    <s v="N"/>
  </r>
  <r>
    <s v="Ofsted Social Care Provider Webpage"/>
    <s v="SC011185"/>
    <s v="Children's home"/>
    <d v="1992-12-29T00:00:00"/>
    <s v="Active"/>
    <s v="REDACTED"/>
    <s v="South East"/>
    <s v="South East"/>
    <s v="West Berkshire"/>
    <s v="Reading West"/>
    <s v="Private"/>
    <d v="2020-12-15T00:00:00"/>
    <d v="2021-01-21T00:00:00"/>
    <s v="N"/>
  </r>
  <r>
    <s v="Ofsted Social Care Provider Webpage"/>
    <s v="SC393940"/>
    <s v="Children's home"/>
    <d v="2009-05-29T00:00:00"/>
    <s v="Active"/>
    <s v="REDACTED"/>
    <s v="East of England"/>
    <s v="East of England"/>
    <s v="Essex"/>
    <s v="Castle Point"/>
    <s v="Private"/>
    <d v="2020-12-15T00:00:00"/>
    <d v="2021-01-25T00:00:00"/>
    <s v="N"/>
  </r>
  <r>
    <s v="Ofsted Social Care Provider Webpage"/>
    <n v="2597738"/>
    <s v="Children's home"/>
    <d v="2020-06-30T00:00:00"/>
    <s v="Active"/>
    <s v="REDACTED"/>
    <s v="North West"/>
    <s v="North West"/>
    <s v="Wigan"/>
    <s v="Leigh"/>
    <s v="Private"/>
    <d v="2020-12-15T00:00:00"/>
    <d v="2021-01-26T00:00:00"/>
    <s v="Y"/>
  </r>
  <r>
    <s v="Ofsted Social Care Provider Webpage"/>
    <n v="1183136"/>
    <s v="Children's home"/>
    <d v="2015-09-09T00:00:00"/>
    <s v="Active"/>
    <s v="REDACTED"/>
    <s v="East Midlands"/>
    <s v="East Midlands"/>
    <s v="Nottingham"/>
    <s v="Nottingham North"/>
    <s v="Voluntary"/>
    <d v="2020-12-15T00:00:00"/>
    <d v="2021-01-27T00:00:00"/>
    <s v="N"/>
  </r>
  <r>
    <s v="Ofsted Social Care Provider Webpage"/>
    <n v="2585139"/>
    <s v="Children's home"/>
    <d v="2020-06-22T00:00:00"/>
    <s v="Active"/>
    <s v="REDACTED"/>
    <s v="North West"/>
    <s v="North West"/>
    <s v="Liverpool"/>
    <s v="Liverpool, Walton"/>
    <s v="Private"/>
    <d v="2020-12-15T00:00:00"/>
    <d v="2021-01-22T00:00:00"/>
    <s v="N"/>
  </r>
  <r>
    <s v="Ofsted Social Care Provider Webpage"/>
    <s v="SC013598"/>
    <s v="Children's home"/>
    <d v="1986-03-26T00:00:00"/>
    <s v="Active"/>
    <s v="REDACTED"/>
    <s v="South East"/>
    <s v="South East"/>
    <s v="Surrey"/>
    <s v="Mole Valley"/>
    <s v="Voluntary"/>
    <d v="2020-12-15T00:00:00"/>
    <d v="2021-02-05T00:00:00"/>
    <s v="N"/>
  </r>
  <r>
    <s v="Ofsted Social Care Provider Webpage"/>
    <n v="2566488"/>
    <s v="Children's home"/>
    <d v="2020-03-18T00:00:00"/>
    <s v="Active"/>
    <s v="REDACTED"/>
    <s v="East of England"/>
    <s v="East of England"/>
    <s v="Norfolk"/>
    <s v="South Norfolk"/>
    <s v="Private"/>
    <d v="2020-12-15T00:00:00"/>
    <d v="2021-01-21T00:00:00"/>
    <s v="N"/>
  </r>
  <r>
    <s v="Ofsted Social Care Provider Webpage"/>
    <n v="1261138"/>
    <s v="Children's home"/>
    <d v="2017-08-29T00:00:00"/>
    <s v="Active"/>
    <s v="REDACTED"/>
    <s v="North West"/>
    <s v="North West"/>
    <s v="Bury"/>
    <s v="Bury North"/>
    <s v="Private"/>
    <d v="2020-12-15T00:00:00"/>
    <d v="2021-01-25T00:00:00"/>
    <s v="N"/>
  </r>
  <r>
    <s v="Ofsted Social Care Provider Webpage"/>
    <n v="1226978"/>
    <s v="Children's home"/>
    <d v="2016-05-26T00:00:00"/>
    <s v="Active"/>
    <s v="REDACTED"/>
    <s v="North East, Yorkshire and the Humber"/>
    <s v="Yorkshire and The Humber"/>
    <s v="North Yorkshire"/>
    <s v="Scarborough and Whitby"/>
    <s v="Private"/>
    <d v="2020-12-15T00:00:00"/>
    <d v="2021-01-26T00:00:00"/>
    <s v="N"/>
  </r>
  <r>
    <s v="Ofsted Social Care Provider Webpage"/>
    <s v="SC442864"/>
    <s v="Children's home"/>
    <d v="2012-03-09T00:00:00"/>
    <s v="Active"/>
    <s v="REDACTED"/>
    <s v="North West"/>
    <s v="North West"/>
    <s v="Rochdale"/>
    <s v="Rochdale"/>
    <s v="Private"/>
    <d v="2020-12-15T00:00:00"/>
    <d v="2021-01-26T00:00:00"/>
    <s v="N"/>
  </r>
  <r>
    <s v="Ofsted Social Care Provider Webpage"/>
    <n v="2575713"/>
    <s v="Children's home"/>
    <d v="2020-04-09T00:00:00"/>
    <s v="Active"/>
    <s v="REDACTED"/>
    <s v="East of England"/>
    <s v="East of England"/>
    <s v="Hertfordshire"/>
    <s v="Hemel Hempstead"/>
    <s v="Private"/>
    <d v="2020-12-15T00:00:00"/>
    <d v="2021-01-12T00:00:00"/>
    <s v="Y"/>
  </r>
  <r>
    <s v="Ofsted Social Care Provider Webpage"/>
    <n v="2508601"/>
    <s v="Children's home"/>
    <d v="2019-04-11T00:00:00"/>
    <s v="Active"/>
    <s v="REDACTED"/>
    <s v="North West"/>
    <s v="North West"/>
    <s v="Lancashire"/>
    <s v="West Lancashire"/>
    <s v="Private"/>
    <d v="2020-09-16T00:00:00"/>
    <d v="2020-11-18T00:00:00"/>
    <s v="N"/>
  </r>
  <r>
    <s v="Ofsted Social Care Provider Webpage"/>
    <s v="SC394478"/>
    <s v="Children's home"/>
    <d v="2009-06-05T00:00:00"/>
    <s v="Active"/>
    <s v="REDACTED"/>
    <s v="North West"/>
    <s v="North West"/>
    <s v="Stockport"/>
    <s v="Stockport"/>
    <s v="Private"/>
    <d v="2020-09-16T00:00:00"/>
    <d v="2020-10-13T00:00:00"/>
    <s v="N"/>
  </r>
  <r>
    <s v="Ofsted Social Care Provider Webpage"/>
    <n v="2483748"/>
    <s v="Residential Family Centre"/>
    <d v="2019-02-08T00:00:00"/>
    <s v="Active"/>
    <s v="Selina Cooper House"/>
    <s v="North West"/>
    <s v="North West"/>
    <s v="St Helens"/>
    <s v="St Helens North"/>
    <s v="Private"/>
    <d v="2020-09-16T00:00:00"/>
    <d v="2020-11-09T00:00:00"/>
    <s v="N"/>
  </r>
  <r>
    <s v="Ofsted Social Care Provider Webpage"/>
    <n v="1258026"/>
    <s v="Children's home"/>
    <d v="2017-09-24T00:00:00"/>
    <s v="Active"/>
    <s v="REDACTED"/>
    <s v="West Midlands"/>
    <s v="West Midlands"/>
    <s v="Birmingham"/>
    <s v="Birmingham, Perry Barr"/>
    <s v="Private"/>
    <d v="2020-09-16T00:00:00"/>
    <d v="2020-10-29T00:00:00"/>
    <s v="Y"/>
  </r>
  <r>
    <s v="Ofsted Social Care Provider Webpage"/>
    <s v="SC474150"/>
    <s v="Children's home"/>
    <d v="2014-02-11T00:00:00"/>
    <s v="Active"/>
    <s v="REDACTED"/>
    <s v="South East"/>
    <s v="South East"/>
    <s v="Buckinghamshire"/>
    <s v="Buckingham"/>
    <s v="Private"/>
    <d v="2020-09-16T00:00:00"/>
    <d v="2020-11-02T00:00:00"/>
    <s v="N"/>
  </r>
  <r>
    <s v="Ofsted Social Care Provider Webpage"/>
    <n v="1240397"/>
    <s v="Children's home"/>
    <d v="2016-08-03T00:00:00"/>
    <s v="Active"/>
    <s v="REDACTED"/>
    <s v="East Midlands"/>
    <s v="East Midlands"/>
    <s v="Lincolnshire"/>
    <s v="South Holland and The Deepings"/>
    <s v="Private"/>
    <d v="2020-09-16T00:00:00"/>
    <d v="2020-10-15T00:00:00"/>
    <s v="N"/>
  </r>
  <r>
    <s v="Ofsted Social Care Provider Webpage"/>
    <n v="2530021"/>
    <s v="Residential special school (registered as a children's home)"/>
    <d v="2019-03-15T00:00:00"/>
    <s v="Active"/>
    <s v="REDACTED"/>
    <s v="South West"/>
    <s v="South West"/>
    <s v="Devon"/>
    <s v="Tiverton and Honiton"/>
    <s v="Local Authority"/>
    <d v="2020-09-16T00:00:00"/>
    <d v="2020-10-19T00:00:00"/>
    <s v="N"/>
  </r>
  <r>
    <s v="Ofsted Social Care Provider Webpage"/>
    <s v="SC471672"/>
    <s v="Children's home"/>
    <d v="2014-05-21T00:00:00"/>
    <s v="Active"/>
    <s v="REDACTED"/>
    <s v="West Midlands"/>
    <s v="West Midlands"/>
    <s v="Birmingham"/>
    <s v="Birmingham, Yardley"/>
    <s v="Private"/>
    <d v="2020-09-16T00:00:00"/>
    <d v="2020-10-13T00:00:00"/>
    <s v="N"/>
  </r>
  <r>
    <s v="Ofsted Social Care Provider Webpage"/>
    <s v="SC040638"/>
    <s v="Children's home"/>
    <d v="2003-11-18T00:00:00"/>
    <s v="Active"/>
    <s v="REDACTED"/>
    <s v="South East"/>
    <s v="South East"/>
    <s v="Surrey"/>
    <s v="East Surrey"/>
    <s v="Local Authority"/>
    <d v="2020-09-16T00:00:00"/>
    <d v="2020-11-02T00:00:00"/>
    <s v="N"/>
  </r>
  <r>
    <s v="Ofsted Social Care Provider Webpage"/>
    <s v="SC457272"/>
    <s v="Children's home"/>
    <d v="2013-02-19T00:00:00"/>
    <s v="Active"/>
    <s v="REDACTED"/>
    <s v="East of England"/>
    <s v="East of England"/>
    <s v="Cambridgeshire"/>
    <s v="North West Cambridgeshire"/>
    <s v="Private"/>
    <d v="2020-09-16T00:00:00"/>
    <d v="2020-10-16T00:00:00"/>
    <s v="N"/>
  </r>
  <r>
    <s v="Ofsted Social Care Provider Webpage"/>
    <s v="SC452009"/>
    <s v="Children's home"/>
    <d v="2012-10-04T00:00:00"/>
    <s v="Active"/>
    <s v="REDACTED"/>
    <s v="South West"/>
    <s v="South West"/>
    <s v="Somerset"/>
    <s v="Wells"/>
    <s v="Private"/>
    <d v="2020-09-16T00:00:00"/>
    <d v="2020-10-21T00:00:00"/>
    <s v="N"/>
  </r>
  <r>
    <s v="Ofsted Social Care Provider Webpage"/>
    <n v="1275569"/>
    <s v="Residential special school (registered as a children's home)"/>
    <d v="2018-06-18T00:00:00"/>
    <s v="Active"/>
    <s v="REDACTED"/>
    <s v="South East"/>
    <s v="South East"/>
    <s v="Oxfordshire"/>
    <s v="Witney"/>
    <s v="Private"/>
    <d v="2020-09-16T00:00:00"/>
    <d v="2020-10-20T00:00:00"/>
    <s v="N"/>
  </r>
  <r>
    <s v="Ofsted Social Care Provider Webpage"/>
    <n v="1183621"/>
    <s v="Children's home"/>
    <d v="2016-01-20T00:00:00"/>
    <s v="Active"/>
    <s v="REDACTED"/>
    <s v="East of England"/>
    <s v="East of England"/>
    <s v="Essex"/>
    <s v="Harlow"/>
    <s v="Private"/>
    <d v="2020-09-16T00:00:00"/>
    <d v="2020-10-19T00:00:00"/>
    <s v="Y"/>
  </r>
  <r>
    <s v="Ofsted Social Care Provider Webpage"/>
    <n v="2588486"/>
    <s v="Children's home"/>
    <d v="2020-05-05T00:00:00"/>
    <s v="Active"/>
    <s v="REDACTED"/>
    <s v="South West"/>
    <s v="South West"/>
    <s v="Bournemouth, Christchurch &amp; Poole"/>
    <s v="Christchurch"/>
    <s v="Private"/>
    <d v="2020-09-16T00:00:00"/>
    <d v="2020-10-22T00:00:00"/>
    <s v="N"/>
  </r>
  <r>
    <s v="Ofsted Social Care Provider Webpage"/>
    <n v="1244287"/>
    <s v="Children's home"/>
    <d v="2016-10-11T00:00:00"/>
    <s v="Active"/>
    <s v="REDACTED"/>
    <s v="North West"/>
    <s v="North West"/>
    <s v="Lancashire"/>
    <s v="Rossendale and Darwen"/>
    <s v="Private"/>
    <d v="2020-09-16T00:00:00"/>
    <d v="2020-10-29T00:00:00"/>
    <s v="N"/>
  </r>
  <r>
    <s v="Ofsted Social Care Provider Webpage"/>
    <s v="SC036243"/>
    <s v="Children's home"/>
    <d v="2004-02-12T00:00:00"/>
    <s v="Active"/>
    <s v="REDACTED"/>
    <s v="East Midlands"/>
    <s v="East Midlands"/>
    <s v="Derby"/>
    <s v="Derby South"/>
    <s v="Local Authority"/>
    <d v="2020-09-16T00:00:00"/>
    <d v="2020-10-19T00:00:00"/>
    <s v="N"/>
  </r>
  <r>
    <s v="Ofsted Social Care Provider Webpage"/>
    <s v="SC372661"/>
    <s v="Children's home"/>
    <d v="2008-07-29T00:00:00"/>
    <s v="Active"/>
    <s v="REDACTED"/>
    <s v="West Midlands"/>
    <s v="West Midlands"/>
    <s v="Shropshire"/>
    <s v="North Shropshire"/>
    <s v="Private"/>
    <d v="2020-09-16T00:00:00"/>
    <d v="2020-10-22T00:00:00"/>
    <s v="N"/>
  </r>
  <r>
    <s v="Ofsted Social Care Provider Webpage"/>
    <s v="SC372611"/>
    <s v="Children's home"/>
    <d v="2008-07-02T00:00:00"/>
    <s v="Active"/>
    <s v="REDACTED"/>
    <s v="West Midlands"/>
    <s v="West Midlands"/>
    <s v="Shropshire"/>
    <s v="Shrewsbury and Atcham"/>
    <s v="Private"/>
    <d v="2020-09-16T00:00:00"/>
    <d v="2020-10-19T00:00:00"/>
    <s v="N"/>
  </r>
  <r>
    <s v="Ofsted Social Care Provider Webpage"/>
    <s v="SC470224"/>
    <s v="Children's home"/>
    <d v="2013-11-11T00:00:00"/>
    <s v="Active"/>
    <s v="REDACTED"/>
    <s v="North West"/>
    <s v="North West"/>
    <s v="Lancashire"/>
    <s v="Rossendale and Darwen"/>
    <s v="Private"/>
    <d v="2020-09-16T00:00:00"/>
    <d v="2020-11-09T00:00:00"/>
    <s v="N"/>
  </r>
  <r>
    <s v="Ofsted Social Care Provider Webpage"/>
    <s v="SC039689"/>
    <s v="Children's home"/>
    <d v="2003-11-14T00:00:00"/>
    <s v="Active"/>
    <s v="REDACTED"/>
    <s v="North West"/>
    <s v="North West"/>
    <s v="Lancashire"/>
    <s v="Burnley"/>
    <s v="Local Authority"/>
    <d v="2020-09-16T00:00:00"/>
    <d v="2020-10-21T00:00:00"/>
    <s v="N"/>
  </r>
  <r>
    <s v="Ofsted Social Care Provider Webpage"/>
    <s v="SC063116"/>
    <s v="Children's home"/>
    <d v="2004-12-01T00:00:00"/>
    <s v="Active"/>
    <s v="REDACTED"/>
    <s v="South East"/>
    <s v="South East"/>
    <s v="Kent"/>
    <s v="South Thanet"/>
    <s v="Private"/>
    <d v="2020-09-16T00:00:00"/>
    <d v="2020-11-02T00:00:00"/>
    <s v="N"/>
  </r>
  <r>
    <s v="Ofsted Social Care Provider Webpage"/>
    <n v="2534179"/>
    <s v="Children's home"/>
    <d v="2019-06-20T00:00:00"/>
    <s v="Active"/>
    <s v="REDACTED"/>
    <s v="North West"/>
    <s v="North West"/>
    <s v="Lancashire"/>
    <s v="Chorley"/>
    <s v="Private"/>
    <d v="2020-09-16T00:00:00"/>
    <d v="2020-10-22T00:00:00"/>
    <s v="N"/>
  </r>
  <r>
    <s v="Ofsted Social Care Provider Webpage"/>
    <s v="SC481305"/>
    <s v="Children's home"/>
    <d v="2015-02-16T00:00:00"/>
    <s v="Active"/>
    <s v="REDACTED"/>
    <s v="North East, Yorkshire and the Humber"/>
    <s v="Yorkshire and The Humber"/>
    <s v="North Yorkshire"/>
    <s v="Richmond (Yorks)"/>
    <s v="Private"/>
    <d v="2020-09-16T00:00:00"/>
    <d v="2020-11-06T00:00:00"/>
    <s v="N"/>
  </r>
  <r>
    <s v="Ofsted Social Care Provider Webpage"/>
    <s v="SC369825"/>
    <s v="Children's home"/>
    <d v="2008-04-01T00:00:00"/>
    <s v="Active"/>
    <s v="REDACTED"/>
    <s v="West Midlands"/>
    <s v="West Midlands"/>
    <s v="Stoke-on-Trent"/>
    <s v="Stoke-on-Trent South"/>
    <s v="Local Authority"/>
    <d v="2020-09-16T00:00:00"/>
    <d v="2020-10-26T00:00:00"/>
    <s v="Y"/>
  </r>
  <r>
    <s v="Ofsted Social Care Provider Webpage"/>
    <s v="SC040719"/>
    <s v="Children's home"/>
    <d v="2003-07-18T00:00:00"/>
    <s v="Active"/>
    <s v="REDACTED"/>
    <s v="North West"/>
    <s v="North West"/>
    <s v="Bolton"/>
    <s v="Bolton North East"/>
    <s v="Local Authority"/>
    <d v="2020-10-16T00:00:00"/>
    <d v="2020-11-17T00:00:00"/>
    <s v="N"/>
  </r>
  <r>
    <s v="Ofsted Social Care Provider Webpage"/>
    <s v="SC035409"/>
    <s v="Secure children's home"/>
    <d v="2003-04-22T00:00:00"/>
    <s v="Active"/>
    <s v="REDACTED"/>
    <s v="North East, Yorkshire and the Humber"/>
    <s v="North East"/>
    <s v="Northumberland"/>
    <s v="Hexham"/>
    <s v="Local Authority"/>
    <d v="2020-11-16T00:00:00"/>
    <d v="2020-12-29T00:00:00"/>
    <s v="Y"/>
  </r>
  <r>
    <s v="Ofsted Social Care Provider Webpage"/>
    <s v="SC023740"/>
    <s v="Children's home"/>
    <d v="2001-07-17T00:00:00"/>
    <s v="Active"/>
    <s v="REDACTED"/>
    <s v="South East"/>
    <s v="South East"/>
    <s v="Kent"/>
    <s v="North Thanet"/>
    <s v="Private"/>
    <d v="2020-12-16T00:00:00"/>
    <d v="2021-02-01T00:00:00"/>
    <s v="N"/>
  </r>
  <r>
    <s v="Ofsted Social Care Provider Webpage"/>
    <s v="SC474728"/>
    <s v="Residential Family Centre"/>
    <d v="2014-06-11T00:00:00"/>
    <s v="Active"/>
    <s v="Chariteens Residential Family Centre"/>
    <s v="London"/>
    <s v="London"/>
    <s v="Newham"/>
    <s v="West Ham"/>
    <s v="Private"/>
    <d v="2020-12-16T00:00:00"/>
    <d v="2021-01-26T00:00:00"/>
    <s v="N"/>
  </r>
  <r>
    <s v="Ofsted Social Care Provider Webpage"/>
    <s v="SC034804"/>
    <s v="Independent Fostering Agency"/>
    <d v="2004-06-02T00:00:00"/>
    <s v="Active"/>
    <s v="The Children's Family Trust"/>
    <s v="West Midlands"/>
    <s v="West Midlands"/>
    <s v="Worcestershire"/>
    <s v="Bromsgrove"/>
    <s v="Voluntary"/>
    <d v="2020-12-16T00:00:00"/>
    <d v="2021-01-26T00:00:00"/>
    <s v="N"/>
  </r>
  <r>
    <s v="Ofsted Social Care Provider Webpage"/>
    <n v="1280530"/>
    <s v="Independent Fostering Agency"/>
    <d v="2018-12-21T00:00:00"/>
    <s v="Active"/>
    <s v="Elite Fostering Limited"/>
    <s v="West Midlands"/>
    <s v="West Midlands"/>
    <s v="Sandwell"/>
    <s v="Warley"/>
    <s v="Private"/>
    <d v="2020-12-16T00:00:00"/>
    <d v="2021-01-22T00:00:00"/>
    <s v="N"/>
  </r>
  <r>
    <s v="Ofsted Social Care Provider Webpage"/>
    <n v="1159272"/>
    <s v="Children's home"/>
    <d v="2015-10-07T00:00:00"/>
    <s v="Active"/>
    <s v="REDACTED"/>
    <s v="North East, Yorkshire and the Humber"/>
    <s v="Yorkshire and The Humber"/>
    <s v="North Yorkshire"/>
    <s v="Selby and Ainsty"/>
    <s v="Private"/>
    <d v="2020-12-16T00:00:00"/>
    <d v="2021-02-03T00:00:00"/>
    <s v="N"/>
  </r>
  <r>
    <s v="Ofsted Social Care Provider Webpage"/>
    <n v="2543640"/>
    <s v="Children's home"/>
    <d v="2019-10-28T00:00:00"/>
    <s v="Active"/>
    <s v="REDACTED"/>
    <s v="North West"/>
    <s v="North West"/>
    <s v="Lancashire"/>
    <s v="Burnley"/>
    <s v="Private"/>
    <d v="2020-12-16T00:00:00"/>
    <d v="2021-01-21T00:00:00"/>
    <s v="N"/>
  </r>
  <r>
    <s v="Ofsted Social Care Provider Webpage"/>
    <s v="SC028868"/>
    <s v="Children's home"/>
    <d v="2002-05-09T00:00:00"/>
    <s v="Active"/>
    <s v="REDACTED"/>
    <s v="South West"/>
    <s v="South West"/>
    <s v="Gloucestershire"/>
    <s v="Forest of Dean"/>
    <s v="Private"/>
    <d v="2020-12-16T00:00:00"/>
    <d v="2021-01-25T00:00:00"/>
    <s v="N"/>
  </r>
  <r>
    <s v="Ofsted Social Care Provider Webpage"/>
    <n v="2593651"/>
    <s v="Children's home"/>
    <d v="2020-07-27T00:00:00"/>
    <s v="Active"/>
    <s v="REDACTED"/>
    <s v="North East, Yorkshire and the Humber"/>
    <s v="Yorkshire and The Humber"/>
    <s v="Rotherham"/>
    <s v="Wentworth and Dearne"/>
    <s v="Private"/>
    <d v="2020-12-16T00:00:00"/>
    <d v="2021-01-27T00:00:00"/>
    <s v="N"/>
  </r>
  <r>
    <s v="Ofsted Social Care Provider Webpage"/>
    <n v="1233899"/>
    <s v="Children's home"/>
    <d v="2016-10-11T00:00:00"/>
    <s v="Active"/>
    <s v="REDACTED"/>
    <s v="North West"/>
    <s v="North West"/>
    <s v="Cumbria"/>
    <s v="Carlisle"/>
    <s v="Private"/>
    <d v="2020-12-16T00:00:00"/>
    <d v="2021-01-29T00:00:00"/>
    <s v="N"/>
  </r>
  <r>
    <s v="Ofsted Social Care Provider Webpage"/>
    <n v="2549696"/>
    <s v="Independent Fostering Agency"/>
    <d v="2019-10-01T00:00:00"/>
    <s v="Active"/>
    <s v="Worcestershire Children First Fostering"/>
    <s v="West Midlands"/>
    <s v="West Midlands"/>
    <s v="Worcestershire"/>
    <s v="Worcester"/>
    <s v="Private"/>
    <d v="2020-12-16T00:00:00"/>
    <d v="2021-01-27T00:00:00"/>
    <s v="N"/>
  </r>
  <r>
    <s v="Ofsted Social Care Provider Webpage"/>
    <n v="2529331"/>
    <s v="Children's home"/>
    <d v="2020-05-01T00:00:00"/>
    <s v="Active"/>
    <s v="REDACTED"/>
    <s v="South East"/>
    <s v="South East"/>
    <s v="Hampshire"/>
    <s v="Eastleigh"/>
    <s v="Private"/>
    <d v="2020-12-16T00:00:00"/>
    <d v="2021-01-27T00:00:00"/>
    <s v="N"/>
  </r>
  <r>
    <s v="Ofsted Social Care Provider Webpage"/>
    <n v="2547967"/>
    <s v="Children's home"/>
    <d v="2019-10-04T00:00:00"/>
    <s v="Active"/>
    <s v="REDACTED"/>
    <s v="South West"/>
    <s v="South West"/>
    <s v="Somerset"/>
    <s v="Bridgwater and West Somerset"/>
    <s v="Private"/>
    <d v="2020-12-16T00:00:00"/>
    <d v="2021-01-26T00:00:00"/>
    <s v="N"/>
  </r>
  <r>
    <s v="Ofsted Social Care Provider Webpage"/>
    <s v="SC465257"/>
    <s v="Children's home"/>
    <d v="2013-07-29T00:00:00"/>
    <s v="Active"/>
    <s v="REDACTED"/>
    <s v="East Midlands"/>
    <s v="East Midlands"/>
    <s v="Northamptonshire"/>
    <s v="Northampton North"/>
    <s v="Health Authority"/>
    <d v="2020-12-16T00:00:00"/>
    <d v="2021-01-27T00:00:00"/>
    <s v="N"/>
  </r>
  <r>
    <s v="Ofsted Social Care Provider Webpage"/>
    <n v="1264537"/>
    <s v="Children's home"/>
    <d v="2017-11-29T00:00:00"/>
    <s v="Active"/>
    <s v="REDACTED"/>
    <s v="North West"/>
    <s v="North West"/>
    <s v="Wigan"/>
    <s v="Wigan"/>
    <s v="Private"/>
    <d v="2020-12-16T00:00:00"/>
    <d v="2021-02-03T00:00:00"/>
    <s v="N"/>
  </r>
  <r>
    <s v="Ofsted Social Care Provider Webpage"/>
    <s v="SC417504"/>
    <s v="Independent Fostering Agency"/>
    <d v="2011-01-17T00:00:00"/>
    <s v="Active"/>
    <s v="Red Kite Fostering"/>
    <s v="West Midlands"/>
    <s v="West Midlands"/>
    <s v="Herefordshire"/>
    <s v="North Herefordshire"/>
    <s v="Private"/>
    <d v="2020-12-16T00:00:00"/>
    <d v="2021-01-26T00:00:00"/>
    <s v="N"/>
  </r>
  <r>
    <s v="Ofsted Social Care Provider Webpage"/>
    <n v="2561726"/>
    <s v="Children's home"/>
    <d v="2020-02-11T00:00:00"/>
    <s v="Active"/>
    <s v="REDACTED"/>
    <s v="North East, Yorkshire and the Humber"/>
    <s v="Yorkshire and The Humber"/>
    <s v="East Riding of Yorkshire"/>
    <s v="East Yorkshire"/>
    <s v="Private"/>
    <d v="2020-12-16T00:00:00"/>
    <d v="2021-01-27T00:00:00"/>
    <s v="N"/>
  </r>
  <r>
    <s v="Ofsted Social Care Provider Webpage"/>
    <n v="1244283"/>
    <s v="Children's home"/>
    <d v="2017-01-09T00:00:00"/>
    <s v="Active"/>
    <s v="REDACTED"/>
    <s v="North West"/>
    <s v="North West"/>
    <s v="Lancashire"/>
    <s v="Chorley"/>
    <s v="Private"/>
    <d v="2020-12-16T00:00:00"/>
    <d v="2021-01-26T00:00:00"/>
    <s v="N"/>
  </r>
  <r>
    <s v="Ofsted Social Care Provider Webpage"/>
    <n v="2583468"/>
    <s v="Children's home"/>
    <d v="2020-04-09T00:00:00"/>
    <s v="Active"/>
    <s v="REDACTED"/>
    <s v="East Midlands"/>
    <s v="East Midlands"/>
    <s v="Leicestershire"/>
    <s v="Loughborough"/>
    <s v="Private"/>
    <d v="2020-12-16T00:00:00"/>
    <d v="2021-01-20T00:00:00"/>
    <s v="N"/>
  </r>
  <r>
    <s v="Ofsted Social Care Provider Webpage"/>
    <s v="SC456910"/>
    <s v="Children's home"/>
    <d v="2013-02-25T00:00:00"/>
    <s v="Active"/>
    <s v="REDACTED"/>
    <s v="South West"/>
    <s v="South West"/>
    <s v="Torbay"/>
    <s v="Torbay"/>
    <s v="Private"/>
    <d v="2020-09-17T00:00:00"/>
    <d v="2020-10-19T00:00:00"/>
    <s v="N"/>
  </r>
  <r>
    <s v="Ofsted Social Care Provider Webpage"/>
    <n v="2503598"/>
    <s v="Children's home"/>
    <d v="2019-03-20T00:00:00"/>
    <s v="Active"/>
    <s v="REDACTED"/>
    <s v="West Midlands"/>
    <s v="West Midlands"/>
    <s v="Birmingham"/>
    <s v="Birmingham, Perry Barr"/>
    <s v="Private"/>
    <d v="2020-09-17T00:00:00"/>
    <d v="2020-10-21T00:00:00"/>
    <s v="N"/>
  </r>
  <r>
    <s v="Ofsted Social Care Provider Webpage"/>
    <s v="SC371723"/>
    <s v="Children's home"/>
    <d v="2008-04-23T00:00:00"/>
    <s v="Active"/>
    <s v="REDACTED"/>
    <s v="West Midlands"/>
    <s v="West Midlands"/>
    <s v="Staffordshire"/>
    <s v="Stone"/>
    <s v="Private"/>
    <d v="2020-09-17T00:00:00"/>
    <d v="2020-10-14T00:00:00"/>
    <s v="N"/>
  </r>
  <r>
    <s v="Ofsted Social Care Provider Webpage"/>
    <s v="SC424851"/>
    <s v="Children's home"/>
    <d v="2011-04-04T00:00:00"/>
    <s v="Active"/>
    <s v="REDACTED"/>
    <s v="West Midlands"/>
    <s v="West Midlands"/>
    <s v="Birmingham"/>
    <s v="Birmingham, Ladywood"/>
    <s v="Private"/>
    <d v="2020-09-17T00:00:00"/>
    <d v="2020-11-16T00:00:00"/>
    <s v="N"/>
  </r>
  <r>
    <s v="Ofsted Social Care Provider Webpage"/>
    <n v="1183495"/>
    <s v="Independent Fostering Agency"/>
    <d v="2015-09-30T00:00:00"/>
    <s v="Active"/>
    <s v="Slough Children's Services Trust "/>
    <s v="South East"/>
    <s v="South East"/>
    <s v="Slough"/>
    <s v="Slough"/>
    <s v="Voluntary"/>
    <d v="2020-11-17T00:00:00"/>
    <d v="2020-12-22T00:00:00"/>
    <s v="N"/>
  </r>
  <r>
    <s v="Ofsted Social Care Provider Webpage"/>
    <s v="SC043552"/>
    <s v="Independent Fostering Agency"/>
    <d v="2004-01-20T00:00:00"/>
    <s v="Active"/>
    <s v="Barnardo's Fostering South East"/>
    <s v="London"/>
    <s v="London"/>
    <s v="Redbridge"/>
    <s v="Ilford North"/>
    <s v="Voluntary"/>
    <d v="2020-11-17T00:00:00"/>
    <d v="2020-12-29T00:00:00"/>
    <s v="N"/>
  </r>
  <r>
    <s v="Ofsted Social Care Provider Webpage"/>
    <n v="2553271"/>
    <s v="Independent Fostering Agency"/>
    <d v="2020-01-17T00:00:00"/>
    <s v="Active"/>
    <s v="Ivy House Fostering Agency"/>
    <s v="East Midlands"/>
    <s v="East Midlands"/>
    <s v="Nottinghamshire"/>
    <s v="Bassetlaw"/>
    <s v="Private"/>
    <d v="2020-11-17T00:00:00"/>
    <d v="2020-12-11T00:00:00"/>
    <s v="N"/>
  </r>
  <r>
    <s v="Ofsted Social Care Provider Webpage"/>
    <n v="1235576"/>
    <s v="Children's home"/>
    <d v="2016-06-16T00:00:00"/>
    <s v="Active"/>
    <s v="REDACTED"/>
    <s v="South West"/>
    <s v="South West"/>
    <s v="Plymouth"/>
    <s v="Plymouth, Sutton and Devonport"/>
    <s v="Private"/>
    <d v="2020-12-17T00:00:00"/>
    <d v="2021-01-27T00:00:00"/>
    <s v="N"/>
  </r>
  <r>
    <s v="Ofsted Social Care Provider Webpage"/>
    <s v="SC480075"/>
    <s v="Children's home"/>
    <d v="2014-12-17T00:00:00"/>
    <s v="Active"/>
    <s v="REDACTED"/>
    <s v="North West"/>
    <s v="North West"/>
    <s v="Wirral"/>
    <s v="Birkenhead"/>
    <s v="Private"/>
    <d v="2020-12-17T00:00:00"/>
    <d v="2021-01-25T00:00:00"/>
    <s v="N"/>
  </r>
  <r>
    <s v="Ofsted Social Care Provider Webpage"/>
    <s v="SC035137"/>
    <s v="Children's home"/>
    <d v="2003-09-04T00:00:00"/>
    <s v="Active"/>
    <s v="REDACTED"/>
    <s v="North East, Yorkshire and the Humber"/>
    <s v="North East"/>
    <s v="Durham"/>
    <s v="Bishop Auckland"/>
    <s v="Local Authority"/>
    <d v="2020-12-17T00:00:00"/>
    <d v="2021-02-02T00:00:00"/>
    <s v="N"/>
  </r>
  <r>
    <s v="Ofsted Social Care Provider Webpage"/>
    <s v="SC456863"/>
    <s v="Children's home"/>
    <d v="2013-03-14T00:00:00"/>
    <s v="Active"/>
    <s v="REDACTED"/>
    <s v="South West"/>
    <s v="South West"/>
    <s v="Torbay"/>
    <s v="Torbay"/>
    <s v="Private"/>
    <d v="2020-12-17T00:00:00"/>
    <d v="2021-01-28T00:00:00"/>
    <s v="N"/>
  </r>
  <r>
    <s v="Ofsted Social Care Provider Webpage"/>
    <n v="2599388"/>
    <s v="Children's home"/>
    <d v="2020-07-21T00:00:00"/>
    <s v="Active"/>
    <s v="REDACTED"/>
    <s v="South West"/>
    <s v="South West"/>
    <s v="Devon"/>
    <s v="Tiverton and Honiton"/>
    <s v="Private"/>
    <d v="2020-12-17T00:00:00"/>
    <d v="2021-02-01T00:00:00"/>
    <s v="N"/>
  </r>
  <r>
    <s v="Ofsted Social Care Provider Webpage"/>
    <n v="1263766"/>
    <s v="Children's home"/>
    <d v="2017-10-23T00:00:00"/>
    <s v="Active"/>
    <s v="REDACTED"/>
    <s v="North West"/>
    <s v="North West"/>
    <s v="Tameside"/>
    <s v="Denton and Reddish"/>
    <s v="Local Authority"/>
    <d v="2020-12-17T00:00:00"/>
    <d v="2021-01-27T00:00:00"/>
    <s v="N"/>
  </r>
  <r>
    <s v="Ofsted Social Care Provider Webpage"/>
    <n v="2587132"/>
    <s v="Children's home"/>
    <d v="2020-07-06T00:00:00"/>
    <s v="Active"/>
    <s v="REDACTED"/>
    <s v="North East, Yorkshire and the Humber"/>
    <s v="North East"/>
    <s v="Newcastle upon Tyne"/>
    <s v="Newcastle upon Tyne East"/>
    <s v="Private"/>
    <d v="2020-12-17T00:00:00"/>
    <d v="2021-02-02T00:00:00"/>
    <s v="N"/>
  </r>
  <r>
    <s v="Ofsted Social Care Provider Webpage"/>
    <s v="SC362965"/>
    <s v="Children's home"/>
    <d v="2007-11-28T00:00:00"/>
    <s v="Active"/>
    <s v="REDACTED"/>
    <s v="South West"/>
    <s v="South West"/>
    <s v="Dorset"/>
    <s v="South Dorset"/>
    <s v="Private"/>
    <d v="2020-12-17T00:00:00"/>
    <d v="2021-01-22T00:00:00"/>
    <s v="N"/>
  </r>
  <r>
    <s v="Ofsted Social Care Provider Webpage"/>
    <n v="2602142"/>
    <s v="Children's home"/>
    <d v="2020-08-26T00:00:00"/>
    <s v="Active"/>
    <s v="REDACTED"/>
    <s v="North East, Yorkshire and the Humber"/>
    <s v="North East"/>
    <s v="North Tyneside"/>
    <s v="North Tyneside"/>
    <s v="Local Authority"/>
    <d v="2020-12-17T00:00:00"/>
    <d v="2021-01-28T00:00:00"/>
    <s v="N"/>
  </r>
  <r>
    <s v="Ofsted Social Care Provider Webpage"/>
    <n v="2533109"/>
    <s v="Independent Fostering Agency"/>
    <d v="2019-09-01T00:00:00"/>
    <s v="Active"/>
    <s v="National Fostering Agency North"/>
    <s v="North East, Yorkshire and the Humber"/>
    <s v="Yorkshire and The Humber"/>
    <s v="Calderdale"/>
    <s v="Calder Valley"/>
    <s v="Private"/>
    <d v="2020-12-17T00:00:00"/>
    <d v="2021-01-27T00:00:00"/>
    <s v="N"/>
  </r>
  <r>
    <s v="Ofsted Social Care Provider Webpage"/>
    <s v="SC472125"/>
    <s v="Independent Fostering Agency"/>
    <d v="2014-01-30T00:00:00"/>
    <s v="Active"/>
    <s v="Ideal Fostering"/>
    <s v="West Midlands"/>
    <s v="West Midlands"/>
    <s v="Walsall"/>
    <s v="Walsall South"/>
    <s v="Private"/>
    <d v="2020-11-18T00:00:00"/>
    <d v="2020-12-29T00:00:00"/>
    <s v="N"/>
  </r>
  <r>
    <s v="Ofsted Social Care Provider Webpage"/>
    <s v="SC451751"/>
    <s v="Independent Fostering Agency"/>
    <d v="2012-10-17T00:00:00"/>
    <s v="Active"/>
    <s v="Apple Fostering Services"/>
    <s v="London"/>
    <s v="London"/>
    <s v="Brent"/>
    <s v="Brent Central"/>
    <s v="Private"/>
    <d v="2020-11-18T00:00:00"/>
    <d v="2021-01-04T00:00:00"/>
    <s v="N"/>
  </r>
  <r>
    <s v="Ofsted Social Care Provider Webpage"/>
    <s v="SC405567"/>
    <s v="Independent Fostering Agency"/>
    <d v="2010-04-07T00:00:00"/>
    <s v="Active"/>
    <s v="Compass Fostering North Limited"/>
    <s v="North East, Yorkshire and the Humber"/>
    <s v="Yorkshire and The Humber"/>
    <s v="Bradford"/>
    <s v="Bradford East"/>
    <s v="Private"/>
    <d v="2020-11-18T00:00:00"/>
    <d v="2021-01-04T00:00:00"/>
    <s v="N"/>
  </r>
  <r>
    <s v="Ofsted Social Care Provider Webpage"/>
    <s v="SC461865"/>
    <s v="Children's home"/>
    <d v="2013-11-08T00:00:00"/>
    <s v="Active"/>
    <s v="REDACTED"/>
    <s v="London"/>
    <s v="London"/>
    <s v="Redbridge"/>
    <s v="Ilford South"/>
    <s v="Private"/>
    <d v="2020-10-19T00:00:00"/>
    <d v="2020-11-18T00:00:00"/>
    <s v="N"/>
  </r>
  <r>
    <s v="Ofsted Social Care Provider Webpage"/>
    <s v="SC435152"/>
    <s v="Children's home"/>
    <d v="2012-11-21T00:00:00"/>
    <s v="Active"/>
    <s v="REDACTED"/>
    <s v="South East"/>
    <s v="South East"/>
    <s v="Kent"/>
    <s v="Sevenoaks"/>
    <s v="Voluntary"/>
    <d v="2020-10-19T00:00:00"/>
    <d v="2020-12-18T00:00:00"/>
    <s v="N"/>
  </r>
  <r>
    <s v="Ofsted Social Care Provider Webpage"/>
    <s v="SC037454"/>
    <s v="Children's home"/>
    <d v="2003-02-21T00:00:00"/>
    <s v="Active"/>
    <s v="REDACTED"/>
    <s v="South East"/>
    <s v="South East"/>
    <s v="West Sussex"/>
    <s v="Crawley"/>
    <s v="Local Authority"/>
    <d v="2020-10-19T00:00:00"/>
    <d v="2020-12-03T00:00:00"/>
    <s v="N"/>
  </r>
  <r>
    <s v="Ofsted Social Care Provider Webpage"/>
    <s v="SC066129"/>
    <s v="Children's home"/>
    <d v="2006-05-19T00:00:00"/>
    <s v="Active"/>
    <s v="REDACTED"/>
    <s v="South East"/>
    <s v="South East"/>
    <s v="Kent"/>
    <s v="South Thanet"/>
    <s v="Private"/>
    <d v="2020-10-19T00:00:00"/>
    <d v="2020-11-19T00:00:00"/>
    <s v="N"/>
  </r>
  <r>
    <s v="Ofsted Social Care Provider Webpage"/>
    <s v="SC063813"/>
    <s v="Children's home"/>
    <d v="2005-06-13T00:00:00"/>
    <s v="Active"/>
    <s v="REDACTED"/>
    <s v="West Midlands"/>
    <s v="West Midlands"/>
    <s v="Staffordshire"/>
    <s v="Lichfield"/>
    <s v="Private"/>
    <d v="2020-10-19T00:00:00"/>
    <d v="2020-11-13T00:00:00"/>
    <s v="N"/>
  </r>
  <r>
    <s v="Ofsted Social Care Provider Webpage"/>
    <n v="2502918"/>
    <s v="Children's home"/>
    <d v="2019-01-21T00:00:00"/>
    <s v="Active"/>
    <s v="REDACTED"/>
    <s v="East Midlands"/>
    <s v="East Midlands"/>
    <s v="Northamptonshire"/>
    <s v="Corby"/>
    <s v="Private"/>
    <d v="2020-10-19T00:00:00"/>
    <d v="2020-11-16T00:00:00"/>
    <s v="N"/>
  </r>
  <r>
    <s v="Ofsted Social Care Provider Webpage"/>
    <n v="2567658"/>
    <s v="Children's home"/>
    <d v="2020-06-10T00:00:00"/>
    <s v="Active"/>
    <s v="REDACTED"/>
    <s v="West Midlands"/>
    <s v="West Midlands"/>
    <s v="Birmingham"/>
    <s v="Birmingham, Yardley"/>
    <s v="Private"/>
    <d v="2020-10-19T00:00:00"/>
    <d v="2020-11-20T00:00:00"/>
    <s v="N"/>
  </r>
  <r>
    <s v="Ofsted Social Care Provider Webpage"/>
    <s v="SC478852"/>
    <s v="Children's home"/>
    <d v="2014-06-25T00:00:00"/>
    <s v="Active"/>
    <s v="REDACTED"/>
    <s v="West Midlands"/>
    <s v="West Midlands"/>
    <s v="Staffordshire"/>
    <s v="Stafford"/>
    <s v="Private"/>
    <d v="2020-10-19T00:00:00"/>
    <d v="2020-11-16T00:00:00"/>
    <s v="N"/>
  </r>
  <r>
    <s v="Ofsted Social Care Provider Webpage"/>
    <s v="SC005067"/>
    <s v="Children's home"/>
    <d v="1998-01-05T00:00:00"/>
    <s v="Active"/>
    <s v="REDACTED"/>
    <s v="West Midlands"/>
    <s v="West Midlands"/>
    <s v="Staffordshire"/>
    <s v="Staffordshire Moorlands"/>
    <s v="Private"/>
    <d v="2020-10-19T00:00:00"/>
    <d v="2020-11-13T00:00:00"/>
    <s v="N"/>
  </r>
  <r>
    <s v="Ofsted Social Care Provider Webpage"/>
    <s v="SC396721"/>
    <s v="Children's home"/>
    <d v="2009-06-25T00:00:00"/>
    <s v="Active"/>
    <s v="REDACTED"/>
    <s v="West Midlands"/>
    <s v="West Midlands"/>
    <s v="Shropshire"/>
    <s v="Shrewsbury and Atcham"/>
    <s v="Private"/>
    <d v="2020-10-19T00:00:00"/>
    <d v="2020-11-17T00:00:00"/>
    <s v="N"/>
  </r>
  <r>
    <s v="Ofsted Social Care Provider Webpage"/>
    <n v="2501397"/>
    <s v="Children's home"/>
    <d v="2018-12-03T00:00:00"/>
    <s v="Active"/>
    <s v="REDACTED"/>
    <s v="East Midlands"/>
    <s v="East Midlands"/>
    <s v="Nottinghamshire"/>
    <s v="Ashfield"/>
    <s v="Private"/>
    <d v="2020-10-19T00:00:00"/>
    <d v="2020-11-30T00:00:00"/>
    <s v="N"/>
  </r>
  <r>
    <s v="Ofsted Social Care Provider Webpage"/>
    <n v="1236278"/>
    <s v="Children's home"/>
    <d v="2016-06-06T00:00:00"/>
    <s v="Active"/>
    <s v="REDACTED"/>
    <s v="South West"/>
    <s v="South West"/>
    <s v="Cornwall"/>
    <s v="South East Cornwall"/>
    <s v="Private"/>
    <d v="2020-10-19T00:00:00"/>
    <d v="2020-11-17T00:00:00"/>
    <s v="N"/>
  </r>
  <r>
    <s v="Ofsted Social Care Provider Webpage"/>
    <n v="1270767"/>
    <s v="Children's home"/>
    <d v="2018-02-16T00:00:00"/>
    <s v="Active"/>
    <s v="REDACTED"/>
    <s v="East Midlands"/>
    <s v="East Midlands"/>
    <s v="Nottinghamshire"/>
    <s v="Newark"/>
    <s v="Private"/>
    <d v="2020-10-19T00:00:00"/>
    <d v="2020-11-26T00:00:00"/>
    <s v="N"/>
  </r>
  <r>
    <s v="Ofsted Social Care Provider Webpage"/>
    <s v="SC031490"/>
    <s v="Secure children's home"/>
    <d v="2003-08-11T00:00:00"/>
    <s v="Active"/>
    <s v="REDACTED"/>
    <s v="South East"/>
    <s v="South East"/>
    <s v="East Sussex"/>
    <s v="Wealden"/>
    <s v="Local Authority"/>
    <d v="2020-10-19T00:00:00"/>
    <d v="2020-11-20T00:00:00"/>
    <s v="N"/>
  </r>
  <r>
    <s v="Ofsted Social Care Provider Webpage"/>
    <n v="1264335"/>
    <s v="Independent Fostering Agency"/>
    <d v="2017-12-22T00:00:00"/>
    <s v="Active"/>
    <s v="Foundation Fostering Limited"/>
    <s v="West Midlands"/>
    <s v="West Midlands"/>
    <s v="Worcestershire"/>
    <s v="West Worcestershire"/>
    <s v="Private"/>
    <d v="2020-10-19T00:00:00"/>
    <d v="2020-11-24T00:00:00"/>
    <s v="N"/>
  </r>
  <r>
    <s v="Ofsted Social Care Provider Webpage"/>
    <n v="2527312"/>
    <s v="Children's home"/>
    <d v="2019-07-22T00:00:00"/>
    <s v="Active"/>
    <s v="REDACTED"/>
    <s v="South West"/>
    <s v="South West"/>
    <s v="Devon"/>
    <s v="Newton Abbot"/>
    <s v="Private"/>
    <d v="2020-10-19T00:00:00"/>
    <d v="2020-11-16T00:00:00"/>
    <s v="N"/>
  </r>
  <r>
    <s v="Ofsted Social Care Provider Webpage"/>
    <s v="SC412175"/>
    <s v="Children's home"/>
    <d v="2010-07-18T00:00:00"/>
    <s v="Active"/>
    <s v="REDACTED"/>
    <s v="West Midlands"/>
    <s v="West Midlands"/>
    <s v="Birmingham"/>
    <s v="Birmingham, Yardley"/>
    <s v="Private"/>
    <d v="2020-10-19T00:00:00"/>
    <d v="2020-12-14T00:00:00"/>
    <s v="N"/>
  </r>
  <r>
    <s v="Ofsted Social Care Provider Webpage"/>
    <s v="SC475703"/>
    <s v="Children's home"/>
    <d v="2014-05-08T00:00:00"/>
    <s v="Active"/>
    <s v="REDACTED"/>
    <s v="North East, Yorkshire and the Humber"/>
    <s v="Yorkshire and The Humber"/>
    <s v="North Yorkshire"/>
    <s v="Skipton and Ripon"/>
    <s v="Private"/>
    <d v="2020-10-20T00:00:00"/>
    <d v="2020-11-26T00:00:00"/>
    <s v="N"/>
  </r>
  <r>
    <s v="Ofsted Social Care Provider Webpage"/>
    <n v="1264048"/>
    <s v="Children's home"/>
    <d v="2017-09-12T00:00:00"/>
    <s v="Active"/>
    <s v="REDACTED"/>
    <s v="London"/>
    <s v="London"/>
    <s v="Brent"/>
    <s v="Brent North"/>
    <s v="Private"/>
    <d v="2020-10-20T00:00:00"/>
    <d v="2020-11-18T00:00:00"/>
    <s v="N"/>
  </r>
  <r>
    <s v="Ofsted Social Care Provider Webpage"/>
    <n v="1221437"/>
    <s v="Children's home"/>
    <d v="2016-03-15T00:00:00"/>
    <s v="Active"/>
    <s v="REDACTED"/>
    <s v="South West"/>
    <s v="South West"/>
    <s v="Dorset"/>
    <s v="South Dorset"/>
    <s v="Private"/>
    <d v="2020-10-20T00:00:00"/>
    <d v="2020-11-19T00:00:00"/>
    <s v="N"/>
  </r>
  <r>
    <s v="Ofsted Social Care Provider Webpage"/>
    <s v="SC481844"/>
    <s v="Children's home"/>
    <d v="2014-10-01T00:00:00"/>
    <s v="Active"/>
    <s v="REDACTED"/>
    <s v="East Midlands"/>
    <s v="East Midlands"/>
    <s v="Northamptonshire"/>
    <s v="Northampton North"/>
    <s v="Private"/>
    <d v="2020-10-20T00:00:00"/>
    <d v="2020-11-19T00:00:00"/>
    <s v="N"/>
  </r>
  <r>
    <s v="Ofsted Social Care Provider Webpage"/>
    <s v="SC012450"/>
    <s v="Residential Special School"/>
    <d v="2002-02-14T00:00:00"/>
    <s v="Active"/>
    <s v="Grateley House School"/>
    <s v="South East"/>
    <s v="South East"/>
    <s v="Hampshire"/>
    <s v="North West Hampshire"/>
    <s v="Private"/>
    <d v="2020-10-20T00:00:00"/>
    <d v="2020-12-29T00:00:00"/>
    <s v="Y"/>
  </r>
  <r>
    <s v="Ofsted Social Care Provider Webpage"/>
    <n v="2536455"/>
    <s v="Children's home"/>
    <d v="2019-08-15T00:00:00"/>
    <s v="Active"/>
    <s v="REDACTED"/>
    <s v="East of England"/>
    <s v="East of England"/>
    <s v="Central Bedfordshire"/>
    <s v="North East Bedfordshire"/>
    <s v="Private"/>
    <d v="2020-10-20T00:00:00"/>
    <d v="2020-11-11T00:00:00"/>
    <s v="N"/>
  </r>
  <r>
    <s v="Ofsted Social Care Provider Webpage"/>
    <n v="2536967"/>
    <s v="Children's home"/>
    <d v="2019-12-24T00:00:00"/>
    <s v="Active"/>
    <s v="REDACTED"/>
    <s v="South East"/>
    <s v="South East"/>
    <s v="Kent"/>
    <s v="Ashford"/>
    <s v="Local Authority"/>
    <d v="2020-10-20T00:00:00"/>
    <d v="2020-12-16T00:00:00"/>
    <s v="N"/>
  </r>
  <r>
    <s v="Ofsted Social Care Provider Webpage"/>
    <s v="SC030439"/>
    <s v="Children's home"/>
    <d v="2004-05-07T00:00:00"/>
    <s v="Active"/>
    <s v="REDACTED"/>
    <s v="South West"/>
    <s v="South West"/>
    <s v="Somerset"/>
    <s v="Taunton Deane"/>
    <s v="Local Authority"/>
    <d v="2020-10-20T00:00:00"/>
    <d v="2020-11-19T00:00:00"/>
    <s v="N"/>
  </r>
  <r>
    <s v="Ofsted Social Care Provider Webpage"/>
    <s v="SC425071"/>
    <s v="Children's home"/>
    <d v="2012-03-12T00:00:00"/>
    <s v="Active"/>
    <s v="REDACTED"/>
    <s v="South East"/>
    <s v="South East"/>
    <s v="Kent"/>
    <s v="Folkestone and Hythe"/>
    <s v="Private"/>
    <d v="2020-10-20T00:00:00"/>
    <d v="2020-12-16T00:00:00"/>
    <s v="N"/>
  </r>
  <r>
    <s v="Ofsted Social Care Provider Webpage"/>
    <s v="SC370956"/>
    <s v="Children's home"/>
    <d v="2008-02-15T00:00:00"/>
    <s v="Active"/>
    <s v="REDACTED"/>
    <s v="East Midlands"/>
    <s v="East Midlands"/>
    <s v="Lincolnshire"/>
    <s v="South Holland and The Deepings"/>
    <s v="Private"/>
    <d v="2020-10-20T00:00:00"/>
    <d v="2020-11-12T00:00:00"/>
    <s v="N"/>
  </r>
  <r>
    <s v="Ofsted Social Care Provider Webpage"/>
    <n v="2509731"/>
    <s v="Children's home"/>
    <d v="2019-04-08T00:00:00"/>
    <s v="Active"/>
    <s v="REDACTED"/>
    <s v="West Midlands"/>
    <s v="West Midlands"/>
    <s v="Staffordshire"/>
    <s v="Newcastle-under-Lyme"/>
    <s v="Private"/>
    <d v="2020-10-20T00:00:00"/>
    <d v="2020-11-24T00:00:00"/>
    <s v="N"/>
  </r>
  <r>
    <s v="Ofsted Social Care Provider Webpage"/>
    <s v="SC063653"/>
    <s v="Children's home"/>
    <d v="2005-05-09T00:00:00"/>
    <s v="Active"/>
    <s v="REDACTED"/>
    <s v="West Midlands"/>
    <s v="West Midlands"/>
    <s v="Staffordshire"/>
    <s v="Cannock Chase"/>
    <s v="Private"/>
    <d v="2020-10-20T00:00:00"/>
    <d v="2020-11-23T00:00:00"/>
    <s v="N"/>
  </r>
  <r>
    <s v="Ofsted Social Care Provider Webpage"/>
    <n v="2537252"/>
    <s v="Children's home"/>
    <d v="2019-06-12T00:00:00"/>
    <s v="Active"/>
    <s v="REDACTED"/>
    <s v="East Midlands"/>
    <s v="East Midlands"/>
    <s v="Nottinghamshire"/>
    <s v="Newark"/>
    <s v="Private"/>
    <d v="2020-10-20T00:00:00"/>
    <d v="2020-11-19T00:00:00"/>
    <s v="N"/>
  </r>
  <r>
    <s v="Ofsted Social Care Provider Webpage"/>
    <n v="2572248"/>
    <s v="Children's home"/>
    <d v="2020-02-10T00:00:00"/>
    <s v="Resigned"/>
    <s v="REDACTED"/>
    <s v="East Midlands"/>
    <s v="East Midlands"/>
    <s v="Northamptonshire"/>
    <s v="Wellingborough"/>
    <s v="Local Authority"/>
    <d v="2020-10-20T00:00:00"/>
    <d v="2020-11-17T00:00:00"/>
    <s v="N"/>
  </r>
  <r>
    <s v="Ofsted Social Care Provider Webpage"/>
    <s v="SC063689"/>
    <s v="Children's home"/>
    <d v="2005-09-29T00:00:00"/>
    <s v="Active"/>
    <s v="REDACTED"/>
    <s v="South East"/>
    <s v="South East"/>
    <s v="Kent"/>
    <s v="Dartford"/>
    <s v="Private"/>
    <d v="2020-10-20T00:00:00"/>
    <d v="2020-12-04T00:00:00"/>
    <s v="N"/>
  </r>
  <r>
    <s v="Ofsted Social Care Provider Webpage"/>
    <n v="2591911"/>
    <s v="Children's home"/>
    <d v="2020-06-16T00:00:00"/>
    <s v="Active"/>
    <s v="REDACTED"/>
    <s v="East Midlands"/>
    <s v="East Midlands"/>
    <s v="Derby"/>
    <s v="Derby South"/>
    <s v="Private"/>
    <d v="2020-10-20T00:00:00"/>
    <d v="2020-12-29T00:00:00"/>
    <s v="Y"/>
  </r>
  <r>
    <s v="Ofsted Social Care Provider Webpage"/>
    <n v="2559317"/>
    <s v="Children's home"/>
    <d v="2020-05-11T00:00:00"/>
    <s v="Active"/>
    <s v="REDACTED"/>
    <s v="North West"/>
    <s v="North West"/>
    <s v="Sefton"/>
    <s v="Southport"/>
    <s v="Private"/>
    <d v="2020-10-20T00:00:00"/>
    <d v="2020-11-25T00:00:00"/>
    <s v="N"/>
  </r>
  <r>
    <s v="Ofsted Social Care Provider Webpage"/>
    <n v="2526875"/>
    <s v="Children's home"/>
    <d v="2019-08-30T00:00:00"/>
    <s v="Active"/>
    <s v="REDACTED"/>
    <s v="West Midlands"/>
    <s v="West Midlands"/>
    <s v="Staffordshire"/>
    <s v="Staffordshire Moorlands"/>
    <s v="Private"/>
    <d v="2020-10-20T00:00:00"/>
    <d v="2020-11-18T00:00:00"/>
    <s v="N"/>
  </r>
  <r>
    <s v="Ofsted Social Care Provider Webpage"/>
    <n v="1232200"/>
    <s v="Children's home"/>
    <d v="2016-06-08T00:00:00"/>
    <s v="Active"/>
    <s v="REDACTED"/>
    <s v="East Midlands"/>
    <s v="East Midlands"/>
    <s v="Northamptonshire"/>
    <s v="Wellingborough"/>
    <s v="Private"/>
    <d v="2020-10-20T00:00:00"/>
    <d v="2020-11-18T00:00:00"/>
    <s v="N"/>
  </r>
  <r>
    <s v="Ofsted Social Care Provider Webpage"/>
    <n v="1254740"/>
    <s v="Children's home"/>
    <d v="2017-04-07T00:00:00"/>
    <s v="Active"/>
    <s v="REDACTED"/>
    <s v="South West"/>
    <s v="South West"/>
    <s v="Plymouth"/>
    <s v="Plymouth, Moor View"/>
    <s v="Private"/>
    <d v="2020-10-20T00:00:00"/>
    <d v="2020-11-23T00:00:00"/>
    <s v="N"/>
  </r>
  <r>
    <s v="Ofsted Social Care Provider Webpage"/>
    <s v="SC429918"/>
    <s v="Children's home"/>
    <d v="2011-07-22T00:00:00"/>
    <s v="Active"/>
    <s v="REDACTED"/>
    <s v="West Midlands"/>
    <s v="West Midlands"/>
    <s v="Warwickshire"/>
    <s v="North Warwickshire"/>
    <s v="Private"/>
    <d v="2020-10-20T00:00:00"/>
    <d v="2020-11-19T00:00:00"/>
    <s v="N"/>
  </r>
  <r>
    <s v="Ofsted Social Care Provider Webpage"/>
    <s v="SC034211"/>
    <s v="Children's home"/>
    <d v="2003-04-17T00:00:00"/>
    <s v="Active"/>
    <s v="REDACTED"/>
    <s v="South West"/>
    <s v="South West"/>
    <s v="Bristol"/>
    <s v="Bristol East"/>
    <s v="Local Authority"/>
    <d v="2020-10-20T00:00:00"/>
    <d v="2020-11-23T00:00:00"/>
    <s v="N"/>
  </r>
  <r>
    <s v="Ofsted Social Care Provider Webpage"/>
    <n v="2517433"/>
    <s v="Children's home"/>
    <d v="2019-08-02T00:00:00"/>
    <s v="Active"/>
    <s v="REDACTED"/>
    <s v="East Midlands"/>
    <s v="East Midlands"/>
    <s v="Derbyshire"/>
    <s v="South Derbyshire"/>
    <s v="Private"/>
    <d v="2020-10-20T00:00:00"/>
    <d v="2020-11-23T00:00:00"/>
    <s v="N"/>
  </r>
  <r>
    <s v="Ofsted Social Care Provider Webpage"/>
    <s v="SC466284"/>
    <s v="Children's home"/>
    <d v="2013-12-05T00:00:00"/>
    <s v="Active"/>
    <s v="REDACTED"/>
    <s v="East Midlands"/>
    <s v="East Midlands"/>
    <s v="Nottinghamshire"/>
    <s v="Newark"/>
    <s v="Voluntary"/>
    <d v="2020-10-20T00:00:00"/>
    <d v="2020-11-17T00:00:00"/>
    <s v="N"/>
  </r>
  <r>
    <s v="Ofsted Social Care Provider Webpage"/>
    <s v="SC458746"/>
    <s v="Children's home"/>
    <d v="2013-01-23T00:00:00"/>
    <s v="Active"/>
    <s v="REDACTED"/>
    <s v="West Midlands"/>
    <s v="West Midlands"/>
    <s v="Walsall"/>
    <s v="Walsall South"/>
    <s v="Private"/>
    <d v="2020-10-20T00:00:00"/>
    <d v="2020-11-20T00:00:00"/>
    <s v="Y"/>
  </r>
  <r>
    <s v="Ofsted Social Care Provider Webpage"/>
    <s v="SC033370"/>
    <s v="Children's home"/>
    <d v="2003-07-17T00:00:00"/>
    <s v="Active"/>
    <s v="REDACTED"/>
    <s v="North East, Yorkshire and the Humber"/>
    <s v="Yorkshire and The Humber"/>
    <s v="Leeds"/>
    <s v="Leeds West"/>
    <s v="Local Authority"/>
    <d v="2020-10-20T00:00:00"/>
    <d v="2020-11-26T00:00:00"/>
    <s v="N"/>
  </r>
  <r>
    <s v="Ofsted Social Care Provider Webpage"/>
    <s v="SC413678"/>
    <s v="Children's home"/>
    <d v="2011-07-12T00:00:00"/>
    <s v="Active"/>
    <s v="REDACTED"/>
    <s v="North East, Yorkshire and the Humber"/>
    <s v="Yorkshire and The Humber"/>
    <s v="Kingston upon Hull"/>
    <s v="Kingston upon Hull North"/>
    <s v="Private"/>
    <d v="2020-10-20T00:00:00"/>
    <d v="2020-11-26T00:00:00"/>
    <s v="N"/>
  </r>
  <r>
    <s v="Ofsted Social Care Provider Webpage"/>
    <n v="2589537"/>
    <s v="Children's home"/>
    <d v="2020-06-02T00:00:00"/>
    <s v="Active"/>
    <s v="REDACTED"/>
    <s v="North East, Yorkshire and the Humber"/>
    <s v="Yorkshire and The Humber"/>
    <s v="Doncaster"/>
    <s v="Doncaster North"/>
    <s v="Private"/>
    <d v="2020-10-20T00:00:00"/>
    <d v="2020-11-18T00:00:00"/>
    <s v="N"/>
  </r>
  <r>
    <s v="Ofsted Social Care Provider Webpage"/>
    <n v="2591431"/>
    <s v="Children's home"/>
    <d v="2020-07-20T00:00:00"/>
    <s v="Active"/>
    <s v="REDACTED"/>
    <s v="East of England"/>
    <s v="East of England"/>
    <s v="Essex"/>
    <s v="Clacton"/>
    <s v="Private"/>
    <d v="2020-10-20T00:00:00"/>
    <d v="2020-11-16T00:00:00"/>
    <s v="N"/>
  </r>
  <r>
    <s v="Ofsted Social Care Provider Webpage"/>
    <n v="1272220"/>
    <s v="Children's home"/>
    <d v="2018-05-09T00:00:00"/>
    <s v="Active"/>
    <s v="REDACTED"/>
    <s v="North East, Yorkshire and the Humber"/>
    <s v="North East"/>
    <s v="Redcar and Cleveland"/>
    <s v="Middlesbrough South and East Cleveland"/>
    <s v="Private"/>
    <d v="2020-10-20T00:00:00"/>
    <d v="2020-11-20T00:00:00"/>
    <s v="N"/>
  </r>
  <r>
    <s v="Ofsted Social Care Provider Webpage"/>
    <s v="SC461275"/>
    <s v="Children's home"/>
    <d v="2013-04-19T00:00:00"/>
    <s v="Active"/>
    <s v="REDACTED"/>
    <s v="West Midlands"/>
    <s v="West Midlands"/>
    <s v="Staffordshire"/>
    <s v="South Staffordshire"/>
    <s v="Private"/>
    <d v="2020-10-20T00:00:00"/>
    <d v="2020-11-16T00:00:00"/>
    <s v="N"/>
  </r>
  <r>
    <s v="Ofsted Social Care Provider Webpage"/>
    <n v="1267324"/>
    <s v="Independent Fostering Agency"/>
    <d v="2018-03-07T00:00:00"/>
    <s v="Active"/>
    <s v="Sandwell Children's Trust Fostering"/>
    <s v="West Midlands"/>
    <s v="West Midlands"/>
    <s v="Sandwell"/>
    <s v="West Bromwich West"/>
    <s v="Voluntary"/>
    <d v="2020-10-20T00:00:00"/>
    <d v="2020-12-11T00:00:00"/>
    <s v="N"/>
  </r>
  <r>
    <s v="Ofsted Social Care Provider Webpage"/>
    <n v="2483823"/>
    <s v="Children's home"/>
    <d v="2018-10-29T00:00:00"/>
    <s v="Active"/>
    <s v="REDACTED"/>
    <s v="East Midlands"/>
    <s v="East Midlands"/>
    <s v="Leicestershire"/>
    <s v="Rutland and Melton"/>
    <s v="Private"/>
    <d v="2020-10-20T00:00:00"/>
    <d v="2020-11-18T00:00:00"/>
    <s v="N"/>
  </r>
  <r>
    <s v="Ofsted Social Care Provider Webpage"/>
    <n v="1244117"/>
    <s v="Children's home"/>
    <d v="2016-12-01T00:00:00"/>
    <s v="Active"/>
    <s v="REDACTED"/>
    <s v="East Midlands"/>
    <s v="East Midlands"/>
    <s v="Nottinghamshire"/>
    <s v="Bassetlaw"/>
    <s v="Voluntary"/>
    <d v="2020-10-20T00:00:00"/>
    <d v="2020-11-18T00:00:00"/>
    <s v="N"/>
  </r>
  <r>
    <s v="Ofsted Social Care Provider Webpage"/>
    <s v="SC066747"/>
    <s v="Children's home"/>
    <d v="2006-03-30T00:00:00"/>
    <s v="Active"/>
    <s v="REDACTED"/>
    <s v="North East, Yorkshire and the Humber"/>
    <s v="Yorkshire and The Humber"/>
    <s v="Sheffield"/>
    <s v="Sheffield South East"/>
    <s v="Local Authority"/>
    <d v="2020-09-21T00:00:00"/>
    <d v="2020-10-22T00:00:00"/>
    <s v="N"/>
  </r>
  <r>
    <s v="Ofsted Social Care Provider Webpage"/>
    <n v="1272827"/>
    <s v="Children's home"/>
    <d v="2018-05-29T00:00:00"/>
    <s v="Active"/>
    <s v="REDACTED"/>
    <s v="East Midlands"/>
    <s v="East Midlands"/>
    <s v="Derbyshire"/>
    <s v="Chesterfield"/>
    <s v="Private"/>
    <d v="2020-09-21T00:00:00"/>
    <d v="2020-10-15T00:00:00"/>
    <s v="N"/>
  </r>
  <r>
    <s v="Ofsted Social Care Provider Webpage"/>
    <n v="2529815"/>
    <s v="Children's home"/>
    <d v="2019-08-06T00:00:00"/>
    <s v="Active"/>
    <s v="REDACTED"/>
    <s v="East of England"/>
    <s v="East of England"/>
    <s v="Suffolk"/>
    <s v="Suffolk Coastal"/>
    <s v="Private"/>
    <d v="2020-09-21T00:00:00"/>
    <d v="2020-10-21T00:00:00"/>
    <s v="Y"/>
  </r>
  <r>
    <s v="Ofsted Social Care Provider Webpage"/>
    <s v="SC431228"/>
    <s v="Children's home"/>
    <d v="2011-09-01T00:00:00"/>
    <s v="Active"/>
    <s v="REDACTED"/>
    <s v="East of England"/>
    <s v="East of England"/>
    <s v="Norfolk"/>
    <s v="South West Norfolk"/>
    <s v="Private"/>
    <d v="2020-09-21T00:00:00"/>
    <d v="2020-10-15T00:00:00"/>
    <s v="N"/>
  </r>
  <r>
    <s v="Ofsted Social Care Provider Webpage"/>
    <s v="SC061837"/>
    <s v="Children's home"/>
    <d v="2005-06-08T00:00:00"/>
    <s v="Active"/>
    <s v="REDACTED"/>
    <s v="West Midlands"/>
    <s v="West Midlands"/>
    <s v="Warwickshire"/>
    <s v="North Warwickshire"/>
    <s v="Private"/>
    <d v="2020-09-21T00:00:00"/>
    <d v="2020-10-22T00:00:00"/>
    <s v="N"/>
  </r>
  <r>
    <s v="Ofsted Social Care Provider Webpage"/>
    <n v="1271467"/>
    <s v="Children's home"/>
    <d v="2018-03-14T00:00:00"/>
    <s v="Active"/>
    <s v="REDACTED"/>
    <s v="South West"/>
    <s v="South West"/>
    <s v="Devon"/>
    <s v="Torridge and West Devon"/>
    <s v="Private"/>
    <d v="2020-09-21T00:00:00"/>
    <d v="2020-10-26T00:00:00"/>
    <s v="N"/>
  </r>
  <r>
    <s v="Ofsted Social Care Provider Webpage"/>
    <n v="2592750"/>
    <s v="Children's home"/>
    <d v="2020-06-10T00:00:00"/>
    <s v="Active"/>
    <s v="REDACTED"/>
    <s v="East of England"/>
    <s v="East of England"/>
    <s v="Norfolk"/>
    <s v="North West Norfolk"/>
    <s v="Private"/>
    <d v="2020-09-21T00:00:00"/>
    <d v="2020-10-19T00:00:00"/>
    <s v="N"/>
  </r>
  <r>
    <s v="Ofsted Social Care Provider Webpage"/>
    <s v="SC038719"/>
    <s v="Secure children's home"/>
    <d v="2004-03-31T00:00:00"/>
    <s v="Active"/>
    <s v="REDACTED"/>
    <s v="South East"/>
    <s v="South East"/>
    <s v="Hampshire"/>
    <s v="Fareham"/>
    <s v="Local Authority"/>
    <d v="2020-09-21T00:00:00"/>
    <d v="2020-11-23T00:00:00"/>
    <s v="N"/>
  </r>
  <r>
    <s v="Ofsted Social Care Provider Webpage"/>
    <s v="SC008488"/>
    <s v="Children's home"/>
    <d v="1999-09-01T00:00:00"/>
    <s v="Active"/>
    <s v="REDACTED"/>
    <s v="North West"/>
    <s v="North West"/>
    <s v="Stockport"/>
    <s v="Cheadle"/>
    <s v="Private"/>
    <d v="2020-09-21T00:00:00"/>
    <d v="2020-12-17T00:00:00"/>
    <s v="Y"/>
  </r>
  <r>
    <s v="Ofsted Social Care Provider Webpage"/>
    <s v="SC455338"/>
    <s v="Children's home"/>
    <d v="2012-10-19T00:00:00"/>
    <s v="Active"/>
    <s v="REDACTED"/>
    <s v="East of England"/>
    <s v="East of England"/>
    <s v="Central Bedfordshire"/>
    <s v="Mid Bedfordshire"/>
    <s v="Private"/>
    <d v="2020-09-21T00:00:00"/>
    <d v="2020-10-21T00:00:00"/>
    <s v="N"/>
  </r>
  <r>
    <s v="Ofsted Social Care Provider Webpage"/>
    <s v="SC035499"/>
    <s v="Children's home"/>
    <d v="2003-04-01T00:00:00"/>
    <s v="Active"/>
    <s v="REDACTED"/>
    <s v="North East, Yorkshire and the Humber"/>
    <s v="Yorkshire and The Humber"/>
    <s v="East Riding of Yorkshire"/>
    <s v="East Yorkshire"/>
    <s v="Local Authority"/>
    <d v="2020-09-21T00:00:00"/>
    <d v="2020-10-27T00:00:00"/>
    <s v="Y"/>
  </r>
  <r>
    <s v="Ofsted Social Care Provider Webpage"/>
    <n v="2547761"/>
    <s v="Children's home"/>
    <d v="2020-02-09T00:00:00"/>
    <s v="Active"/>
    <s v="REDACTED"/>
    <s v="North West"/>
    <s v="North West"/>
    <s v="Lancashire"/>
    <s v="South Ribble"/>
    <s v="Private"/>
    <d v="2020-09-21T00:00:00"/>
    <d v="2020-12-09T00:00:00"/>
    <s v="N"/>
  </r>
  <r>
    <s v="Ofsted Social Care Provider Webpage"/>
    <s v="SC060545"/>
    <s v="Children's home"/>
    <d v="2005-04-20T00:00:00"/>
    <s v="Active"/>
    <s v="REDACTED"/>
    <s v="London"/>
    <s v="London"/>
    <s v="Newham"/>
    <s v="East Ham"/>
    <s v="Private"/>
    <d v="2020-09-21T00:00:00"/>
    <d v="2020-10-29T00:00:00"/>
    <s v="N"/>
  </r>
  <r>
    <s v="Ofsted Social Care Provider Webpage"/>
    <s v="SC429995"/>
    <s v="Children's home"/>
    <d v="2011-07-22T00:00:00"/>
    <s v="Active"/>
    <s v="REDACTED"/>
    <s v="North East, Yorkshire and the Humber"/>
    <s v="North East"/>
    <s v="Durham"/>
    <s v="North West Durham"/>
    <s v="Private"/>
    <d v="2020-09-21T00:00:00"/>
    <d v="2020-12-09T00:00:00"/>
    <s v="Y"/>
  </r>
  <r>
    <s v="Ofsted Social Care Provider Webpage"/>
    <n v="1258095"/>
    <s v="Children's home"/>
    <d v="2017-08-03T00:00:00"/>
    <s v="Active"/>
    <s v="REDACTED"/>
    <s v="West Midlands"/>
    <s v="West Midlands"/>
    <s v="Staffordshire"/>
    <s v="Stone"/>
    <s v="Private"/>
    <d v="2020-10-21T00:00:00"/>
    <d v="2020-11-24T00:00:00"/>
    <s v="N"/>
  </r>
  <r>
    <s v="Ofsted Social Care Provider Webpage"/>
    <n v="1263129"/>
    <s v="Children's home"/>
    <d v="2017-11-06T00:00:00"/>
    <s v="Active"/>
    <s v="REDACTED"/>
    <s v="South East"/>
    <s v="South East"/>
    <s v="East Sussex"/>
    <s v="Lewes"/>
    <s v="Private"/>
    <d v="2020-10-21T00:00:00"/>
    <d v="2020-12-07T00:00:00"/>
    <s v="N"/>
  </r>
  <r>
    <s v="Ofsted Social Care Provider Webpage"/>
    <n v="2548333"/>
    <s v="Children's home"/>
    <d v="2020-01-24T00:00:00"/>
    <s v="Active"/>
    <s v="REDACTED"/>
    <s v="West Midlands"/>
    <s v="West Midlands"/>
    <s v="Birmingham"/>
    <s v="Birmingham, Yardley"/>
    <s v="Private"/>
    <d v="2020-10-21T00:00:00"/>
    <d v="2020-11-27T00:00:00"/>
    <s v="Y"/>
  </r>
  <r>
    <s v="Ofsted Social Care Provider Webpage"/>
    <n v="1271380"/>
    <s v="Children's home"/>
    <d v="2018-07-25T00:00:00"/>
    <s v="Active"/>
    <s v="REDACTED"/>
    <s v="South East"/>
    <s v="South East"/>
    <s v="Buckinghamshire"/>
    <s v="Wycombe"/>
    <s v="Private"/>
    <d v="2020-10-21T00:00:00"/>
    <d v="2020-12-11T00:00:00"/>
    <s v="N"/>
  </r>
  <r>
    <s v="Ofsted Social Care Provider Webpage"/>
    <s v="SC487764"/>
    <s v="Children's home"/>
    <d v="2015-09-23T00:00:00"/>
    <s v="Active"/>
    <s v="REDACTED"/>
    <s v="West Midlands"/>
    <s v="West Midlands"/>
    <s v="Staffordshire"/>
    <s v="Newcastle-under-Lyme"/>
    <s v="Private"/>
    <d v="2020-10-21T00:00:00"/>
    <d v="2020-12-03T00:00:00"/>
    <s v="N"/>
  </r>
  <r>
    <s v="Ofsted Social Care Provider Webpage"/>
    <n v="2547560"/>
    <s v="Children's home"/>
    <d v="2019-10-30T00:00:00"/>
    <s v="Active"/>
    <s v="REDACTED"/>
    <s v="London"/>
    <s v="London"/>
    <s v="Lewisham"/>
    <s v="Lewisham West and Penge"/>
    <s v="Private"/>
    <d v="2020-10-21T00:00:00"/>
    <d v="2020-12-29T00:00:00"/>
    <s v="N"/>
  </r>
  <r>
    <s v="Ofsted Social Care Provider Webpage"/>
    <n v="1249264"/>
    <s v="Children's home"/>
    <d v="2017-02-15T00:00:00"/>
    <s v="Active"/>
    <s v="REDACTED"/>
    <s v="North West"/>
    <s v="North West"/>
    <s v="Cumbria"/>
    <s v="Penrith and The Border"/>
    <s v="Private"/>
    <d v="2020-10-21T00:00:00"/>
    <d v="2020-12-01T00:00:00"/>
    <s v="N"/>
  </r>
  <r>
    <s v="Ofsted Social Care Provider Webpage"/>
    <n v="1249035"/>
    <s v="Children's home"/>
    <d v="2017-03-21T00:00:00"/>
    <s v="Active"/>
    <s v="REDACTED"/>
    <s v="North West"/>
    <s v="North West"/>
    <s v="Lancashire"/>
    <s v="Burnley"/>
    <s v="Private"/>
    <d v="2020-10-21T00:00:00"/>
    <d v="2020-11-13T00:00:00"/>
    <s v="N"/>
  </r>
  <r>
    <s v="Ofsted Social Care Provider Webpage"/>
    <s v="SC417351"/>
    <s v="Children's home"/>
    <d v="2010-12-01T00:00:00"/>
    <s v="Resigned"/>
    <s v="REDACTED"/>
    <s v="East of England"/>
    <s v="East of England"/>
    <s v="Essex"/>
    <s v="Witham"/>
    <s v="Private"/>
    <d v="2020-10-21T00:00:00"/>
    <d v="2020-11-17T00:00:00"/>
    <s v="Y"/>
  </r>
  <r>
    <s v="Ofsted Social Care Provider Webpage"/>
    <s v="SC457435"/>
    <s v="Children's home"/>
    <d v="2013-01-20T00:00:00"/>
    <s v="Active"/>
    <s v="REDACTED"/>
    <s v="North East, Yorkshire and the Humber"/>
    <s v="Yorkshire and The Humber"/>
    <s v="North Yorkshire"/>
    <s v="Scarborough and Whitby"/>
    <s v="Private"/>
    <d v="2020-10-21T00:00:00"/>
    <d v="2020-12-04T00:00:00"/>
    <s v="N"/>
  </r>
  <r>
    <s v="Ofsted Social Care Provider Webpage"/>
    <s v="SC359818"/>
    <s v="Children's home"/>
    <d v="2007-03-30T00:00:00"/>
    <s v="Active"/>
    <s v="REDACTED"/>
    <s v="West Midlands"/>
    <s v="West Midlands"/>
    <s v="Wolverhampton"/>
    <s v="Wolverhampton North East"/>
    <s v="Private"/>
    <d v="2020-10-21T00:00:00"/>
    <d v="2020-11-24T00:00:00"/>
    <s v="N"/>
  </r>
  <r>
    <s v="Ofsted Social Care Provider Webpage"/>
    <s v="SC356929"/>
    <s v="Children's home"/>
    <d v="2007-03-28T00:00:00"/>
    <s v="Active"/>
    <s v="REDACTED"/>
    <s v="North West"/>
    <s v="North West"/>
    <s v="Knowsley"/>
    <s v="Knowsley"/>
    <s v="Private"/>
    <d v="2020-10-21T00:00:00"/>
    <d v="2020-11-19T00:00:00"/>
    <s v="N"/>
  </r>
  <r>
    <s v="Ofsted Social Care Provider Webpage"/>
    <n v="2510737"/>
    <s v="Children's home"/>
    <d v="2019-05-17T00:00:00"/>
    <s v="Active"/>
    <s v="REDACTED"/>
    <s v="North West"/>
    <s v="North West"/>
    <s v="Sefton"/>
    <s v="Southport"/>
    <s v="Private"/>
    <d v="2020-10-21T00:00:00"/>
    <d v="2020-11-24T00:00:00"/>
    <s v="N"/>
  </r>
  <r>
    <s v="Ofsted Social Care Provider Webpage"/>
    <s v="SC025799"/>
    <s v="Children's home"/>
    <d v="1996-01-23T00:00:00"/>
    <s v="Active"/>
    <s v="REDACTED"/>
    <s v="London"/>
    <s v="London"/>
    <s v="Croydon"/>
    <s v="Croydon South"/>
    <s v="Private"/>
    <d v="2020-10-21T00:00:00"/>
    <d v="2020-11-25T00:00:00"/>
    <s v="N"/>
  </r>
  <r>
    <s v="Ofsted Social Care Provider Webpage"/>
    <s v="SC467704"/>
    <s v="Children's home"/>
    <d v="2013-08-09T00:00:00"/>
    <s v="Active"/>
    <s v="REDACTED"/>
    <s v="South West"/>
    <s v="South West"/>
    <s v="Devon"/>
    <s v="East Devon"/>
    <s v="Private"/>
    <d v="2020-10-21T00:00:00"/>
    <d v="2020-11-20T00:00:00"/>
    <s v="N"/>
  </r>
  <r>
    <s v="Ofsted Social Care Provider Webpage"/>
    <s v="SC391993"/>
    <s v="Children's home"/>
    <d v="2009-07-01T00:00:00"/>
    <s v="Active"/>
    <s v="REDACTED"/>
    <s v="North East, Yorkshire and the Humber"/>
    <s v="North East"/>
    <s v="Darlington"/>
    <s v="Darlington"/>
    <s v="Voluntary"/>
    <d v="2020-10-21T00:00:00"/>
    <d v="2020-12-03T00:00:00"/>
    <s v="N"/>
  </r>
  <r>
    <s v="Ofsted Social Care Provider Webpage"/>
    <s v="SC449954"/>
    <s v="Children's home"/>
    <d v="2012-10-15T00:00:00"/>
    <s v="Active"/>
    <s v="REDACTED"/>
    <s v="East Midlands"/>
    <s v="East Midlands"/>
    <s v="Nottingham"/>
    <s v="Nottingham South"/>
    <s v="Private"/>
    <d v="2020-10-21T00:00:00"/>
    <d v="2020-11-24T00:00:00"/>
    <s v="N"/>
  </r>
  <r>
    <s v="Ofsted Social Care Provider Webpage"/>
    <n v="1259178"/>
    <s v="Children's home"/>
    <d v="2018-02-15T00:00:00"/>
    <s v="Active"/>
    <s v="REDACTED"/>
    <s v="West Midlands"/>
    <s v="West Midlands"/>
    <s v="Birmingham"/>
    <s v="Birmingham, Erdington"/>
    <s v="Private"/>
    <d v="2020-10-21T00:00:00"/>
    <d v="2020-11-19T00:00:00"/>
    <s v="N"/>
  </r>
  <r>
    <s v="Ofsted Social Care Provider Webpage"/>
    <n v="2589621"/>
    <s v="Children's home"/>
    <d v="2020-04-27T00:00:00"/>
    <s v="Active"/>
    <s v="REDACTED"/>
    <s v="North West"/>
    <s v="North West"/>
    <s v="Liverpool"/>
    <s v="Garston and Halewood"/>
    <s v="Private"/>
    <d v="2020-10-21T00:00:00"/>
    <d v="2020-11-26T00:00:00"/>
    <s v="N"/>
  </r>
  <r>
    <s v="Ofsted Social Care Provider Webpage"/>
    <s v="SC485529"/>
    <s v="Children's home"/>
    <d v="2015-01-20T00:00:00"/>
    <s v="Active"/>
    <s v="REDACTED"/>
    <s v="South East"/>
    <s v="South East"/>
    <s v="Hampshire"/>
    <s v="New Forest East"/>
    <s v="Private"/>
    <d v="2020-10-21T00:00:00"/>
    <d v="2020-12-10T00:00:00"/>
    <s v="N"/>
  </r>
  <r>
    <s v="Ofsted Social Care Provider Webpage"/>
    <s v="SC403234"/>
    <s v="Children's home"/>
    <d v="2009-12-22T00:00:00"/>
    <s v="Active"/>
    <s v="REDACTED"/>
    <s v="South West"/>
    <s v="South West"/>
    <s v="Devon"/>
    <s v="North Devon"/>
    <s v="Private"/>
    <d v="2020-10-21T00:00:00"/>
    <d v="2020-11-17T00:00:00"/>
    <s v="N"/>
  </r>
  <r>
    <s v="Ofsted Social Care Provider Webpage"/>
    <s v="SC390751"/>
    <s v="Children's home"/>
    <d v="2009-04-22T00:00:00"/>
    <s v="Active"/>
    <s v="REDACTED"/>
    <s v="North East, Yorkshire and the Humber"/>
    <s v="North East"/>
    <s v="Darlington"/>
    <s v="Darlington"/>
    <s v="Private"/>
    <d v="2020-10-21T00:00:00"/>
    <d v="2020-12-29T00:00:00"/>
    <s v="N"/>
  </r>
  <r>
    <s v="Ofsted Social Care Provider Webpage"/>
    <n v="2567806"/>
    <s v="Children's home"/>
    <d v="2020-05-06T00:00:00"/>
    <s v="Active"/>
    <s v="REDACTED"/>
    <s v="North East, Yorkshire and the Humber"/>
    <s v="Yorkshire and The Humber"/>
    <s v="North Yorkshire"/>
    <s v="Selby and Ainsty"/>
    <s v="Private"/>
    <d v="2020-10-21T00:00:00"/>
    <d v="2020-11-13T00:00:00"/>
    <s v="N"/>
  </r>
  <r>
    <s v="Ofsted Social Care Provider Webpage"/>
    <s v="SC456795"/>
    <s v="Children's home"/>
    <d v="2013-02-14T00:00:00"/>
    <s v="Active"/>
    <s v="REDACTED"/>
    <s v="North West"/>
    <s v="North West"/>
    <s v="Warrington"/>
    <s v="Warrington North"/>
    <s v="Private"/>
    <d v="2020-10-21T00:00:00"/>
    <d v="2020-11-19T00:00:00"/>
    <s v="N"/>
  </r>
  <r>
    <s v="Ofsted Social Care Provider Webpage"/>
    <n v="1280623"/>
    <s v="Children's home"/>
    <d v="2018-10-16T00:00:00"/>
    <s v="Active"/>
    <s v="REDACTED"/>
    <s v="West Midlands"/>
    <s v="West Midlands"/>
    <s v="Wolverhampton"/>
    <s v="Wolverhampton South West"/>
    <s v="Private"/>
    <d v="2020-10-21T00:00:00"/>
    <d v="2020-11-17T00:00:00"/>
    <s v="N"/>
  </r>
  <r>
    <s v="Ofsted Social Care Provider Webpage"/>
    <n v="1234432"/>
    <s v="Children's home"/>
    <d v="2016-06-03T00:00:00"/>
    <s v="Active"/>
    <s v="REDACTED"/>
    <s v="North West"/>
    <s v="North West"/>
    <s v="Knowsley"/>
    <s v="Knowsley"/>
    <s v="Private"/>
    <d v="2020-10-21T00:00:00"/>
    <d v="2020-11-12T00:00:00"/>
    <s v="N"/>
  </r>
  <r>
    <s v="Ofsted Social Care Provider Webpage"/>
    <s v="SC420876"/>
    <s v="Children's home"/>
    <d v="2010-12-20T00:00:00"/>
    <s v="Active"/>
    <s v="REDACTED"/>
    <s v="West Midlands"/>
    <s v="West Midlands"/>
    <s v="Staffordshire"/>
    <s v="Staffordshire Moorlands"/>
    <s v="Private"/>
    <d v="2020-10-21T00:00:00"/>
    <d v="2020-12-03T00:00:00"/>
    <s v="N"/>
  </r>
  <r>
    <s v="Ofsted Social Care Provider Webpage"/>
    <n v="1256452"/>
    <s v="Children's home"/>
    <d v="2017-07-13T00:00:00"/>
    <s v="Active"/>
    <s v="REDACTED"/>
    <s v="East of England"/>
    <s v="East of England"/>
    <s v="Essex"/>
    <s v="Saffron Walden"/>
    <s v="Private"/>
    <d v="2020-10-21T00:00:00"/>
    <d v="2020-11-17T00:00:00"/>
    <s v="N"/>
  </r>
  <r>
    <s v="Ofsted Social Care Provider Webpage"/>
    <s v="SC439956"/>
    <s v="Children's home"/>
    <d v="2012-05-22T00:00:00"/>
    <s v="Active"/>
    <s v="REDACTED"/>
    <s v="North West"/>
    <s v="North West"/>
    <s v="Cumbria"/>
    <s v="Penrith and The Border"/>
    <s v="Private"/>
    <d v="2020-12-21T00:00:00"/>
    <d v="2021-01-29T00:00:00"/>
    <s v="N"/>
  </r>
  <r>
    <s v="Ofsted Social Care Provider Webpage"/>
    <n v="1241757"/>
    <s v="Children's home"/>
    <d v="2016-08-09T00:00:00"/>
    <s v="Active"/>
    <s v="REDACTED"/>
    <s v="North West"/>
    <s v="North West"/>
    <s v="Wigan"/>
    <s v="Wigan"/>
    <s v="Private"/>
    <d v="2020-12-21T00:00:00"/>
    <d v="2021-01-28T00:00:00"/>
    <s v="N"/>
  </r>
  <r>
    <s v="Ofsted Social Care Provider Webpage"/>
    <n v="1229534"/>
    <s v="Children's home"/>
    <d v="2016-04-27T00:00:00"/>
    <s v="Active"/>
    <s v="REDACTED"/>
    <s v="North West"/>
    <s v="North West"/>
    <s v="Lancashire"/>
    <s v="Hyndburn"/>
    <s v="Private"/>
    <d v="2020-12-21T00:00:00"/>
    <d v="2021-01-28T00:00:00"/>
    <s v="N"/>
  </r>
  <r>
    <s v="Ofsted Social Care Provider Webpage"/>
    <n v="1249184"/>
    <s v="Children's home"/>
    <d v="2017-01-12T00:00:00"/>
    <s v="Active"/>
    <s v="REDACTED"/>
    <s v="West Midlands"/>
    <s v="West Midlands"/>
    <s v="Staffordshire"/>
    <s v="Stafford"/>
    <s v="Private"/>
    <d v="2020-09-22T00:00:00"/>
    <d v="2020-10-23T00:00:00"/>
    <s v="N"/>
  </r>
  <r>
    <s v="Ofsted Social Care Provider Webpage"/>
    <s v="SC443009"/>
    <s v="Children's home"/>
    <d v="2012-05-21T00:00:00"/>
    <s v="Active"/>
    <s v="REDACTED"/>
    <s v="East of England"/>
    <s v="East of England"/>
    <s v="Suffolk"/>
    <s v="West Suffolk"/>
    <s v="Private"/>
    <d v="2020-09-22T00:00:00"/>
    <d v="2020-10-15T00:00:00"/>
    <s v="N"/>
  </r>
  <r>
    <s v="Ofsted Social Care Provider Webpage"/>
    <s v="SC450701"/>
    <s v="Children's home"/>
    <d v="2012-11-07T00:00:00"/>
    <s v="Active"/>
    <s v="REDACTED"/>
    <s v="East Midlands"/>
    <s v="East Midlands"/>
    <s v="Northamptonshire"/>
    <s v="Kettering"/>
    <s v="Private"/>
    <d v="2020-09-22T00:00:00"/>
    <d v="2020-10-22T00:00:00"/>
    <s v="Y"/>
  </r>
  <r>
    <s v="Ofsted Social Care Provider Webpage"/>
    <s v="SC066010"/>
    <s v="Children's home"/>
    <d v="2006-02-21T00:00:00"/>
    <s v="Active"/>
    <s v="REDACTED"/>
    <s v="North East, Yorkshire and the Humber"/>
    <s v="Yorkshire and The Humber"/>
    <s v="Sheffield"/>
    <s v="Sheffield, Heeley"/>
    <s v="Private"/>
    <d v="2020-09-22T00:00:00"/>
    <d v="2020-10-23T00:00:00"/>
    <s v="N"/>
  </r>
  <r>
    <s v="Ofsted Social Care Provider Webpage"/>
    <s v="SC436372"/>
    <s v="Children's home"/>
    <d v="2011-10-24T00:00:00"/>
    <s v="Active"/>
    <s v="REDACTED"/>
    <s v="East Midlands"/>
    <s v="East Midlands"/>
    <s v="Leicestershire"/>
    <s v="Loughborough"/>
    <s v="Private"/>
    <d v="2020-09-22T00:00:00"/>
    <d v="2020-10-19T00:00:00"/>
    <s v="N"/>
  </r>
  <r>
    <s v="Ofsted Social Care Provider Webpage"/>
    <n v="1267650"/>
    <s v="Children's home"/>
    <d v="2018-01-08T00:00:00"/>
    <s v="Active"/>
    <s v="REDACTED"/>
    <s v="North East, Yorkshire and the Humber"/>
    <s v="North East"/>
    <s v="Northumberland"/>
    <s v="Wansbeck"/>
    <s v="Private"/>
    <d v="2020-09-22T00:00:00"/>
    <d v="2020-10-22T00:00:00"/>
    <s v="N"/>
  </r>
  <r>
    <s v="Ofsted Social Care Provider Webpage"/>
    <n v="2560305"/>
    <s v="Children's home"/>
    <d v="2020-01-31T00:00:00"/>
    <s v="Active"/>
    <s v="REDACTED"/>
    <s v="West Midlands"/>
    <s v="West Midlands"/>
    <s v="Sandwell"/>
    <s v="West Bromwich East"/>
    <s v="Private"/>
    <d v="2020-09-22T00:00:00"/>
    <d v="2020-10-23T00:00:00"/>
    <s v="N"/>
  </r>
  <r>
    <s v="Ofsted Social Care Provider Webpage"/>
    <n v="1216505"/>
    <s v="Children's home"/>
    <d v="2016-02-03T00:00:00"/>
    <s v="Active"/>
    <s v="REDACTED"/>
    <s v="North East, Yorkshire and the Humber"/>
    <s v="North East"/>
    <s v="Newcastle upon Tyne"/>
    <s v="Newcastle upon Tyne East"/>
    <s v="Private"/>
    <d v="2020-09-22T00:00:00"/>
    <d v="2020-10-23T00:00:00"/>
    <s v="N"/>
  </r>
  <r>
    <s v="Ofsted Social Care Provider Webpage"/>
    <n v="1225887"/>
    <s v="Children's home"/>
    <d v="2016-01-15T00:00:00"/>
    <s v="Active"/>
    <s v="REDACTED"/>
    <s v="South East"/>
    <s v="South East"/>
    <s v="Kent"/>
    <s v="Sittingbourne and Sheppey"/>
    <s v="Private"/>
    <d v="2020-09-22T00:00:00"/>
    <d v="2020-11-10T00:00:00"/>
    <s v="Y"/>
  </r>
  <r>
    <s v="Ofsted Social Care Provider Webpage"/>
    <n v="1277497"/>
    <s v="Children's home"/>
    <d v="2018-06-15T00:00:00"/>
    <s v="Active"/>
    <s v="REDACTED"/>
    <s v="North West"/>
    <s v="North West"/>
    <s v="Lancashire"/>
    <s v="Morecambe and Lunesdale"/>
    <s v="Private"/>
    <d v="2020-09-22T00:00:00"/>
    <d v="2020-12-10T00:00:00"/>
    <s v="N"/>
  </r>
  <r>
    <s v="Ofsted Social Care Provider Webpage"/>
    <n v="1272209"/>
    <s v="Children's home"/>
    <d v="2018-04-11T00:00:00"/>
    <s v="Active"/>
    <s v="REDACTED"/>
    <s v="East Midlands"/>
    <s v="East Midlands"/>
    <s v="Northamptonshire"/>
    <s v="Northampton North"/>
    <s v="Private"/>
    <d v="2020-09-22T00:00:00"/>
    <d v="2020-10-22T00:00:00"/>
    <s v="N"/>
  </r>
  <r>
    <s v="Ofsted Social Care Provider Webpage"/>
    <n v="2567722"/>
    <s v="Children's home"/>
    <d v="2020-01-07T00:00:00"/>
    <s v="Active"/>
    <s v="REDACTED"/>
    <s v="South West"/>
    <s v="South West"/>
    <s v="Bristol"/>
    <s v="Bristol East"/>
    <s v="Local Authority"/>
    <d v="2020-09-22T00:00:00"/>
    <d v="2020-10-19T00:00:00"/>
    <s v="N"/>
  </r>
  <r>
    <s v="Ofsted Social Care Provider Webpage"/>
    <n v="1255748"/>
    <s v="Children's home"/>
    <d v="2017-05-24T00:00:00"/>
    <s v="Active"/>
    <s v="REDACTED"/>
    <s v="East Midlands"/>
    <s v="East Midlands"/>
    <s v="Nottingham"/>
    <s v="Nottingham South"/>
    <s v="Private"/>
    <d v="2020-09-22T00:00:00"/>
    <d v="2020-10-19T00:00:00"/>
    <s v="N"/>
  </r>
  <r>
    <s v="Ofsted Social Care Provider Webpage"/>
    <n v="2571033"/>
    <s v="Children's home"/>
    <d v="2020-04-24T00:00:00"/>
    <s v="Active"/>
    <s v="REDACTED"/>
    <s v="North West"/>
    <s v="North West"/>
    <s v="Lancashire"/>
    <s v="Wyre and Preston North"/>
    <s v="Private"/>
    <d v="2020-09-22T00:00:00"/>
    <d v="2020-11-17T00:00:00"/>
    <s v="Y"/>
  </r>
  <r>
    <s v="Ofsted Social Care Provider Webpage"/>
    <n v="2494962"/>
    <s v="Children's home"/>
    <d v="2019-01-09T00:00:00"/>
    <s v="Active"/>
    <s v="REDACTED"/>
    <s v="North East, Yorkshire and the Humber"/>
    <s v="Yorkshire and The Humber"/>
    <s v="Kirklees"/>
    <s v="Dewsbury"/>
    <s v="Private"/>
    <d v="2020-09-22T00:00:00"/>
    <d v="2020-10-26T00:00:00"/>
    <s v="N"/>
  </r>
  <r>
    <s v="Ofsted Social Care Provider Webpage"/>
    <n v="2509381"/>
    <s v="Children's home"/>
    <d v="2019-07-11T00:00:00"/>
    <s v="Active"/>
    <s v="REDACTED"/>
    <s v="North West"/>
    <s v="North West"/>
    <s v="Liverpool"/>
    <s v="Liverpool, Wavertree"/>
    <s v="Private"/>
    <d v="2020-09-22T00:00:00"/>
    <d v="2020-11-11T00:00:00"/>
    <s v="N"/>
  </r>
  <r>
    <s v="Ofsted Social Care Provider Webpage"/>
    <s v="SC033723"/>
    <s v="Children's home"/>
    <d v="2003-07-17T00:00:00"/>
    <s v="Active"/>
    <s v="REDACTED"/>
    <s v="North East, Yorkshire and the Humber"/>
    <s v="Yorkshire and The Humber"/>
    <s v="Leeds"/>
    <s v="Leeds East"/>
    <s v="Local Authority"/>
    <d v="2020-09-22T00:00:00"/>
    <d v="2020-10-30T00:00:00"/>
    <s v="Y"/>
  </r>
  <r>
    <s v="Ofsted Social Care Provider Webpage"/>
    <s v="SC033326"/>
    <s v="Children's home"/>
    <d v="2003-10-07T00:00:00"/>
    <s v="Active"/>
    <s v="REDACTED"/>
    <s v="North East, Yorkshire and the Humber"/>
    <s v="Yorkshire and The Humber"/>
    <s v="Kirklees"/>
    <s v="Colne Valley"/>
    <s v="Local Authority"/>
    <d v="2020-09-22T00:00:00"/>
    <d v="2020-10-23T00:00:00"/>
    <s v="N"/>
  </r>
  <r>
    <s v="Ofsted Social Care Provider Webpage"/>
    <s v="SC443765"/>
    <s v="Children's home"/>
    <d v="2012-05-09T00:00:00"/>
    <s v="Active"/>
    <s v="REDACTED"/>
    <s v="North West"/>
    <s v="North West"/>
    <s v="Cumbria"/>
    <s v="Westmorland and Lonsdale"/>
    <s v="Private"/>
    <d v="2020-09-22T00:00:00"/>
    <d v="2020-11-02T00:00:00"/>
    <s v="N"/>
  </r>
  <r>
    <s v="Ofsted Social Care Provider Webpage"/>
    <s v="SC043972"/>
    <s v="Children's home"/>
    <d v="2003-06-30T00:00:00"/>
    <s v="Active"/>
    <s v="REDACTED"/>
    <s v="North West"/>
    <s v="North West"/>
    <s v="Manchester"/>
    <s v="Manchester, Gorton"/>
    <s v="Private"/>
    <d v="2020-09-22T00:00:00"/>
    <d v="2020-11-02T00:00:00"/>
    <s v="N"/>
  </r>
  <r>
    <s v="Ofsted Social Care Provider Webpage"/>
    <s v="SC006017"/>
    <s v="Children's home"/>
    <d v="2001-06-20T00:00:00"/>
    <s v="Active"/>
    <s v="REDACTED"/>
    <s v="North West"/>
    <s v="North West"/>
    <s v="Lancashire"/>
    <s v="West Lancashire"/>
    <s v="Private"/>
    <d v="2020-09-22T00:00:00"/>
    <d v="2020-11-03T00:00:00"/>
    <s v="N"/>
  </r>
  <r>
    <s v="Ofsted Social Care Provider Webpage"/>
    <n v="1273658"/>
    <s v="Children's home"/>
    <d v="2018-03-20T00:00:00"/>
    <s v="Active"/>
    <s v="REDACTED"/>
    <s v="West Midlands"/>
    <s v="West Midlands"/>
    <s v="Birmingham"/>
    <s v="Birmingham, Northfield"/>
    <s v="Voluntary"/>
    <d v="2020-09-22T00:00:00"/>
    <d v="2020-11-02T00:00:00"/>
    <s v="N"/>
  </r>
  <r>
    <s v="Ofsted Social Care Provider Webpage"/>
    <n v="2580626"/>
    <s v="Children's home"/>
    <d v="2020-05-04T00:00:00"/>
    <s v="Active"/>
    <s v="REDACTED"/>
    <s v="North West"/>
    <s v="North West"/>
    <s v="Lancashire"/>
    <s v="Hyndburn"/>
    <s v="Private"/>
    <d v="2020-09-22T00:00:00"/>
    <d v="2020-10-27T00:00:00"/>
    <s v="Y"/>
  </r>
  <r>
    <s v="Ofsted Social Care Provider Webpage"/>
    <s v="SC023637"/>
    <s v="Children's home"/>
    <d v="2001-07-19T00:00:00"/>
    <s v="Active"/>
    <s v="REDACTED"/>
    <s v="South East"/>
    <s v="South East"/>
    <s v="Kent"/>
    <s v="Folkestone and Hythe"/>
    <s v="Private"/>
    <d v="2020-09-22T00:00:00"/>
    <d v="2020-11-10T00:00:00"/>
    <s v="N"/>
  </r>
  <r>
    <s v="Ofsted Social Care Provider Webpage"/>
    <s v="SC454035"/>
    <s v="Children's home"/>
    <d v="2012-12-24T00:00:00"/>
    <s v="Active"/>
    <s v="REDACTED"/>
    <s v="North West"/>
    <s v="North West"/>
    <s v="Knowsley"/>
    <s v="Knowsley"/>
    <s v="Private"/>
    <d v="2020-09-22T00:00:00"/>
    <d v="2020-11-12T00:00:00"/>
    <s v="N"/>
  </r>
  <r>
    <s v="Ofsted Social Care Provider Webpage"/>
    <s v="SC481439"/>
    <s v="Children's home"/>
    <d v="2014-09-25T00:00:00"/>
    <s v="Active"/>
    <s v="REDACTED"/>
    <s v="North East, Yorkshire and the Humber"/>
    <s v="Yorkshire and The Humber"/>
    <s v="Doncaster"/>
    <s v="Doncaster North"/>
    <s v="Voluntary"/>
    <d v="2020-09-22T00:00:00"/>
    <d v="2020-10-28T00:00:00"/>
    <s v="N"/>
  </r>
  <r>
    <s v="Ofsted Social Care Provider Webpage"/>
    <s v="SC059853"/>
    <s v="Children's home"/>
    <d v="2004-05-26T00:00:00"/>
    <s v="Active"/>
    <s v="REDACTED"/>
    <s v="North West"/>
    <s v="North West"/>
    <s v="Bolton"/>
    <s v="Bolton North East"/>
    <s v="Local Authority"/>
    <d v="2020-09-22T00:00:00"/>
    <d v="2020-11-02T00:00:00"/>
    <s v="N"/>
  </r>
  <r>
    <s v="Ofsted Social Care Provider Webpage"/>
    <s v="SC034741"/>
    <s v="Children's home"/>
    <d v="2003-09-04T00:00:00"/>
    <s v="Resigned"/>
    <s v="REDACTED"/>
    <s v="North East, Yorkshire and the Humber"/>
    <s v="North East"/>
    <s v="Durham"/>
    <s v="North West Durham"/>
    <s v="Local Authority"/>
    <d v="2020-09-22T00:00:00"/>
    <d v="2020-12-09T00:00:00"/>
    <s v="Y"/>
  </r>
  <r>
    <s v="Ofsted Social Care Provider Webpage"/>
    <n v="2548571"/>
    <s v="Children's home"/>
    <d v="2019-10-01T00:00:00"/>
    <s v="Active"/>
    <s v="REDACTED"/>
    <s v="West Midlands"/>
    <s v="West Midlands"/>
    <s v="Worcestershire"/>
    <s v="Mid Worcestershire"/>
    <s v="Private"/>
    <d v="2020-09-22T00:00:00"/>
    <d v="2020-10-22T00:00:00"/>
    <s v="Y"/>
  </r>
  <r>
    <s v="Ofsted Social Care Provider Webpage"/>
    <n v="1248071"/>
    <s v="Children's home"/>
    <d v="2017-01-03T00:00:00"/>
    <s v="Active"/>
    <s v="REDACTED"/>
    <s v="South West"/>
    <s v="South West"/>
    <s v="Plymouth"/>
    <s v="Plymouth, Sutton and Devonport"/>
    <s v="Private"/>
    <d v="2020-09-22T00:00:00"/>
    <d v="2020-10-21T00:00:00"/>
    <s v="N"/>
  </r>
  <r>
    <s v="Ofsted Social Care Provider Webpage"/>
    <s v="SC035364"/>
    <s v="Children's home"/>
    <d v="2003-01-09T00:00:00"/>
    <s v="Resigned"/>
    <s v="REDACTED"/>
    <s v="East Midlands"/>
    <s v="East Midlands"/>
    <s v="Northamptonshire"/>
    <s v="Corby"/>
    <s v="Local Authority"/>
    <d v="2020-09-22T00:00:00"/>
    <d v="2020-11-03T00:00:00"/>
    <s v="Y"/>
  </r>
  <r>
    <s v="Ofsted Social Care Provider Webpage"/>
    <n v="1244350"/>
    <s v="Children's home"/>
    <d v="2016-11-24T00:00:00"/>
    <s v="Active"/>
    <s v="REDACTED"/>
    <s v="West Midlands"/>
    <s v="West Midlands"/>
    <s v="Birmingham"/>
    <s v="Birmingham, Hodge Hill"/>
    <s v="Private"/>
    <d v="2020-09-22T00:00:00"/>
    <d v="2020-10-13T00:00:00"/>
    <s v="N"/>
  </r>
  <r>
    <s v="Ofsted Social Care Provider Webpage"/>
    <s v="SC044692"/>
    <s v="Children's home"/>
    <d v="2005-05-04T00:00:00"/>
    <s v="Active"/>
    <s v="REDACTED"/>
    <s v="East Midlands"/>
    <s v="East Midlands"/>
    <s v="Nottinghamshire"/>
    <s v="Mansfield"/>
    <s v="Local Authority"/>
    <d v="2020-09-22T00:00:00"/>
    <d v="2020-10-19T00:00:00"/>
    <s v="N"/>
  </r>
  <r>
    <s v="Ofsted Social Care Provider Webpage"/>
    <s v="SC457175"/>
    <s v="Children's home"/>
    <d v="2013-02-14T00:00:00"/>
    <s v="Active"/>
    <s v="REDACTED"/>
    <s v="North West"/>
    <s v="North West"/>
    <s v="Halton"/>
    <s v="Halton"/>
    <s v="Private"/>
    <d v="2020-10-22T00:00:00"/>
    <d v="2020-12-08T00:00:00"/>
    <s v="N"/>
  </r>
  <r>
    <s v="Ofsted Social Care Provider Webpage"/>
    <s v="SC364812"/>
    <s v="Children's home"/>
    <d v="2007-12-07T00:00:00"/>
    <s v="Active"/>
    <s v="REDACTED"/>
    <s v="South East"/>
    <s v="South East"/>
    <s v="West Sussex"/>
    <s v="Mid Sussex"/>
    <s v="Private"/>
    <d v="2020-10-22T00:00:00"/>
    <d v="2021-01-13T00:00:00"/>
    <s v="N"/>
  </r>
  <r>
    <s v="Ofsted Social Care Provider Webpage"/>
    <n v="2581237"/>
    <s v="Children's home"/>
    <d v="2020-04-29T00:00:00"/>
    <s v="Active"/>
    <s v="REDACTED"/>
    <s v="North West"/>
    <s v="North West"/>
    <s v="Lancashire"/>
    <s v="Lancaster and Fleetwood"/>
    <s v="Private"/>
    <d v="2020-10-22T00:00:00"/>
    <d v="2020-12-01T00:00:00"/>
    <s v="Y"/>
  </r>
  <r>
    <s v="Ofsted Social Care Provider Webpage"/>
    <s v="SC034383"/>
    <s v="Residential Special School"/>
    <d v="2002-07-24T00:00:00"/>
    <s v="Active"/>
    <s v="St Rose's School"/>
    <s v="South West"/>
    <s v="South West"/>
    <s v="Gloucestershire"/>
    <s v="Stroud"/>
    <s v="Voluntary"/>
    <d v="2020-10-22T00:00:00"/>
    <d v="2020-11-24T00:00:00"/>
    <s v="N"/>
  </r>
  <r>
    <s v="Ofsted Social Care Provider Webpage"/>
    <n v="1230411"/>
    <s v="Children's home"/>
    <d v="2016-04-26T00:00:00"/>
    <s v="Active"/>
    <s v="REDACTED"/>
    <s v="South East"/>
    <s v="South East"/>
    <s v="Surrey"/>
    <s v="Guildford"/>
    <s v="Local Authority"/>
    <d v="2020-10-22T00:00:00"/>
    <d v="2020-12-07T00:00:00"/>
    <s v="N"/>
  </r>
  <r>
    <s v="Ofsted Social Care Provider Webpage"/>
    <n v="2545082"/>
    <s v="Children's home"/>
    <d v="2019-09-05T00:00:00"/>
    <s v="Active"/>
    <s v="REDACTED"/>
    <s v="North West"/>
    <s v="North West"/>
    <s v="Cheshire West and Chester"/>
    <s v="Tatton"/>
    <s v="Private"/>
    <d v="2020-10-22T00:00:00"/>
    <d v="2020-11-18T00:00:00"/>
    <s v="N"/>
  </r>
  <r>
    <s v="Ofsted Social Care Provider Webpage"/>
    <s v="SC443337"/>
    <s v="Children's home"/>
    <d v="2012-02-10T00:00:00"/>
    <s v="Active"/>
    <s v="REDACTED"/>
    <s v="London"/>
    <s v="London"/>
    <s v="Hammersmith and Fulham"/>
    <s v="Hammersmith"/>
    <s v="Local Authority"/>
    <d v="2020-10-22T00:00:00"/>
    <d v="2020-11-27T00:00:00"/>
    <s v="N"/>
  </r>
  <r>
    <s v="Ofsted Social Care Provider Webpage"/>
    <s v="SC465120"/>
    <s v="Children's home"/>
    <d v="2014-03-27T00:00:00"/>
    <s v="Active"/>
    <s v="REDACTED"/>
    <s v="South West"/>
    <s v="South West"/>
    <s v="Devon"/>
    <s v="Tiverton and Honiton"/>
    <s v="Private"/>
    <d v="2020-09-23T00:00:00"/>
    <d v="2020-10-30T00:00:00"/>
    <s v="N"/>
  </r>
  <r>
    <s v="Ofsted Social Care Provider Webpage"/>
    <n v="2541440"/>
    <s v="Children's home"/>
    <d v="2020-02-10T00:00:00"/>
    <s v="Active"/>
    <s v="REDACTED"/>
    <s v="West Midlands"/>
    <s v="West Midlands"/>
    <s v="Staffordshire"/>
    <s v="Burton"/>
    <s v="Private"/>
    <d v="2020-09-23T00:00:00"/>
    <d v="2020-11-05T00:00:00"/>
    <s v="N"/>
  </r>
  <r>
    <s v="Ofsted Social Care Provider Webpage"/>
    <s v="SC392492"/>
    <s v="Children's home"/>
    <d v="2009-04-24T00:00:00"/>
    <s v="Active"/>
    <s v="REDACTED"/>
    <s v="West Midlands"/>
    <s v="West Midlands"/>
    <s v="Birmingham"/>
    <s v="Birmingham, Hall Green"/>
    <s v="Private"/>
    <d v="2020-09-23T00:00:00"/>
    <d v="2020-10-22T00:00:00"/>
    <s v="N"/>
  </r>
  <r>
    <s v="Ofsted Social Care Provider Webpage"/>
    <s v="SC033127"/>
    <s v="Children's home"/>
    <d v="2004-01-20T00:00:00"/>
    <s v="Active"/>
    <s v="REDACTED"/>
    <s v="North East, Yorkshire and the Humber"/>
    <s v="Yorkshire and The Humber"/>
    <s v="North East Lincolnshire"/>
    <s v="Great Grimsby"/>
    <s v="Local Authority"/>
    <d v="2020-09-23T00:00:00"/>
    <d v="2020-11-12T00:00:00"/>
    <s v="N"/>
  </r>
  <r>
    <s v="Ofsted Social Care Provider Webpage"/>
    <s v="SC429778"/>
    <s v="Children's home"/>
    <d v="2011-08-15T00:00:00"/>
    <s v="Active"/>
    <s v="REDACTED"/>
    <s v="North East, Yorkshire and the Humber"/>
    <s v="North East"/>
    <s v="Stockton-on-Tees"/>
    <s v="Stockton North"/>
    <s v="Private"/>
    <d v="2020-09-23T00:00:00"/>
    <d v="2020-11-09T00:00:00"/>
    <s v="N"/>
  </r>
  <r>
    <s v="Ofsted Social Care Provider Webpage"/>
    <n v="2586067"/>
    <s v="Children's home"/>
    <d v="2020-04-20T00:00:00"/>
    <s v="Active"/>
    <s v="REDACTED"/>
    <s v="West Midlands"/>
    <s v="West Midlands"/>
    <s v="Warwickshire"/>
    <s v="Nuneaton"/>
    <s v="Private"/>
    <d v="2020-09-23T00:00:00"/>
    <d v="2020-10-22T00:00:00"/>
    <s v="N"/>
  </r>
  <r>
    <s v="Ofsted Social Care Provider Webpage"/>
    <n v="1271213"/>
    <s v="Children's home"/>
    <d v="2018-05-18T00:00:00"/>
    <s v="Active"/>
    <s v="REDACTED"/>
    <s v="North West"/>
    <s v="North West"/>
    <s v="Lancashire"/>
    <s v="Burnley"/>
    <s v="Private"/>
    <d v="2020-09-23T00:00:00"/>
    <d v="2020-11-17T00:00:00"/>
    <s v="Y"/>
  </r>
  <r>
    <s v="Ofsted Social Care Provider Webpage"/>
    <n v="1277449"/>
    <s v="Children's home"/>
    <d v="2018-10-24T00:00:00"/>
    <s v="Suspended"/>
    <s v="REDACTED"/>
    <s v="West Midlands"/>
    <s v="West Midlands"/>
    <s v="Wolverhampton"/>
    <s v="Wolverhampton South West"/>
    <s v="Private"/>
    <d v="2020-09-23T00:00:00"/>
    <d v="2020-11-16T00:00:00"/>
    <s v="Y"/>
  </r>
  <r>
    <s v="Ofsted Social Care Provider Webpage"/>
    <s v="SC478315"/>
    <s v="Children's home"/>
    <d v="2014-06-09T00:00:00"/>
    <s v="Active"/>
    <s v="REDACTED"/>
    <s v="South East"/>
    <s v="South East"/>
    <s v="Hampshire"/>
    <s v="Eastleigh"/>
    <s v="Private"/>
    <d v="2020-09-23T00:00:00"/>
    <d v="2020-12-08T00:00:00"/>
    <s v="Y"/>
  </r>
  <r>
    <s v="Ofsted Social Care Provider Webpage"/>
    <s v="SC064858"/>
    <s v="Children's home"/>
    <d v="2005-06-24T00:00:00"/>
    <s v="Active"/>
    <s v="REDACTED"/>
    <s v="North West"/>
    <s v="North West"/>
    <s v="Salford"/>
    <s v="Salford and Eccles"/>
    <s v="Local Authority"/>
    <d v="2020-09-23T00:00:00"/>
    <d v="2020-10-28T00:00:00"/>
    <s v="N"/>
  </r>
  <r>
    <s v="Ofsted Social Care Provider Webpage"/>
    <n v="2490994"/>
    <s v="Children's home"/>
    <d v="2019-02-13T00:00:00"/>
    <s v="Active"/>
    <s v="REDACTED"/>
    <s v="East Midlands"/>
    <s v="East Midlands"/>
    <s v="Nottinghamshire"/>
    <s v="Broxtowe"/>
    <s v="Private"/>
    <d v="2020-09-23T00:00:00"/>
    <d v="2020-11-11T00:00:00"/>
    <s v="N"/>
  </r>
  <r>
    <s v="Ofsted Social Care Provider Webpage"/>
    <n v="1240883"/>
    <s v="Children's home"/>
    <d v="2016-08-18T00:00:00"/>
    <s v="Active"/>
    <s v="REDACTED"/>
    <s v="North West"/>
    <s v="North West"/>
    <s v="Lancashire"/>
    <s v="Chorley"/>
    <s v="Private"/>
    <d v="2020-09-23T00:00:00"/>
    <d v="2020-11-04T00:00:00"/>
    <s v="N"/>
  </r>
  <r>
    <s v="Ofsted Social Care Provider Webpage"/>
    <s v="SC456347"/>
    <s v="Children's home"/>
    <d v="2013-02-27T00:00:00"/>
    <s v="Active"/>
    <s v="REDACTED"/>
    <s v="East Midlands"/>
    <s v="East Midlands"/>
    <s v="Lincolnshire"/>
    <s v="South Holland and The Deepings"/>
    <s v="Private"/>
    <d v="2020-09-23T00:00:00"/>
    <d v="2020-10-19T00:00:00"/>
    <s v="N"/>
  </r>
  <r>
    <s v="Ofsted Social Care Provider Webpage"/>
    <s v="SC409851"/>
    <s v="Children's home"/>
    <d v="2010-06-07T00:00:00"/>
    <s v="Active"/>
    <s v="REDACTED"/>
    <s v="London"/>
    <s v="London"/>
    <s v="Hounslow"/>
    <s v="Brentford and Isleworth"/>
    <s v="Private"/>
    <d v="2020-09-23T00:00:00"/>
    <d v="2020-10-23T00:00:00"/>
    <s v="N"/>
  </r>
  <r>
    <s v="Ofsted Social Care Provider Webpage"/>
    <s v="SC461450"/>
    <s v="Children's home"/>
    <d v="2013-05-17T00:00:00"/>
    <s v="Active"/>
    <s v="REDACTED"/>
    <s v="North East, Yorkshire and the Humber"/>
    <s v="Yorkshire and The Humber"/>
    <s v="Kirklees"/>
    <s v="Huddersfield"/>
    <s v="Private"/>
    <d v="2020-09-23T00:00:00"/>
    <d v="2020-10-26T00:00:00"/>
    <s v="N"/>
  </r>
  <r>
    <s v="Ofsted Social Care Provider Webpage"/>
    <s v="SC012597"/>
    <s v="Residential Special School"/>
    <d v="2002-02-14T00:00:00"/>
    <s v="Active"/>
    <s v="St Catherine's School"/>
    <s v="South East"/>
    <s v="South East"/>
    <s v="Isle of Wight"/>
    <s v="Isle of Wight"/>
    <s v="Voluntary"/>
    <d v="2020-09-24T00:00:00"/>
    <d v="2020-11-16T00:00:00"/>
    <s v="N"/>
  </r>
  <r>
    <s v="Ofsted Social Care Provider Webpage"/>
    <s v="SC474782"/>
    <s v="Children's home"/>
    <d v="2014-02-05T00:00:00"/>
    <s v="Active"/>
    <s v="REDACTED"/>
    <s v="West Midlands"/>
    <s v="West Midlands"/>
    <s v="Staffordshire"/>
    <s v="South Staffordshire"/>
    <s v="Private"/>
    <d v="2020-09-24T00:00:00"/>
    <d v="2020-11-12T00:00:00"/>
    <s v="N"/>
  </r>
  <r>
    <s v="Ofsted Social Care Provider Webpage"/>
    <s v="SC386810"/>
    <s v="Children's home"/>
    <d v="2009-01-13T00:00:00"/>
    <s v="Active"/>
    <s v="REDACTED"/>
    <s v="North West"/>
    <s v="North West"/>
    <s v="St Helens"/>
    <s v="St Helens South and Whiston"/>
    <s v="Private"/>
    <d v="2020-09-24T00:00:00"/>
    <d v="2020-10-30T00:00:00"/>
    <s v="N"/>
  </r>
  <r>
    <s v="Ofsted Social Care Provider Webpage"/>
    <s v="SC057718"/>
    <s v="Children's home"/>
    <d v="2004-06-14T00:00:00"/>
    <s v="Active"/>
    <s v="REDACTED"/>
    <s v="North West"/>
    <s v="North West"/>
    <s v="Bolton"/>
    <s v="Bolton West"/>
    <s v="Voluntary"/>
    <d v="2020-09-24T00:00:00"/>
    <d v="2020-11-12T00:00:00"/>
    <s v="N"/>
  </r>
  <r>
    <s v="Ofsted Social Care Provider Webpage"/>
    <s v="SC003895"/>
    <s v="Residential Special School"/>
    <d v="2002-02-13T00:00:00"/>
    <s v="Active"/>
    <s v="Orchard Manor School"/>
    <s v="South West"/>
    <s v="South West"/>
    <s v="Devon"/>
    <s v="Newton Abbot"/>
    <s v="Local Authority"/>
    <d v="2020-09-24T00:00:00"/>
    <d v="2020-11-09T00:00:00"/>
    <s v="N"/>
  </r>
  <r>
    <s v="Ofsted Social Care Provider Webpage"/>
    <s v="SC033014"/>
    <s v="Residential Special School"/>
    <d v="2002-07-10T00:00:00"/>
    <s v="Active"/>
    <s v="North Hill House"/>
    <s v="South West"/>
    <s v="South West"/>
    <s v="Somerset"/>
    <s v="Somerton and Frome"/>
    <s v="Private"/>
    <d v="2020-09-24T00:00:00"/>
    <d v="2020-10-16T00:00:00"/>
    <s v="N"/>
  </r>
  <r>
    <s v="Ofsted Social Care Provider Webpage"/>
    <n v="2567404"/>
    <s v="Independent Fostering Agency"/>
    <d v="2019-11-27T00:00:00"/>
    <s v="Active"/>
    <s v="Star Fostering Ltd"/>
    <s v="East Midlands"/>
    <s v="East Midlands"/>
    <s v="Nottinghamshire"/>
    <s v="Newark"/>
    <s v="Private"/>
    <d v="2020-11-24T00:00:00"/>
    <d v="2020-12-29T00:00:00"/>
    <s v="N"/>
  </r>
  <r>
    <s v="Ofsted Social Care Provider Webpage"/>
    <s v="SC456174"/>
    <s v="Independent Fostering Agency"/>
    <d v="2012-11-27T00:00:00"/>
    <s v="Active"/>
    <s v="Chrysalis Consortium Ltd"/>
    <s v="North East, Yorkshire and the Humber"/>
    <s v="Yorkshire and The Humber"/>
    <s v="Sheffield"/>
    <s v="Sheffield Central"/>
    <s v="Private"/>
    <d v="2020-11-24T00:00:00"/>
    <d v="2021-01-07T00:00:00"/>
    <s v="N"/>
  </r>
  <r>
    <s v="Ofsted Social Care Provider Webpage"/>
    <n v="2502331"/>
    <s v="Independent Fostering Agency"/>
    <d v="2019-01-31T00:00:00"/>
    <s v="Active"/>
    <s v="Brighter Futures For Children: Fostering Service"/>
    <s v="South East"/>
    <s v="South East"/>
    <s v="Reading"/>
    <s v="Reading East"/>
    <s v="Voluntary"/>
    <d v="2020-11-24T00:00:00"/>
    <d v="2021-01-21T00:00:00"/>
    <s v="N"/>
  </r>
  <r>
    <s v="Ofsted Social Care Provider Webpage"/>
    <n v="2509056"/>
    <s v="Independent Fostering Agency"/>
    <d v="2019-11-19T00:00:00"/>
    <s v="Active"/>
    <s v="Evergreen Foster Care Service"/>
    <s v="West Midlands"/>
    <s v="West Midlands"/>
    <s v="Staffordshire"/>
    <s v="Stoke-on-Trent North"/>
    <s v="Private"/>
    <d v="2020-11-24T00:00:00"/>
    <d v="2020-12-29T00:00:00"/>
    <s v="N"/>
  </r>
  <r>
    <s v="Ofsted Social Care Provider Webpage"/>
    <s v="SC033457"/>
    <s v="Secure children's home"/>
    <d v="2003-07-10T00:00:00"/>
    <s v="Active"/>
    <s v="REDACTED"/>
    <s v="North East, Yorkshire and the Humber"/>
    <s v="Yorkshire and The Humber"/>
    <s v="Leeds"/>
    <s v="Leeds North West"/>
    <s v="Local Authority"/>
    <d v="2020-11-24T00:00:00"/>
    <d v="2020-12-29T00:00:00"/>
    <s v="N"/>
  </r>
  <r>
    <s v="Ofsted Social Care Provider Webpage"/>
    <s v="SC035026"/>
    <s v="Independent Fostering Agency"/>
    <d v="2003-08-05T00:00:00"/>
    <s v="Active"/>
    <s v="Sunbeam Fostering Agency"/>
    <s v="South East"/>
    <s v="South East"/>
    <s v="Slough"/>
    <s v="Slough"/>
    <s v="Private"/>
    <d v="2020-11-24T00:00:00"/>
    <d v="2021-02-01T00:00:00"/>
    <s v="N"/>
  </r>
  <r>
    <s v="Ofsted Social Care Provider Webpage"/>
    <n v="2541624"/>
    <s v="Independent Fostering Agency"/>
    <d v="2019-10-03T00:00:00"/>
    <s v="Active"/>
    <s v="Young People At Heart"/>
    <s v="West Midlands"/>
    <s v="West Midlands"/>
    <s v="Herefordshire"/>
    <s v="Hereford and South Herefordshire"/>
    <s v="Private"/>
    <d v="2020-11-24T00:00:00"/>
    <d v="2020-12-29T00:00:00"/>
    <s v="N"/>
  </r>
  <r>
    <s v="Ofsted Social Care Provider Webpage"/>
    <n v="2537401"/>
    <s v="Independent Fostering Agency"/>
    <d v="2019-08-01T00:00:00"/>
    <s v="Active"/>
    <s v="Infinity Foster Care"/>
    <s v="London"/>
    <s v="London"/>
    <s v="Redbridge"/>
    <s v="Ilford South"/>
    <s v="Private"/>
    <d v="2020-11-24T00:00:00"/>
    <d v="2020-12-21T00:00:00"/>
    <s v="N"/>
  </r>
  <r>
    <s v="Ofsted Social Care Provider Webpage"/>
    <n v="2551006"/>
    <s v="Independent Fostering Agency"/>
    <d v="2019-12-27T00:00:00"/>
    <s v="Active"/>
    <s v="Flowers Fostering Ltd"/>
    <s v="East of England"/>
    <s v="East of England"/>
    <s v="Essex"/>
    <s v="Epping Forest"/>
    <s v="Voluntary"/>
    <d v="2020-11-24T00:00:00"/>
    <d v="2020-12-29T00:00:00"/>
    <s v="N"/>
  </r>
  <r>
    <s v="Ofsted Social Care Provider Webpage"/>
    <n v="2545027"/>
    <s v="Children's home"/>
    <d v="2019-09-20T00:00:00"/>
    <s v="Active"/>
    <s v="REDACTED"/>
    <s v="East Midlands"/>
    <s v="East Midlands"/>
    <s v="Northamptonshire"/>
    <s v="Northampton North"/>
    <s v="Private"/>
    <d v="2020-10-26T00:00:00"/>
    <d v="2020-11-23T00:00:00"/>
    <s v="N"/>
  </r>
  <r>
    <s v="Ofsted Social Care Provider Webpage"/>
    <s v="SC437825"/>
    <s v="Children's home"/>
    <d v="2012-01-03T00:00:00"/>
    <s v="Active"/>
    <s v="REDACTED"/>
    <s v="East Midlands"/>
    <s v="East Midlands"/>
    <s v="Leicestershire"/>
    <s v="Harborough"/>
    <s v="Private"/>
    <d v="2020-10-26T00:00:00"/>
    <d v="2020-12-11T00:00:00"/>
    <s v="N"/>
  </r>
  <r>
    <s v="Ofsted Social Care Provider Webpage"/>
    <n v="2561020"/>
    <s v="Children's home"/>
    <d v="2019-11-14T00:00:00"/>
    <s v="Active"/>
    <s v="REDACTED"/>
    <s v="East Midlands"/>
    <s v="East Midlands"/>
    <s v="Derby"/>
    <s v="Derby North"/>
    <s v="Private"/>
    <d v="2020-10-26T00:00:00"/>
    <d v="2020-12-09T00:00:00"/>
    <s v="Y"/>
  </r>
  <r>
    <s v="Ofsted Social Care Provider Webpage"/>
    <n v="1255095"/>
    <s v="Children's home"/>
    <d v="2017-07-04T00:00:00"/>
    <s v="Active"/>
    <s v="REDACTED"/>
    <s v="West Midlands"/>
    <s v="West Midlands"/>
    <s v="Staffordshire"/>
    <s v="Cannock Chase"/>
    <s v="Private"/>
    <d v="2020-10-26T00:00:00"/>
    <d v="2020-12-03T00:00:00"/>
    <s v="N"/>
  </r>
  <r>
    <s v="Ofsted Social Care Provider Webpage"/>
    <s v="SC031479"/>
    <s v="Children's home"/>
    <d v="2003-03-28T00:00:00"/>
    <s v="Active"/>
    <s v="REDACTED"/>
    <s v="London"/>
    <s v="London"/>
    <s v="Southwark"/>
    <s v="Bermondsey and Old Southwark"/>
    <s v="Local Authority"/>
    <d v="2020-10-27T00:00:00"/>
    <d v="2020-11-26T00:00:00"/>
    <s v="N"/>
  </r>
  <r>
    <s v="Ofsted Social Care Provider Webpage"/>
    <s v="SC065261"/>
    <s v="Residential special school (registered as a children's home)"/>
    <d v="2005-10-26T00:00:00"/>
    <s v="Active"/>
    <s v="REDACTED"/>
    <s v="South West"/>
    <s v="South West"/>
    <s v="Dorset"/>
    <s v="South Dorset"/>
    <s v="Private"/>
    <d v="2020-10-27T00:00:00"/>
    <d v="2020-11-24T00:00:00"/>
    <s v="N"/>
  </r>
  <r>
    <s v="Ofsted Social Care Provider Webpage"/>
    <s v="SC030367"/>
    <s v="Residential special school (registered as a children's home)"/>
    <d v="2003-10-01T00:00:00"/>
    <s v="Active"/>
    <s v="REDACTED"/>
    <s v="South West"/>
    <s v="South West"/>
    <s v="Gloucestershire"/>
    <s v="The Cotswolds"/>
    <s v="Voluntary"/>
    <d v="2020-10-27T00:00:00"/>
    <d v="2020-11-26T00:00:00"/>
    <s v="N"/>
  </r>
  <r>
    <s v="Ofsted Social Care Provider Webpage"/>
    <n v="1222089"/>
    <s v="Children's home"/>
    <d v="2016-02-17T00:00:00"/>
    <s v="Active"/>
    <s v="REDACTED"/>
    <s v="West Midlands"/>
    <s v="West Midlands"/>
    <s v="Stoke-on-Trent"/>
    <s v="Stoke-on-Trent South"/>
    <s v="Private"/>
    <d v="2020-10-27T00:00:00"/>
    <d v="2020-12-02T00:00:00"/>
    <s v="N"/>
  </r>
  <r>
    <s v="Ofsted Social Care Provider Webpage"/>
    <n v="1228522"/>
    <s v="Children's home"/>
    <d v="2016-01-08T00:00:00"/>
    <s v="Active"/>
    <s v="REDACTED"/>
    <s v="North West"/>
    <s v="North West"/>
    <s v="Lancashire"/>
    <s v="Morecambe and Lunesdale"/>
    <s v="Private"/>
    <d v="2020-10-27T00:00:00"/>
    <d v="2020-11-26T00:00:00"/>
    <s v="N"/>
  </r>
  <r>
    <s v="Ofsted Social Care Provider Webpage"/>
    <s v="SC008269"/>
    <s v="Children's home"/>
    <d v="2000-12-22T00:00:00"/>
    <s v="Active"/>
    <s v="REDACTED"/>
    <s v="West Midlands"/>
    <s v="West Midlands"/>
    <s v="Stoke-on-Trent"/>
    <s v="Stoke-on-Trent Central"/>
    <s v="Private"/>
    <d v="2020-10-27T00:00:00"/>
    <d v="2020-12-03T00:00:00"/>
    <s v="N"/>
  </r>
  <r>
    <s v="Ofsted Social Care Provider Webpage"/>
    <n v="1255747"/>
    <s v="Children's home"/>
    <d v="2017-05-24T00:00:00"/>
    <s v="Active"/>
    <s v="REDACTED"/>
    <s v="East Midlands"/>
    <s v="East Midlands"/>
    <s v="Northamptonshire"/>
    <s v="South Northamptonshire"/>
    <s v="Private"/>
    <d v="2020-10-27T00:00:00"/>
    <d v="2020-11-23T00:00:00"/>
    <s v="N"/>
  </r>
  <r>
    <s v="Ofsted Social Care Provider Webpage"/>
    <n v="2517429"/>
    <s v="Children's home"/>
    <d v="2019-09-21T00:00:00"/>
    <s v="Active"/>
    <s v="REDACTED"/>
    <s v="North West"/>
    <s v="North West"/>
    <s v="Blackpool"/>
    <s v="Blackpool South"/>
    <s v="Private"/>
    <d v="2020-10-27T00:00:00"/>
    <d v="2020-11-20T00:00:00"/>
    <s v="N"/>
  </r>
  <r>
    <s v="Ofsted Social Care Provider Webpage"/>
    <s v="SC403462"/>
    <s v="Children's home"/>
    <d v="2009-12-08T00:00:00"/>
    <s v="Active"/>
    <s v="REDACTED"/>
    <s v="North West"/>
    <s v="North West"/>
    <s v="Lancashire"/>
    <s v="Pendle"/>
    <s v="Private"/>
    <d v="2020-10-27T00:00:00"/>
    <d v="2020-11-30T00:00:00"/>
    <s v="N"/>
  </r>
  <r>
    <s v="Ofsted Social Care Provider Webpage"/>
    <s v="SC025417"/>
    <s v="Children's home"/>
    <d v="2001-06-29T00:00:00"/>
    <s v="Active"/>
    <s v="REDACTED"/>
    <s v="North West"/>
    <s v="North West"/>
    <s v="Liverpool"/>
    <s v="Liverpool, Wavertree"/>
    <s v="Private"/>
    <d v="2020-10-27T00:00:00"/>
    <d v="2020-12-11T00:00:00"/>
    <s v="N"/>
  </r>
  <r>
    <s v="Ofsted Social Care Provider Webpage"/>
    <s v="SC014650"/>
    <s v="Children's home"/>
    <d v="2001-07-01T00:00:00"/>
    <s v="Active"/>
    <s v="REDACTED"/>
    <s v="South East"/>
    <s v="South East"/>
    <s v="West Sussex"/>
    <s v="Arundel and South Downs"/>
    <s v="Private"/>
    <d v="2020-10-27T00:00:00"/>
    <d v="2020-12-18T00:00:00"/>
    <s v="N"/>
  </r>
  <r>
    <s v="Ofsted Social Care Provider Webpage"/>
    <s v="SC448997"/>
    <s v="Children's home"/>
    <d v="2012-06-06T00:00:00"/>
    <s v="Active"/>
    <s v="REDACTED"/>
    <s v="South East"/>
    <s v="South East"/>
    <s v="Kent"/>
    <s v="Dover"/>
    <s v="Private"/>
    <d v="2020-10-27T00:00:00"/>
    <d v="2020-12-30T00:00:00"/>
    <s v="N"/>
  </r>
  <r>
    <s v="Ofsted Social Care Provider Webpage"/>
    <s v="SC066796"/>
    <s v="Children's home"/>
    <d v="2006-02-06T00:00:00"/>
    <s v="Active"/>
    <s v="REDACTED"/>
    <s v="North East, Yorkshire and the Humber"/>
    <s v="Yorkshire and The Humber"/>
    <s v="Wakefield"/>
    <s v="Wakefield"/>
    <s v="Local Authority"/>
    <d v="2020-10-27T00:00:00"/>
    <d v="2020-11-25T00:00:00"/>
    <s v="N"/>
  </r>
  <r>
    <s v="Ofsted Social Care Provider Webpage"/>
    <s v="SC066912"/>
    <s v="Children's home"/>
    <d v="2006-05-25T00:00:00"/>
    <s v="Active"/>
    <s v="REDACTED"/>
    <s v="West Midlands"/>
    <s v="West Midlands"/>
    <s v="Staffordshire"/>
    <s v="Stoke-on-Trent North"/>
    <s v="Private"/>
    <d v="2020-10-27T00:00:00"/>
    <d v="2020-11-20T00:00:00"/>
    <s v="N"/>
  </r>
  <r>
    <s v="Ofsted Social Care Provider Webpage"/>
    <n v="1240803"/>
    <s v="Children's home"/>
    <d v="2016-09-12T00:00:00"/>
    <s v="Active"/>
    <s v="REDACTED"/>
    <s v="North West"/>
    <s v="North West"/>
    <s v="Blackpool"/>
    <s v="Blackpool North and Cleveleys"/>
    <s v="Private"/>
    <d v="2020-10-27T00:00:00"/>
    <d v="2020-12-01T00:00:00"/>
    <s v="N"/>
  </r>
  <r>
    <s v="Ofsted Social Care Provider Webpage"/>
    <s v="SC489516"/>
    <s v="Children's home"/>
    <d v="2015-05-27T00:00:00"/>
    <s v="Active"/>
    <s v="REDACTED"/>
    <s v="East Midlands"/>
    <s v="East Midlands"/>
    <s v="Northamptonshire"/>
    <s v="Daventry"/>
    <s v="Private"/>
    <d v="2020-10-27T00:00:00"/>
    <d v="2020-11-19T00:00:00"/>
    <s v="N"/>
  </r>
  <r>
    <s v="Ofsted Social Care Provider Webpage"/>
    <s v="SC465475"/>
    <s v="Children's home"/>
    <d v="2013-07-26T00:00:00"/>
    <s v="Active"/>
    <s v="REDACTED"/>
    <s v="North East, Yorkshire and the Humber"/>
    <s v="North East"/>
    <s v="Newcastle upon Tyne"/>
    <s v="Newcastle upon Tyne Central"/>
    <s v="Private"/>
    <d v="2020-10-27T00:00:00"/>
    <d v="2020-11-19T00:00:00"/>
    <s v="N"/>
  </r>
  <r>
    <s v="Ofsted Social Care Provider Webpage"/>
    <s v="SC407430"/>
    <s v="Children's home"/>
    <d v="2010-04-22T00:00:00"/>
    <s v="Active"/>
    <s v="REDACTED"/>
    <s v="South West"/>
    <s v="South West"/>
    <s v="Wiltshire"/>
    <s v="South West Wiltshire"/>
    <s v="Private"/>
    <d v="2020-10-27T00:00:00"/>
    <d v="2020-12-02T00:00:00"/>
    <s v="N"/>
  </r>
  <r>
    <s v="Ofsted Social Care Provider Webpage"/>
    <s v="SC060118"/>
    <s v="Children's home"/>
    <d v="2004-03-24T00:00:00"/>
    <s v="Active"/>
    <s v="REDACTED"/>
    <s v="South West"/>
    <s v="South West"/>
    <s v="Wiltshire"/>
    <s v="Salisbury"/>
    <s v="Private"/>
    <d v="2020-10-27T00:00:00"/>
    <d v="2020-11-19T00:00:00"/>
    <s v="N"/>
  </r>
  <r>
    <s v="Ofsted Social Care Provider Webpage"/>
    <s v="SC020193"/>
    <s v="Residential special school (registered as a children's home)"/>
    <d v="2001-01-29T00:00:00"/>
    <s v="Active"/>
    <s v="REDACTED"/>
    <s v="East Midlands"/>
    <s v="East Midlands"/>
    <s v="Derbyshire"/>
    <s v="South Derbyshire"/>
    <s v="Private"/>
    <d v="2020-10-27T00:00:00"/>
    <d v="2020-11-19T00:00:00"/>
    <s v="N"/>
  </r>
  <r>
    <s v="Ofsted Social Care Provider Webpage"/>
    <s v="SC457501"/>
    <s v="Children's home"/>
    <d v="2013-03-14T00:00:00"/>
    <s v="Active"/>
    <s v="REDACTED"/>
    <s v="South West"/>
    <s v="South West"/>
    <s v="Cornwall"/>
    <s v="South East Cornwall"/>
    <s v="Private"/>
    <d v="2020-10-27T00:00:00"/>
    <d v="2020-11-24T00:00:00"/>
    <s v="N"/>
  </r>
  <r>
    <s v="Ofsted Social Care Provider Webpage"/>
    <s v="SC020133"/>
    <s v="Children's home"/>
    <d v="1997-06-26T00:00:00"/>
    <s v="Active"/>
    <s v="REDACTED"/>
    <s v="East Midlands"/>
    <s v="East Midlands"/>
    <s v="Derbyshire"/>
    <s v="High Peak"/>
    <s v="Private"/>
    <d v="2020-10-27T00:00:00"/>
    <d v="2020-11-27T00:00:00"/>
    <s v="N"/>
  </r>
  <r>
    <s v="Ofsted Social Care Provider Webpage"/>
    <s v="SC001016"/>
    <s v="Children's home"/>
    <d v="2001-02-21T00:00:00"/>
    <s v="Active"/>
    <s v="REDACTED"/>
    <s v="North East, Yorkshire and the Humber"/>
    <s v="Yorkshire and The Humber"/>
    <s v="Calderdale"/>
    <s v="Halifax"/>
    <s v="Private"/>
    <d v="2020-10-27T00:00:00"/>
    <d v="2020-12-03T00:00:00"/>
    <s v="N"/>
  </r>
  <r>
    <s v="Ofsted Social Care Provider Webpage"/>
    <s v="SC472977"/>
    <s v="Children's home"/>
    <d v="2014-01-30T00:00:00"/>
    <s v="Active"/>
    <s v="REDACTED"/>
    <s v="North East, Yorkshire and the Humber"/>
    <s v="Yorkshire and The Humber"/>
    <s v="Bradford"/>
    <s v="Bradford East"/>
    <s v="Local Authority"/>
    <d v="2020-10-27T00:00:00"/>
    <d v="2021-01-27T00:00:00"/>
    <s v="Y"/>
  </r>
  <r>
    <s v="Ofsted Social Care Provider Webpage"/>
    <s v="SC475723"/>
    <s v="Children's home"/>
    <d v="2014-12-18T00:00:00"/>
    <s v="Active"/>
    <s v="REDACTED"/>
    <s v="North West"/>
    <s v="North West"/>
    <s v="Lancashire"/>
    <s v="Chorley"/>
    <s v="Private"/>
    <d v="2020-10-27T00:00:00"/>
    <d v="2020-12-01T00:00:00"/>
    <s v="N"/>
  </r>
  <r>
    <s v="Ofsted Social Care Provider Webpage"/>
    <n v="2519260"/>
    <s v="Children's home"/>
    <d v="2019-05-15T00:00:00"/>
    <s v="Active"/>
    <s v="REDACTED"/>
    <s v="South West"/>
    <s v="South West"/>
    <s v="Wiltshire"/>
    <s v="Devizes"/>
    <s v="Private"/>
    <d v="2020-09-28T00:00:00"/>
    <d v="2020-11-06T00:00:00"/>
    <s v="N"/>
  </r>
  <r>
    <s v="Ofsted Social Care Provider Webpage"/>
    <s v="SC419229"/>
    <s v="Children's home"/>
    <d v="2010-11-02T00:00:00"/>
    <s v="Active"/>
    <s v="REDACTED"/>
    <s v="West Midlands"/>
    <s v="West Midlands"/>
    <s v="Birmingham"/>
    <s v="Birmingham, Erdington"/>
    <s v="Private"/>
    <d v="2020-09-28T00:00:00"/>
    <d v="2020-10-23T00:00:00"/>
    <s v="N"/>
  </r>
  <r>
    <s v="Ofsted Social Care Provider Webpage"/>
    <s v="SC412476"/>
    <s v="Children's home"/>
    <d v="2010-09-03T00:00:00"/>
    <s v="Active"/>
    <s v="REDACTED"/>
    <s v="South East"/>
    <s v="South East"/>
    <s v="Hampshire"/>
    <s v="Meon Valley"/>
    <s v="Private"/>
    <d v="2020-09-28T00:00:00"/>
    <d v="2020-11-12T00:00:00"/>
    <s v="N"/>
  </r>
  <r>
    <s v="Ofsted Social Care Provider Webpage"/>
    <n v="2494881"/>
    <s v="Children's home"/>
    <d v="2019-01-11T00:00:00"/>
    <s v="Active"/>
    <s v="REDACTED"/>
    <s v="West Midlands"/>
    <s v="West Midlands"/>
    <s v="Wolverhampton"/>
    <s v="Wolverhampton South East"/>
    <s v="Private"/>
    <d v="2020-09-28T00:00:00"/>
    <d v="2020-10-28T00:00:00"/>
    <s v="Y"/>
  </r>
  <r>
    <s v="Ofsted Social Care Provider Webpage"/>
    <s v="SC461781"/>
    <s v="Children's home"/>
    <d v="2013-05-21T00:00:00"/>
    <s v="Active"/>
    <s v="REDACTED"/>
    <s v="South East"/>
    <s v="South East"/>
    <s v="Hampshire"/>
    <s v="New Forest East"/>
    <s v="Private"/>
    <d v="2020-09-28T00:00:00"/>
    <d v="2020-11-09T00:00:00"/>
    <s v="N"/>
  </r>
  <r>
    <s v="Ofsted Social Care Provider Webpage"/>
    <s v="SC390156"/>
    <s v="Children's home"/>
    <d v="2009-06-30T00:00:00"/>
    <s v="Active"/>
    <s v="REDACTED"/>
    <s v="South East"/>
    <s v="South East"/>
    <s v="Kent"/>
    <s v="North Thanet"/>
    <s v="Private"/>
    <d v="2020-09-28T00:00:00"/>
    <d v="2020-11-03T00:00:00"/>
    <s v="N"/>
  </r>
  <r>
    <s v="Ofsted Social Care Provider Webpage"/>
    <n v="2490729"/>
    <s v="Children's home"/>
    <d v="2019-06-11T00:00:00"/>
    <s v="Active"/>
    <s v="REDACTED"/>
    <s v="West Midlands"/>
    <s v="West Midlands"/>
    <s v="Staffordshire"/>
    <s v="Stone"/>
    <s v="Private"/>
    <d v="2020-09-28T00:00:00"/>
    <d v="2020-11-09T00:00:00"/>
    <s v="N"/>
  </r>
  <r>
    <s v="Ofsted Social Care Provider Webpage"/>
    <s v="SC430002"/>
    <s v="Children's home"/>
    <d v="2011-06-21T00:00:00"/>
    <s v="Active"/>
    <s v="REDACTED"/>
    <s v="North East, Yorkshire and the Humber"/>
    <s v="Yorkshire and The Humber"/>
    <s v="North Yorkshire"/>
    <s v="Richmond (Yorks)"/>
    <s v="Private"/>
    <d v="2020-09-28T00:00:00"/>
    <d v="2020-11-12T00:00:00"/>
    <s v="Y"/>
  </r>
  <r>
    <s v="Ofsted Social Care Provider Webpage"/>
    <s v="SC035500"/>
    <s v="Secure children's home"/>
    <d v="2003-01-15T00:00:00"/>
    <s v="Active"/>
    <s v="REDACTED"/>
    <s v="South West"/>
    <s v="South West"/>
    <s v="South Gloucestershire"/>
    <s v="Kingswood"/>
    <s v="Local Authority"/>
    <d v="2020-09-28T00:00:00"/>
    <d v="2020-11-17T00:00:00"/>
    <s v="N"/>
  </r>
  <r>
    <s v="Ofsted Social Care Provider Webpage"/>
    <s v="SC456846"/>
    <s v="Children's home"/>
    <d v="2013-02-25T00:00:00"/>
    <s v="Active"/>
    <s v="REDACTED"/>
    <s v="East of England"/>
    <s v="East of England"/>
    <s v="Cambridgeshire"/>
    <s v="North East Cambridgeshire"/>
    <s v="Private"/>
    <d v="2020-09-28T00:00:00"/>
    <d v="2020-10-16T00:00:00"/>
    <s v="N"/>
  </r>
  <r>
    <s v="Ofsted Social Care Provider Webpage"/>
    <s v="SC008268"/>
    <s v="Children's home"/>
    <d v="2000-12-01T00:00:00"/>
    <s v="Active"/>
    <s v="REDACTED"/>
    <s v="West Midlands"/>
    <s v="West Midlands"/>
    <s v="Stoke-on-Trent"/>
    <s v="Stoke-on-Trent North"/>
    <s v="Private"/>
    <d v="2020-09-28T00:00:00"/>
    <d v="2020-11-16T00:00:00"/>
    <s v="N"/>
  </r>
  <r>
    <s v="Ofsted Social Care Provider Webpage"/>
    <n v="1257740"/>
    <s v="Children's home"/>
    <d v="2017-07-31T00:00:00"/>
    <s v="Active"/>
    <s v="REDACTED"/>
    <s v="West Midlands"/>
    <s v="West Midlands"/>
    <s v="Staffordshire"/>
    <s v="Burton"/>
    <s v="Private"/>
    <d v="2020-09-28T00:00:00"/>
    <d v="2020-11-13T00:00:00"/>
    <s v="N"/>
  </r>
  <r>
    <s v="Ofsted Social Care Provider Webpage"/>
    <n v="1257796"/>
    <s v="Children's home"/>
    <d v="2017-05-31T00:00:00"/>
    <s v="Active"/>
    <s v="REDACTED"/>
    <s v="East of England"/>
    <s v="East of England"/>
    <s v="Cambridgeshire"/>
    <s v="North East Cambridgeshire"/>
    <s v="Private"/>
    <d v="2020-09-28T00:00:00"/>
    <d v="2020-10-19T00:00:00"/>
    <s v="N"/>
  </r>
  <r>
    <s v="Ofsted Social Care Provider Webpage"/>
    <n v="2510328"/>
    <s v="Children's home"/>
    <d v="2019-04-30T00:00:00"/>
    <s v="Active"/>
    <s v="REDACTED"/>
    <s v="West Midlands"/>
    <s v="West Midlands"/>
    <s v="Birmingham"/>
    <s v="Birmingham, Perry Barr"/>
    <s v="Private"/>
    <d v="2020-10-28T00:00:00"/>
    <d v="2020-12-10T00:00:00"/>
    <s v="Y"/>
  </r>
  <r>
    <s v="Ofsted Social Care Provider Webpage"/>
    <n v="2580899"/>
    <s v="Children's home"/>
    <d v="2020-05-05T00:00:00"/>
    <s v="Active"/>
    <s v="REDACTED"/>
    <s v="North East, Yorkshire and the Humber"/>
    <s v="North East"/>
    <s v="Redcar and Cleveland"/>
    <s v="Redcar"/>
    <s v="Private"/>
    <d v="2020-10-28T00:00:00"/>
    <d v="2020-12-18T00:00:00"/>
    <s v="N"/>
  </r>
  <r>
    <s v="Ofsted Social Care Provider Webpage"/>
    <s v="SC062013"/>
    <s v="Children's home"/>
    <d v="2004-09-08T00:00:00"/>
    <s v="Active"/>
    <s v="REDACTED"/>
    <s v="North West"/>
    <s v="North West"/>
    <s v="Sefton"/>
    <s v="Southport"/>
    <s v="Private"/>
    <d v="2020-10-28T00:00:00"/>
    <d v="2020-11-30T00:00:00"/>
    <s v="N"/>
  </r>
  <r>
    <s v="Ofsted Social Care Provider Webpage"/>
    <s v="SC469761"/>
    <s v="Children's home"/>
    <d v="2013-10-20T00:00:00"/>
    <s v="Active"/>
    <s v="REDACTED"/>
    <s v="West Midlands"/>
    <s v="West Midlands"/>
    <s v="Telford and Wrekin"/>
    <s v="Telford"/>
    <s v="Private"/>
    <d v="2020-10-28T00:00:00"/>
    <d v="2020-12-08T00:00:00"/>
    <s v="N"/>
  </r>
  <r>
    <s v="Ofsted Social Care Provider Webpage"/>
    <n v="2550622"/>
    <s v="Children's home"/>
    <d v="2020-06-01T00:00:00"/>
    <s v="Active"/>
    <s v="REDACTED"/>
    <s v="North West"/>
    <s v="North West"/>
    <s v="Oldham"/>
    <s v="Oldham East and Saddleworth"/>
    <s v="Private"/>
    <d v="2020-10-28T00:00:00"/>
    <d v="2020-12-08T00:00:00"/>
    <s v="Y"/>
  </r>
  <r>
    <s v="Ofsted Social Care Provider Webpage"/>
    <n v="1263126"/>
    <s v="Children's home"/>
    <d v="2017-08-04T00:00:00"/>
    <s v="Active"/>
    <s v="REDACTED"/>
    <s v="North West"/>
    <s v="North West"/>
    <s v="Cumbria"/>
    <s v="Carlisle"/>
    <s v="Private"/>
    <d v="2020-10-28T00:00:00"/>
    <d v="2020-11-30T00:00:00"/>
    <s v="N"/>
  </r>
  <r>
    <s v="Ofsted Social Care Provider Webpage"/>
    <n v="1257182"/>
    <s v="Children's home"/>
    <d v="2017-08-24T00:00:00"/>
    <s v="Active"/>
    <s v="REDACTED"/>
    <s v="London"/>
    <s v="London"/>
    <s v="Barnet"/>
    <s v="Hendon"/>
    <s v="Private"/>
    <d v="2020-10-28T00:00:00"/>
    <d v="2020-12-02T00:00:00"/>
    <s v="N"/>
  </r>
  <r>
    <s v="Ofsted Social Care Provider Webpage"/>
    <n v="1271607"/>
    <s v="Children's home"/>
    <d v="2018-05-18T00:00:00"/>
    <s v="Active"/>
    <s v="REDACTED"/>
    <s v="West Midlands"/>
    <s v="West Midlands"/>
    <s v="Staffordshire"/>
    <s v="Lichfield"/>
    <s v="Private"/>
    <d v="2020-10-28T00:00:00"/>
    <d v="2020-11-19T00:00:00"/>
    <s v="N"/>
  </r>
  <r>
    <s v="Ofsted Social Care Provider Webpage"/>
    <s v="SC456729"/>
    <s v="Children's home"/>
    <d v="2013-02-14T00:00:00"/>
    <s v="Active"/>
    <s v="REDACTED"/>
    <s v="North West"/>
    <s v="North West"/>
    <s v="Halton"/>
    <s v="Halton"/>
    <s v="Private"/>
    <d v="2020-10-28T00:00:00"/>
    <d v="2020-12-08T00:00:00"/>
    <s v="N"/>
  </r>
  <r>
    <s v="Ofsted Social Care Provider Webpage"/>
    <s v="SC022437"/>
    <s v="Children's home"/>
    <d v="2001-07-20T00:00:00"/>
    <s v="Active"/>
    <s v="REDACTED"/>
    <s v="North West"/>
    <s v="North West"/>
    <s v="St Helens"/>
    <s v="St Helens North"/>
    <s v="Private"/>
    <d v="2020-10-28T00:00:00"/>
    <d v="2020-12-10T00:00:00"/>
    <s v="Y"/>
  </r>
  <r>
    <s v="Ofsted Social Care Provider Webpage"/>
    <s v="SC453726"/>
    <s v="Children's home"/>
    <d v="2012-11-02T00:00:00"/>
    <s v="Active"/>
    <s v="REDACTED"/>
    <s v="West Midlands"/>
    <s v="West Midlands"/>
    <s v="Birmingham"/>
    <s v="Birmingham, Erdington"/>
    <s v="Private"/>
    <d v="2020-10-28T00:00:00"/>
    <d v="2020-12-10T00:00:00"/>
    <s v="N"/>
  </r>
  <r>
    <s v="Ofsted Social Care Provider Webpage"/>
    <n v="1277045"/>
    <s v="Children's home"/>
    <d v="2018-08-03T00:00:00"/>
    <s v="Active"/>
    <s v="REDACTED"/>
    <s v="South West"/>
    <s v="South West"/>
    <s v="Cornwall"/>
    <s v="Camborne and Redruth"/>
    <s v="Private"/>
    <d v="2020-10-28T00:00:00"/>
    <d v="2020-12-09T00:00:00"/>
    <s v="N"/>
  </r>
  <r>
    <s v="Ofsted Social Care Provider Webpage"/>
    <s v="SC441865"/>
    <s v="Children's home"/>
    <d v="2012-07-29T00:00:00"/>
    <s v="Active"/>
    <s v="REDACTED"/>
    <s v="East Midlands"/>
    <s v="East Midlands"/>
    <s v="Nottinghamshire"/>
    <s v="Gedling"/>
    <s v="Voluntary"/>
    <d v="2020-10-28T00:00:00"/>
    <d v="2020-12-01T00:00:00"/>
    <s v="N"/>
  </r>
  <r>
    <s v="Ofsted Social Care Provider Webpage"/>
    <s v="SC474543"/>
    <s v="Children's home"/>
    <d v="2014-02-26T00:00:00"/>
    <s v="Active"/>
    <s v="REDACTED"/>
    <s v="London"/>
    <s v="London"/>
    <s v="Bromley"/>
    <s v="Orpington"/>
    <s v="Health Authority"/>
    <d v="2020-10-28T00:00:00"/>
    <d v="2020-12-18T00:00:00"/>
    <s v="N"/>
  </r>
  <r>
    <s v="Ofsted Social Care Provider Webpage"/>
    <s v="SC400219"/>
    <s v="Children's home"/>
    <d v="2009-11-27T00:00:00"/>
    <s v="Active"/>
    <s v="REDACTED"/>
    <s v="North West"/>
    <s v="North West"/>
    <s v="Lancashire"/>
    <s v="Fylde"/>
    <s v="Private"/>
    <d v="2020-10-28T00:00:00"/>
    <d v="2020-11-30T00:00:00"/>
    <s v="N"/>
  </r>
  <r>
    <s v="Ofsted Social Care Provider Webpage"/>
    <s v="SC486167"/>
    <s v="Children's home"/>
    <d v="2015-02-18T00:00:00"/>
    <s v="Active"/>
    <s v="REDACTED"/>
    <s v="South West"/>
    <s v="South West"/>
    <s v="Plymouth"/>
    <s v="Plymouth, Sutton and Devonport"/>
    <s v="Private"/>
    <d v="2020-10-28T00:00:00"/>
    <d v="2020-12-03T00:00:00"/>
    <s v="N"/>
  </r>
  <r>
    <s v="Ofsted Social Care Provider Webpage"/>
    <n v="1244386"/>
    <s v="Children's home"/>
    <d v="2017-06-08T00:00:00"/>
    <s v="Active"/>
    <s v="REDACTED"/>
    <s v="London"/>
    <s v="London"/>
    <s v="Croydon"/>
    <s v="Croydon North"/>
    <s v="Private"/>
    <d v="2020-10-28T00:00:00"/>
    <d v="2021-01-11T00:00:00"/>
    <s v="N"/>
  </r>
  <r>
    <s v="Ofsted Social Care Provider Webpage"/>
    <s v="SC476512"/>
    <s v="Children's home"/>
    <d v="2014-06-03T00:00:00"/>
    <s v="Active"/>
    <s v="REDACTED"/>
    <s v="North East, Yorkshire and the Humber"/>
    <s v="North East"/>
    <s v="Redcar and Cleveland"/>
    <s v="Middlesbrough South and East Cleveland"/>
    <s v="Private"/>
    <d v="2020-10-28T00:00:00"/>
    <d v="2020-12-08T00:00:00"/>
    <s v="N"/>
  </r>
  <r>
    <s v="Ofsted Social Care Provider Webpage"/>
    <s v="SC481209"/>
    <s v="Children's home"/>
    <d v="2014-11-12T00:00:00"/>
    <s v="Active"/>
    <s v="REDACTED"/>
    <s v="West Midlands"/>
    <s v="West Midlands"/>
    <s v="Herefordshire"/>
    <s v="Hereford and South Herefordshire"/>
    <s v="Private"/>
    <d v="2020-09-29T00:00:00"/>
    <d v="2020-10-29T00:00:00"/>
    <s v="N"/>
  </r>
  <r>
    <s v="Ofsted Social Care Provider Webpage"/>
    <n v="2571902"/>
    <s v="Children's home"/>
    <d v="2020-03-24T00:00:00"/>
    <s v="Active"/>
    <s v="REDACTED"/>
    <s v="North East, Yorkshire and the Humber"/>
    <s v="North East"/>
    <s v="Durham"/>
    <s v="Sedgefield"/>
    <s v="Private"/>
    <d v="2020-09-29T00:00:00"/>
    <d v="2020-11-12T00:00:00"/>
    <s v="N"/>
  </r>
  <r>
    <s v="Ofsted Social Care Provider Webpage"/>
    <s v="SC037181"/>
    <s v="Children's home"/>
    <d v="2002-11-08T00:00:00"/>
    <s v="Active"/>
    <s v="REDACTED"/>
    <s v="North West"/>
    <s v="North West"/>
    <s v="Sefton"/>
    <s v="Southport"/>
    <s v="Private"/>
    <d v="2020-09-29T00:00:00"/>
    <d v="2020-11-12T00:00:00"/>
    <s v="N"/>
  </r>
  <r>
    <s v="Ofsted Social Care Provider Webpage"/>
    <s v="SC456850"/>
    <s v="Children's home"/>
    <d v="2013-02-15T00:00:00"/>
    <s v="Active"/>
    <s v="REDACTED"/>
    <s v="North West"/>
    <s v="North West"/>
    <s v="Rochdale"/>
    <s v="Rochdale"/>
    <s v="Private"/>
    <d v="2020-09-29T00:00:00"/>
    <d v="2020-10-26T00:00:00"/>
    <s v="N"/>
  </r>
  <r>
    <s v="Ofsted Social Care Provider Webpage"/>
    <s v="SC467115"/>
    <s v="Children's home"/>
    <d v="2013-08-27T00:00:00"/>
    <s v="Active"/>
    <s v="REDACTED"/>
    <s v="South West"/>
    <s v="South West"/>
    <s v="Somerset"/>
    <s v="Taunton Deane"/>
    <s v="Private"/>
    <d v="2020-09-29T00:00:00"/>
    <d v="2020-10-29T00:00:00"/>
    <s v="N"/>
  </r>
  <r>
    <s v="Ofsted Social Care Provider Webpage"/>
    <s v="SC476289"/>
    <s v="Children's home"/>
    <d v="2015-01-15T00:00:00"/>
    <s v="Active"/>
    <s v="REDACTED"/>
    <s v="East Midlands"/>
    <s v="East Midlands"/>
    <s v="Derbyshire"/>
    <s v="South Derbyshire"/>
    <s v="Private"/>
    <d v="2020-09-29T00:00:00"/>
    <d v="2020-10-28T00:00:00"/>
    <s v="N"/>
  </r>
  <r>
    <s v="Ofsted Social Care Provider Webpage"/>
    <n v="2495375"/>
    <s v="Children's home"/>
    <d v="2018-11-19T00:00:00"/>
    <s v="Active"/>
    <s v="REDACTED"/>
    <s v="London"/>
    <s v="London"/>
    <s v="Wandsworth"/>
    <s v="Tooting"/>
    <s v="Voluntary"/>
    <d v="2020-09-29T00:00:00"/>
    <d v="2020-10-30T00:00:00"/>
    <s v="N"/>
  </r>
  <r>
    <s v="Ofsted Social Care Provider Webpage"/>
    <s v="SC439282"/>
    <s v="Children's home"/>
    <d v="2012-02-20T00:00:00"/>
    <s v="Active"/>
    <s v="REDACTED"/>
    <s v="South East"/>
    <s v="South East"/>
    <s v="Kent"/>
    <s v="Faversham and Mid Kent"/>
    <s v="Local Authority"/>
    <d v="2020-09-29T00:00:00"/>
    <d v="2020-11-25T00:00:00"/>
    <s v="N"/>
  </r>
  <r>
    <s v="Ofsted Social Care Provider Webpage"/>
    <s v="SC391708"/>
    <s v="Children's home"/>
    <d v="2009-04-29T00:00:00"/>
    <s v="Active"/>
    <s v="REDACTED"/>
    <s v="South West"/>
    <s v="South West"/>
    <s v="Bournemouth, Christchurch &amp; Poole"/>
    <s v="Bournemouth West"/>
    <s v="Private"/>
    <d v="2020-09-29T00:00:00"/>
    <d v="2020-11-03T00:00:00"/>
    <s v="N"/>
  </r>
  <r>
    <s v="Ofsted Social Care Provider Webpage"/>
    <s v="SC398391"/>
    <s v="Children's home"/>
    <d v="2009-07-21T00:00:00"/>
    <s v="Active"/>
    <s v="REDACTED"/>
    <s v="West Midlands"/>
    <s v="West Midlands"/>
    <s v="Shropshire"/>
    <s v="The Wrekin"/>
    <s v="Private"/>
    <d v="2020-09-29T00:00:00"/>
    <d v="2020-10-27T00:00:00"/>
    <s v="N"/>
  </r>
  <r>
    <s v="Ofsted Social Care Provider Webpage"/>
    <s v="SC440309"/>
    <s v="Children's home"/>
    <d v="2012-01-04T00:00:00"/>
    <s v="Active"/>
    <s v="REDACTED"/>
    <s v="North West"/>
    <s v="North West"/>
    <s v="Lancashire"/>
    <s v="Ribble Valley"/>
    <s v="Local Authority"/>
    <d v="2020-09-29T00:00:00"/>
    <d v="2020-11-04T00:00:00"/>
    <s v="N"/>
  </r>
  <r>
    <s v="Ofsted Social Care Provider Webpage"/>
    <s v="SC035241"/>
    <s v="Residential special school (registered as a children's home)"/>
    <d v="2003-06-13T00:00:00"/>
    <s v="Active"/>
    <s v="REDACTED"/>
    <s v="North East, Yorkshire and the Humber"/>
    <s v="Yorkshire and The Humber"/>
    <s v="Doncaster"/>
    <s v="Doncaster Central"/>
    <s v="Private"/>
    <d v="2020-09-29T00:00:00"/>
    <d v="2020-11-06T00:00:00"/>
    <s v="N"/>
  </r>
  <r>
    <s v="Ofsted Social Care Provider Webpage"/>
    <n v="1241970"/>
    <s v="Children's home"/>
    <d v="2017-01-09T00:00:00"/>
    <s v="Active"/>
    <s v="REDACTED"/>
    <s v="North West"/>
    <s v="North West"/>
    <s v="Cumbria"/>
    <s v="Westmorland and Lonsdale"/>
    <s v="Private"/>
    <d v="2020-09-29T00:00:00"/>
    <d v="2020-11-17T00:00:00"/>
    <s v="N"/>
  </r>
  <r>
    <s v="Ofsted Social Care Provider Webpage"/>
    <s v="SC467155"/>
    <s v="Children's home"/>
    <d v="2014-01-07T00:00:00"/>
    <s v="Active"/>
    <s v="REDACTED"/>
    <s v="South East"/>
    <s v="South East"/>
    <s v="Hampshire"/>
    <s v="North West Hampshire"/>
    <s v="Private"/>
    <d v="2020-09-29T00:00:00"/>
    <d v="2020-11-10T00:00:00"/>
    <s v="N"/>
  </r>
  <r>
    <s v="Ofsted Social Care Provider Webpage"/>
    <s v="SC404994"/>
    <s v="Children's home"/>
    <d v="2010-08-06T00:00:00"/>
    <s v="Active"/>
    <s v="REDACTED"/>
    <s v="West Midlands"/>
    <s v="West Midlands"/>
    <s v="Sandwell"/>
    <s v="West Bromwich East"/>
    <s v="Voluntary"/>
    <d v="2020-09-29T00:00:00"/>
    <d v="2020-11-03T00:00:00"/>
    <s v="Y"/>
  </r>
  <r>
    <s v="Ofsted Social Care Provider Webpage"/>
    <s v="SC065684"/>
    <s v="Children's home"/>
    <d v="2005-12-14T00:00:00"/>
    <s v="Active"/>
    <s v="REDACTED"/>
    <s v="South East"/>
    <s v="South East"/>
    <s v="Kent"/>
    <s v="Sevenoaks"/>
    <s v="Private"/>
    <d v="2020-09-29T00:00:00"/>
    <d v="2020-11-19T00:00:00"/>
    <s v="N"/>
  </r>
  <r>
    <s v="Ofsted Social Care Provider Webpage"/>
    <s v="SC066651"/>
    <s v="Children's home"/>
    <d v="2006-03-30T00:00:00"/>
    <s v="Active"/>
    <s v="REDACTED"/>
    <s v="North East, Yorkshire and the Humber"/>
    <s v="Yorkshire and The Humber"/>
    <s v="Sheffield"/>
    <s v="Sheffield South East"/>
    <s v="Local Authority"/>
    <d v="2020-09-29T00:00:00"/>
    <d v="2020-11-12T00:00:00"/>
    <s v="N"/>
  </r>
  <r>
    <s v="Ofsted Social Care Provider Webpage"/>
    <s v="SC033387"/>
    <s v="Children's home"/>
    <d v="2003-10-01T00:00:00"/>
    <s v="Active"/>
    <s v="REDACTED"/>
    <s v="North East, Yorkshire and the Humber"/>
    <s v="Yorkshire and The Humber"/>
    <s v="Kirklees"/>
    <s v="Dewsbury"/>
    <s v="Local Authority"/>
    <d v="2020-09-29T00:00:00"/>
    <d v="2020-11-04T00:00:00"/>
    <s v="N"/>
  </r>
  <r>
    <s v="Ofsted Social Care Provider Webpage"/>
    <n v="1271383"/>
    <s v="Children's home"/>
    <d v="2018-04-30T00:00:00"/>
    <s v="Active"/>
    <s v="REDACTED"/>
    <s v="East Midlands"/>
    <s v="East Midlands"/>
    <s v="Nottingham"/>
    <s v="Nottingham North"/>
    <s v="Private"/>
    <d v="2020-09-29T00:00:00"/>
    <d v="2020-10-28T00:00:00"/>
    <s v="N"/>
  </r>
  <r>
    <s v="Ofsted Social Care Provider Webpage"/>
    <s v="SC063767"/>
    <s v="Children's home"/>
    <d v="2005-06-22T00:00:00"/>
    <s v="Active"/>
    <s v="REDACTED"/>
    <s v="South East"/>
    <s v="South East"/>
    <s v="Hampshire"/>
    <s v="New Forest East"/>
    <s v="Private"/>
    <d v="2020-09-29T00:00:00"/>
    <d v="2020-10-27T00:00:00"/>
    <s v="N"/>
  </r>
  <r>
    <s v="Ofsted Social Care Provider Webpage"/>
    <n v="2546960"/>
    <s v="Children's home"/>
    <d v="2019-08-14T00:00:00"/>
    <s v="Active"/>
    <s v="REDACTED"/>
    <s v="South West"/>
    <s v="South West"/>
    <s v="Devon"/>
    <s v="Torridge and West Devon"/>
    <s v="Private"/>
    <d v="2020-09-29T00:00:00"/>
    <d v="2020-11-17T00:00:00"/>
    <s v="N"/>
  </r>
  <r>
    <s v="Ofsted Social Care Provider Webpage"/>
    <n v="2548528"/>
    <s v="Children's home"/>
    <d v="2019-08-12T00:00:00"/>
    <s v="Active"/>
    <s v="REDACTED"/>
    <s v="North West"/>
    <s v="North West"/>
    <s v="Rochdale"/>
    <s v="Rochdale"/>
    <s v="Private"/>
    <d v="2020-09-29T00:00:00"/>
    <d v="2020-11-02T00:00:00"/>
    <s v="N"/>
  </r>
  <r>
    <s v="Ofsted Social Care Provider Webpage"/>
    <n v="2530801"/>
    <s v="Children's home"/>
    <d v="2019-06-25T00:00:00"/>
    <s v="Active"/>
    <s v="REDACTED"/>
    <s v="South West"/>
    <s v="South West"/>
    <s v="Somerset"/>
    <s v="Taunton Deane"/>
    <s v="Private"/>
    <d v="2020-09-29T00:00:00"/>
    <d v="2020-11-06T00:00:00"/>
    <s v="N"/>
  </r>
  <r>
    <s v="Ofsted Social Care Provider Webpage"/>
    <s v="SC014513"/>
    <s v="Residential Special School"/>
    <d v="2002-02-14T00:00:00"/>
    <s v="Active"/>
    <s v="Farney Close School"/>
    <s v="South East"/>
    <s v="South East"/>
    <s v="West Sussex"/>
    <s v="Mid Sussex"/>
    <s v="Voluntary"/>
    <d v="2020-09-29T00:00:00"/>
    <d v="2020-11-11T00:00:00"/>
    <s v="N"/>
  </r>
  <r>
    <s v="Ofsted Social Care Provider Webpage"/>
    <s v="SC039248"/>
    <s v="Children's home"/>
    <d v="2003-11-20T00:00:00"/>
    <s v="Active"/>
    <s v="REDACTED"/>
    <s v="North West"/>
    <s v="North West"/>
    <s v="Lancashire"/>
    <s v="West Lancashire"/>
    <s v="Local Authority"/>
    <d v="2020-09-29T00:00:00"/>
    <d v="2020-12-09T00:00:00"/>
    <s v="N"/>
  </r>
  <r>
    <s v="Ofsted Social Care Provider Webpage"/>
    <s v="SC038012"/>
    <s v="Independent Fostering Agency"/>
    <d v="2003-12-29T00:00:00"/>
    <s v="Active"/>
    <s v="Foster Care Associates South Western"/>
    <s v="South West"/>
    <s v="South West"/>
    <s v="Plymouth"/>
    <s v="Plymouth, Moor View"/>
    <s v="Private"/>
    <d v="2020-09-29T00:00:00"/>
    <d v="2020-12-09T00:00:00"/>
    <s v="Y"/>
  </r>
  <r>
    <s v="Ofsted Social Care Provider Webpage"/>
    <n v="2505172"/>
    <s v="Children's home"/>
    <d v="2019-04-09T00:00:00"/>
    <s v="Active"/>
    <s v="REDACTED"/>
    <s v="London"/>
    <s v="London"/>
    <s v="Harrow"/>
    <s v="Harrow East"/>
    <s v="Private"/>
    <d v="2020-09-29T00:00:00"/>
    <d v="2020-11-12T00:00:00"/>
    <s v="N"/>
  </r>
  <r>
    <s v="Ofsted Social Care Provider Webpage"/>
    <n v="1276421"/>
    <s v="Children's home"/>
    <d v="2018-08-16T00:00:00"/>
    <s v="Active"/>
    <s v="REDACTED"/>
    <s v="North East, Yorkshire and the Humber"/>
    <s v="North East"/>
    <s v="Durham"/>
    <s v="Easington"/>
    <s v="Private"/>
    <d v="2020-09-29T00:00:00"/>
    <d v="2020-11-06T00:00:00"/>
    <s v="N"/>
  </r>
  <r>
    <s v="Ofsted Social Care Provider Webpage"/>
    <s v="SC063673"/>
    <s v="Children's home"/>
    <d v="2005-02-21T00:00:00"/>
    <s v="Active"/>
    <s v="REDACTED"/>
    <s v="North West"/>
    <s v="North West"/>
    <s v="Sefton"/>
    <s v="Southport"/>
    <s v="Private"/>
    <d v="2020-10-29T00:00:00"/>
    <d v="2020-12-04T00:00:00"/>
    <s v="N"/>
  </r>
  <r>
    <s v="Ofsted Social Care Provider Webpage"/>
    <n v="2528486"/>
    <s v="Children's home"/>
    <d v="2019-05-02T00:00:00"/>
    <s v="Active"/>
    <s v="REDACTED"/>
    <s v="South West"/>
    <s v="South West"/>
    <s v="Devon"/>
    <s v="Newton Abbot"/>
    <s v="Private"/>
    <d v="2020-10-29T00:00:00"/>
    <d v="2020-12-04T00:00:00"/>
    <s v="Y"/>
  </r>
  <r>
    <s v="Ofsted Social Care Provider Webpage"/>
    <n v="2535887"/>
    <s v="Children's home"/>
    <d v="2019-08-02T00:00:00"/>
    <s v="Active"/>
    <s v="REDACTED"/>
    <s v="London"/>
    <s v="London"/>
    <s v="Havering"/>
    <s v="Dagenham and Rainham"/>
    <s v="Private"/>
    <d v="2020-10-29T00:00:00"/>
    <d v="2020-12-01T00:00:00"/>
    <s v="N"/>
  </r>
  <r>
    <s v="Ofsted Social Care Provider Webpage"/>
    <n v="2575432"/>
    <s v="Children's home"/>
    <d v="2020-05-01T00:00:00"/>
    <s v="Active"/>
    <s v="REDACTED"/>
    <s v="North West"/>
    <s v="North West"/>
    <s v="Wigan"/>
    <s v="Makerfield"/>
    <s v="Private"/>
    <d v="2020-10-29T00:00:00"/>
    <d v="2021-01-05T00:00:00"/>
    <s v="Y"/>
  </r>
  <r>
    <s v="Ofsted Social Care Provider Webpage"/>
    <s v="SC456719"/>
    <s v="Children's home"/>
    <d v="2013-02-27T00:00:00"/>
    <s v="Active"/>
    <s v="REDACTED"/>
    <s v="East Midlands"/>
    <s v="East Midlands"/>
    <s v="Northamptonshire"/>
    <s v="South Northamptonshire"/>
    <s v="Private"/>
    <d v="2020-10-29T00:00:00"/>
    <d v="2020-11-26T00:00:00"/>
    <s v="N"/>
  </r>
  <r>
    <s v="Ofsted Social Care Provider Webpage"/>
    <s v="SC429702"/>
    <s v="Children's home"/>
    <d v="2011-04-27T00:00:00"/>
    <s v="Active"/>
    <s v="REDACTED"/>
    <s v="East of England"/>
    <s v="East of England"/>
    <s v="Suffolk"/>
    <s v="South Suffolk"/>
    <s v="Private"/>
    <d v="2020-10-29T00:00:00"/>
    <d v="2020-11-23T00:00:00"/>
    <s v="N"/>
  </r>
  <r>
    <s v="Ofsted Social Care Provider Webpage"/>
    <s v="SC476261"/>
    <s v="Children's home"/>
    <d v="2014-08-01T00:00:00"/>
    <s v="Active"/>
    <s v="REDACTED"/>
    <s v="West Midlands"/>
    <s v="West Midlands"/>
    <s v="Shropshire"/>
    <s v="Shrewsbury and Atcham"/>
    <s v="Private"/>
    <d v="2020-10-29T00:00:00"/>
    <d v="2020-11-30T00:00:00"/>
    <s v="N"/>
  </r>
  <r>
    <s v="Ofsted Social Care Provider Webpage"/>
    <s v="SC061439"/>
    <s v="Children's home"/>
    <d v="2004-11-05T00:00:00"/>
    <s v="Active"/>
    <s v="REDACTED"/>
    <s v="North East, Yorkshire and the Humber"/>
    <s v="North East"/>
    <s v="Darlington"/>
    <s v="Darlington"/>
    <s v="Private"/>
    <d v="2020-09-30T00:00:00"/>
    <d v="2020-11-18T00:00:00"/>
    <s v="N"/>
  </r>
  <r>
    <s v="Ofsted Social Care Provider Webpage"/>
    <s v="SC477031"/>
    <s v="Children's home"/>
    <d v="2014-06-24T00:00:00"/>
    <s v="Active"/>
    <s v="REDACTED"/>
    <s v="North East, Yorkshire and the Humber"/>
    <s v="North East"/>
    <s v="Stockton-on-Tees"/>
    <s v="Stockton North"/>
    <s v="Private"/>
    <d v="2020-09-30T00:00:00"/>
    <d v="2020-11-09T00:00:00"/>
    <s v="N"/>
  </r>
  <r>
    <s v="Ofsted Social Care Provider Webpage"/>
    <n v="2516984"/>
    <s v="Children's home"/>
    <d v="2019-06-05T00:00:00"/>
    <s v="Active"/>
    <s v="REDACTED"/>
    <s v="West Midlands"/>
    <s v="West Midlands"/>
    <s v="Worcestershire"/>
    <s v="West Worcestershire"/>
    <s v="Health Authority"/>
    <d v="2020-09-30T00:00:00"/>
    <d v="2020-11-09T00:00:00"/>
    <s v="N"/>
  </r>
  <r>
    <s v="Ofsted Social Care Provider Webpage"/>
    <s v="SC456942"/>
    <s v="Children's home"/>
    <d v="2013-02-15T00:00:00"/>
    <s v="Active"/>
    <s v="REDACTED"/>
    <s v="North West"/>
    <s v="North West"/>
    <s v="Warrington"/>
    <s v="Warrington North"/>
    <s v="Private"/>
    <d v="2020-09-30T00:00:00"/>
    <d v="2020-11-09T00:00:00"/>
    <s v="N"/>
  </r>
  <r>
    <s v="Ofsted Social Care Provider Webpage"/>
    <s v="SC006011"/>
    <s v="Children's home"/>
    <d v="2001-06-20T00:00:00"/>
    <s v="Active"/>
    <s v="REDACTED"/>
    <s v="North West"/>
    <s v="North West"/>
    <s v="Lancashire"/>
    <s v="West Lancashire"/>
    <s v="Private"/>
    <d v="2020-09-30T00:00:00"/>
    <d v="2020-11-19T00:00:00"/>
    <s v="N"/>
  </r>
  <r>
    <s v="Ofsted Social Care Provider Webpage"/>
    <n v="1236916"/>
    <s v="Children's home"/>
    <d v="2016-06-23T00:00:00"/>
    <s v="Active"/>
    <s v="REDACTED"/>
    <s v="South West"/>
    <s v="South West"/>
    <s v="North Somerset"/>
    <s v="Weston-Super-Mare"/>
    <s v="Private"/>
    <d v="2020-09-30T00:00:00"/>
    <d v="2020-11-03T00:00:00"/>
    <s v="N"/>
  </r>
  <r>
    <s v="Ofsted Social Care Provider Webpage"/>
    <n v="2509473"/>
    <s v="Children's home"/>
    <d v="2019-02-12T00:00:00"/>
    <s v="Active"/>
    <s v="REDACTED"/>
    <s v="South East"/>
    <s v="South East"/>
    <s v="Kent"/>
    <s v="Dover"/>
    <s v="Private"/>
    <d v="2020-09-30T00:00:00"/>
    <d v="2020-11-23T00:00:00"/>
    <s v="N"/>
  </r>
  <r>
    <s v="Ofsted Social Care Provider Webpage"/>
    <n v="2516658"/>
    <s v="Children's home"/>
    <d v="2019-08-30T00:00:00"/>
    <s v="Active"/>
    <s v="REDACTED"/>
    <s v="North East, Yorkshire and the Humber"/>
    <s v="Yorkshire and The Humber"/>
    <s v="Barnsley"/>
    <s v="Barnsley Central"/>
    <s v="Private"/>
    <d v="2020-09-30T00:00:00"/>
    <d v="2020-11-13T00:00:00"/>
    <s v="N"/>
  </r>
  <r>
    <s v="Ofsted Social Care Provider Webpage"/>
    <s v="SC036240"/>
    <s v="Children's home"/>
    <d v="2003-11-13T00:00:00"/>
    <s v="Active"/>
    <s v="REDACTED"/>
    <s v="East Midlands"/>
    <s v="East Midlands"/>
    <s v="Derby"/>
    <s v="Derby South"/>
    <s v="Local Authority"/>
    <d v="2020-09-30T00:00:00"/>
    <d v="2020-11-02T00:00:00"/>
    <s v="N"/>
  </r>
  <r>
    <s v="Ofsted Social Care Provider Webpage"/>
    <n v="2534102"/>
    <s v="Children's home"/>
    <d v="2019-08-01T00:00:00"/>
    <s v="Active"/>
    <s v="REDACTED"/>
    <s v="North East, Yorkshire and the Humber"/>
    <s v="North East"/>
    <s v="Durham"/>
    <s v="North Durham"/>
    <s v="Private"/>
    <d v="2020-09-30T00:00:00"/>
    <d v="2020-11-09T00:00:00"/>
    <s v="N"/>
  </r>
  <r>
    <s v="Ofsted Social Care Provider Webpage"/>
    <n v="2575372"/>
    <s v="Children's home"/>
    <d v="2020-06-12T00:00:00"/>
    <s v="Active"/>
    <s v="REDACTED"/>
    <s v="East of England"/>
    <s v="East of England"/>
    <s v="Essex"/>
    <s v="Braintree"/>
    <s v="Private"/>
    <d v="2020-09-30T00:00:00"/>
    <d v="2020-10-29T00:00:00"/>
    <s v="Y"/>
  </r>
  <r>
    <s v="Ofsted Social Care Provider Webpage"/>
    <n v="2503142"/>
    <s v="Children's home"/>
    <d v="2019-04-10T00:00:00"/>
    <s v="Active"/>
    <s v="REDACTED"/>
    <s v="London"/>
    <s v="London"/>
    <s v="Enfield"/>
    <s v="Edmonton"/>
    <s v="Private"/>
    <d v="2020-09-30T00:00:00"/>
    <d v="2020-11-13T00:00:00"/>
    <s v="N"/>
  </r>
  <r>
    <s v="Ofsted Social Care Provider Webpage"/>
    <n v="2509269"/>
    <s v="Children's home"/>
    <d v="2019-01-31T00:00:00"/>
    <s v="Active"/>
    <s v="REDACTED"/>
    <s v="North West"/>
    <s v="North West"/>
    <s v="Lancashire"/>
    <s v="Fylde"/>
    <s v="Private"/>
    <d v="2020-09-30T00:00:00"/>
    <d v="2020-11-17T00:00:00"/>
    <s v="N"/>
  </r>
  <r>
    <s v="Ofsted Social Care Provider Webpage"/>
    <s v="SC063110"/>
    <s v="Children's home"/>
    <d v="2005-03-08T00:00:00"/>
    <s v="Active"/>
    <s v="REDACTED"/>
    <s v="East of England"/>
    <s v="East of England"/>
    <s v="Suffolk"/>
    <s v="Suffolk Coastal"/>
    <s v="Local Authority"/>
    <d v="2020-09-30T00:00:00"/>
    <d v="2020-10-30T00:00:00"/>
    <s v="Y"/>
  </r>
  <r>
    <s v="Ofsted Social Care Provider Webpage"/>
    <s v="SC425418"/>
    <s v="Children's home"/>
    <d v="2011-02-18T00:00:00"/>
    <s v="Active"/>
    <s v="REDACTED"/>
    <s v="East of England"/>
    <s v="East of England"/>
    <s v="Hertfordshire"/>
    <s v="Stevenage"/>
    <s v="Private"/>
    <d v="2020-09-30T00:00:00"/>
    <d v="2020-10-30T00:00:00"/>
    <s v="N"/>
  </r>
  <r>
    <s v="Ofsted Social Care Provider Webpage"/>
    <n v="2514770"/>
    <s v="Children's home"/>
    <d v="2019-04-17T00:00:00"/>
    <s v="Active"/>
    <s v="REDACTED"/>
    <s v="North East, Yorkshire and the Humber"/>
    <s v="Yorkshire and The Humber"/>
    <s v="Calderdale"/>
    <s v="Halifax"/>
    <s v="Private"/>
    <d v="2020-09-30T00:00:00"/>
    <d v="2020-11-12T00:00:00"/>
    <s v="N"/>
  </r>
  <r>
    <s v="Ofsted Social Care Provider Webpage"/>
    <n v="2504494"/>
    <s v="Children's home"/>
    <d v="2019-02-20T00:00:00"/>
    <s v="Active"/>
    <s v="REDACTED"/>
    <s v="East Midlands"/>
    <s v="East Midlands"/>
    <s v="Leicestershire"/>
    <s v="Harborough"/>
    <s v="Private"/>
    <d v="2020-09-30T00:00:00"/>
    <d v="2020-10-27T00:00:00"/>
    <s v="N"/>
  </r>
  <r>
    <s v="Ofsted Social Care Provider Webpage"/>
    <s v="SC034083"/>
    <s v="Children's home"/>
    <d v="2003-07-22T00:00:00"/>
    <s v="Active"/>
    <s v="REDACTED"/>
    <s v="North West"/>
    <s v="North West"/>
    <s v="Cumbria"/>
    <s v="Copeland"/>
    <s v="Local Authority"/>
    <d v="2020-09-30T00:00:00"/>
    <d v="2020-11-09T00:00:00"/>
    <s v="N"/>
  </r>
  <r>
    <s v="Ofsted Social Care Provider Webpage"/>
    <s v="SC036726"/>
    <s v="Children's home"/>
    <d v="2003-11-17T00:00:00"/>
    <s v="Active"/>
    <s v="REDACTED"/>
    <s v="East Midlands"/>
    <s v="East Midlands"/>
    <s v="Nottinghamshire"/>
    <s v="Newark"/>
    <s v="Local Authority"/>
    <d v="2020-09-30T00:00:00"/>
    <d v="2020-10-30T00:00:00"/>
    <s v="N"/>
  </r>
  <r>
    <s v="Ofsted Social Care Provider Webpage"/>
    <s v="SC444411"/>
    <s v="Children's home"/>
    <d v="2012-07-06T00:00:00"/>
    <s v="Active"/>
    <s v="REDACTED"/>
    <s v="North West"/>
    <s v="North West"/>
    <s v="Liverpool"/>
    <s v="Liverpool, Walton"/>
    <s v="Voluntary"/>
    <d v="2020-09-30T00:00:00"/>
    <d v="2020-11-18T00:00:00"/>
    <s v="Y"/>
  </r>
  <r>
    <s v="Ofsted Social Care Provider Webpage"/>
    <s v="SC022223"/>
    <s v="Residential Special School"/>
    <d v="2002-02-18T00:00:00"/>
    <s v="Active"/>
    <s v="WESC Foundation"/>
    <s v="South West"/>
    <s v="South West"/>
    <s v="Devon"/>
    <s v="East Devon"/>
    <s v="Voluntary"/>
    <d v="2020-09-30T00:00:00"/>
    <d v="2020-11-06T00:00:00"/>
    <s v="N"/>
  </r>
  <r>
    <s v="Ofsted Social Care Provider Webpage"/>
    <n v="1255147"/>
    <s v="Children's home"/>
    <d v="2017-06-29T00:00:00"/>
    <s v="Active"/>
    <s v="REDACTED"/>
    <s v="West Midlands"/>
    <s v="West Midlands"/>
    <s v="Shropshire"/>
    <s v="North Shropshire"/>
    <s v="Private"/>
    <d v="2020-09-30T00:00:00"/>
    <d v="2020-11-02T00:00:00"/>
    <s v="N"/>
  </r>
  <r>
    <s v="Ofsted Social Care Provider Webpage"/>
    <n v="2585927"/>
    <s v="Children's home"/>
    <d v="2020-05-27T00:00:00"/>
    <s v="Resigned"/>
    <s v="REDACTED"/>
    <s v="East Midlands"/>
    <s v="East Midlands"/>
    <s v="Nottingham"/>
    <s v="Nottingham North"/>
    <s v="Private"/>
    <d v="2020-09-30T00:00:00"/>
    <d v="2020-11-02T00:00:00"/>
    <s v="Y"/>
  </r>
  <r>
    <s v="Ofsted Social Care Provider Webpage"/>
    <s v="SC485423"/>
    <s v="Children's home"/>
    <d v="2015-03-27T00:00:00"/>
    <s v="Active"/>
    <s v="REDACTED"/>
    <s v="South East"/>
    <s v="South East"/>
    <s v="Hampshire"/>
    <s v="Eastleigh"/>
    <s v="Private"/>
    <d v="2020-09-30T00:00:00"/>
    <d v="2020-11-12T00:00:00"/>
    <s v="N"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  <r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3D2835-7E75-4E38-B049-70FAA9E56A51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1:A12" firstHeaderRow="1" firstDataRow="1" firstDataCol="0"/>
  <pivotFields count="14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Count of URN" fld="1" subtotal="count" baseField="0" baseItem="0"/>
  </dataFields>
  <formats count="5">
    <format dxfId="6">
      <pivotArea type="all" dataOnly="0" outline="0" fieldPosition="0"/>
    </format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outline="0" collapsedLevelsAreSubtotals="1" fieldPosition="0"/>
    </format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128370-635E-4B39-8C64-D78F25342BEA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J143" firstHeaderRow="1" firstDataRow="2" firstDataCol="1"/>
  <pivotFields count="13">
    <pivotField showAll="0"/>
    <pivotField showAll="0"/>
    <pivotField axis="axisCol" showAll="0">
      <items count="9">
        <item x="6"/>
        <item x="0"/>
        <item x="5"/>
        <item x="3"/>
        <item x="2"/>
        <item x="7"/>
        <item x="1"/>
        <item x="4"/>
        <item t="default"/>
      </items>
    </pivotField>
    <pivotField numFmtId="14" showAll="0"/>
    <pivotField showAll="0"/>
    <pivotField dataField="1" showAll="0"/>
    <pivotField axis="axisRow" showAll="0">
      <items count="10">
        <item x="4"/>
        <item x="0"/>
        <item x="7"/>
        <item x="3"/>
        <item x="5"/>
        <item x="2"/>
        <item x="1"/>
        <item x="6"/>
        <item x="8"/>
        <item t="default"/>
      </items>
    </pivotField>
    <pivotField showAll="0"/>
    <pivotField axis="axisRow" showAll="0">
      <items count="130">
        <item x="109"/>
        <item x="88"/>
        <item x="34"/>
        <item x="94"/>
        <item x="32"/>
        <item x="67"/>
        <item x="83"/>
        <item x="7"/>
        <item x="58"/>
        <item x="23"/>
        <item x="48"/>
        <item x="0"/>
        <item x="91"/>
        <item x="79"/>
        <item x="62"/>
        <item x="78"/>
        <item x="102"/>
        <item x="113"/>
        <item x="14"/>
        <item x="10"/>
        <item x="3"/>
        <item x="96"/>
        <item x="66"/>
        <item x="92"/>
        <item x="111"/>
        <item x="52"/>
        <item x="41"/>
        <item x="56"/>
        <item x="22"/>
        <item x="80"/>
        <item x="43"/>
        <item x="19"/>
        <item x="121"/>
        <item x="2"/>
        <item x="95"/>
        <item x="45"/>
        <item x="16"/>
        <item x="26"/>
        <item x="4"/>
        <item x="40"/>
        <item x="69"/>
        <item x="11"/>
        <item x="63"/>
        <item x="73"/>
        <item x="100"/>
        <item x="33"/>
        <item x="61"/>
        <item x="101"/>
        <item x="28"/>
        <item x="60"/>
        <item x="18"/>
        <item x="65"/>
        <item x="36"/>
        <item x="20"/>
        <item x="8"/>
        <item x="13"/>
        <item x="21"/>
        <item x="27"/>
        <item x="6"/>
        <item x="98"/>
        <item x="84"/>
        <item x="53"/>
        <item x="59"/>
        <item x="25"/>
        <item x="35"/>
        <item x="17"/>
        <item x="42"/>
        <item x="55"/>
        <item x="30"/>
        <item x="49"/>
        <item x="9"/>
        <item x="24"/>
        <item x="46"/>
        <item x="70"/>
        <item x="82"/>
        <item x="81"/>
        <item x="50"/>
        <item x="37"/>
        <item x="29"/>
        <item x="31"/>
        <item x="51"/>
        <item x="116"/>
        <item x="93"/>
        <item x="5"/>
        <item x="99"/>
        <item x="125"/>
        <item x="15"/>
        <item x="104"/>
        <item x="12"/>
        <item x="72"/>
        <item x="1"/>
        <item x="38"/>
        <item x="64"/>
        <item x="90"/>
        <item x="128"/>
        <item x="97"/>
        <item x="85"/>
        <item x="89"/>
        <item x="57"/>
        <item x="75"/>
        <item x="126"/>
        <item x="39"/>
        <item x="44"/>
        <item x="47"/>
        <item x="54"/>
        <item x="68"/>
        <item x="71"/>
        <item x="74"/>
        <item x="76"/>
        <item x="77"/>
        <item x="86"/>
        <item x="87"/>
        <item x="103"/>
        <item x="105"/>
        <item x="106"/>
        <item x="107"/>
        <item x="108"/>
        <item x="110"/>
        <item x="112"/>
        <item x="114"/>
        <item x="115"/>
        <item x="117"/>
        <item x="118"/>
        <item x="119"/>
        <item x="120"/>
        <item x="122"/>
        <item x="123"/>
        <item x="124"/>
        <item x="127"/>
        <item t="default"/>
      </items>
    </pivotField>
    <pivotField showAll="0"/>
    <pivotField showAll="0"/>
    <pivotField numFmtId="14" showAll="0"/>
    <pivotField numFmtId="14" showAll="0"/>
  </pivotFields>
  <rowFields count="2">
    <field x="6"/>
    <field x="8"/>
  </rowFields>
  <rowItems count="139">
    <i>
      <x/>
    </i>
    <i r="1">
      <x v="17"/>
    </i>
    <i r="1">
      <x v="18"/>
    </i>
    <i r="1">
      <x v="38"/>
    </i>
    <i r="1">
      <x v="39"/>
    </i>
    <i r="1">
      <x v="50"/>
    </i>
    <i r="1">
      <x v="52"/>
    </i>
    <i r="1">
      <x v="53"/>
    </i>
    <i r="1">
      <x v="63"/>
    </i>
    <i r="1">
      <x v="106"/>
    </i>
    <i>
      <x v="1"/>
    </i>
    <i r="1">
      <x v="10"/>
    </i>
    <i r="1">
      <x v="11"/>
    </i>
    <i r="1">
      <x v="26"/>
    </i>
    <i r="1">
      <x v="31"/>
    </i>
    <i r="1">
      <x v="45"/>
    </i>
    <i r="1">
      <x v="56"/>
    </i>
    <i r="1">
      <x v="70"/>
    </i>
    <i r="1">
      <x v="76"/>
    </i>
    <i r="1">
      <x v="107"/>
    </i>
    <i>
      <x v="2"/>
    </i>
    <i r="1">
      <x/>
    </i>
    <i r="1">
      <x v="29"/>
    </i>
    <i r="1">
      <x v="32"/>
    </i>
    <i r="1">
      <x v="44"/>
    </i>
    <i r="1">
      <x v="59"/>
    </i>
    <i r="1">
      <x v="85"/>
    </i>
    <i r="1">
      <x v="98"/>
    </i>
    <i r="1">
      <x v="100"/>
    </i>
    <i r="1">
      <x v="105"/>
    </i>
    <i r="1">
      <x v="109"/>
    </i>
    <i r="1">
      <x v="110"/>
    </i>
    <i r="1">
      <x v="112"/>
    </i>
    <i r="1">
      <x v="113"/>
    </i>
    <i r="1">
      <x v="115"/>
    </i>
    <i r="1">
      <x v="118"/>
    </i>
    <i r="1">
      <x v="120"/>
    </i>
    <i r="1">
      <x v="122"/>
    </i>
    <i r="1">
      <x v="123"/>
    </i>
    <i r="1">
      <x v="124"/>
    </i>
    <i r="1">
      <x v="126"/>
    </i>
    <i r="1">
      <x v="127"/>
    </i>
    <i r="1">
      <x v="128"/>
    </i>
    <i>
      <x v="3"/>
    </i>
    <i r="1">
      <x v="1"/>
    </i>
    <i r="1">
      <x v="6"/>
    </i>
    <i r="1">
      <x v="9"/>
    </i>
    <i r="1">
      <x v="16"/>
    </i>
    <i r="1">
      <x v="20"/>
    </i>
    <i r="1">
      <x v="23"/>
    </i>
    <i r="1">
      <x v="24"/>
    </i>
    <i r="1">
      <x v="34"/>
    </i>
    <i r="1">
      <x v="35"/>
    </i>
    <i r="1">
      <x v="37"/>
    </i>
    <i r="1">
      <x v="42"/>
    </i>
    <i r="1">
      <x v="43"/>
    </i>
    <i r="1">
      <x v="46"/>
    </i>
    <i r="1">
      <x v="48"/>
    </i>
    <i r="1">
      <x v="49"/>
    </i>
    <i r="1">
      <x v="51"/>
    </i>
    <i r="1">
      <x v="60"/>
    </i>
    <i r="1">
      <x v="62"/>
    </i>
    <i r="1">
      <x v="66"/>
    </i>
    <i r="1">
      <x v="74"/>
    </i>
    <i r="1">
      <x v="77"/>
    </i>
    <i r="1">
      <x v="83"/>
    </i>
    <i r="1">
      <x v="108"/>
    </i>
    <i r="1">
      <x v="114"/>
    </i>
    <i r="1">
      <x v="116"/>
    </i>
    <i>
      <x v="4"/>
    </i>
    <i r="1">
      <x v="3"/>
    </i>
    <i r="1">
      <x v="4"/>
    </i>
    <i r="1">
      <x v="12"/>
    </i>
    <i r="1">
      <x v="13"/>
    </i>
    <i r="1">
      <x v="15"/>
    </i>
    <i r="1">
      <x v="36"/>
    </i>
    <i r="1">
      <x v="40"/>
    </i>
    <i r="1">
      <x v="41"/>
    </i>
    <i r="1">
      <x v="54"/>
    </i>
    <i r="1">
      <x v="61"/>
    </i>
    <i r="1">
      <x v="64"/>
    </i>
    <i r="1">
      <x v="71"/>
    </i>
    <i r="1">
      <x v="73"/>
    </i>
    <i r="1">
      <x v="82"/>
    </i>
    <i r="1">
      <x v="86"/>
    </i>
    <i r="1">
      <x v="89"/>
    </i>
    <i r="1">
      <x v="91"/>
    </i>
    <i r="1">
      <x v="95"/>
    </i>
    <i r="1">
      <x v="96"/>
    </i>
    <i r="1">
      <x v="97"/>
    </i>
    <i r="1">
      <x v="111"/>
    </i>
    <i r="1">
      <x v="119"/>
    </i>
    <i>
      <x v="5"/>
    </i>
    <i r="1">
      <x v="8"/>
    </i>
    <i r="1">
      <x v="25"/>
    </i>
    <i r="1">
      <x v="28"/>
    </i>
    <i r="1">
      <x v="33"/>
    </i>
    <i r="1">
      <x v="55"/>
    </i>
    <i r="1">
      <x v="58"/>
    </i>
    <i r="1">
      <x v="78"/>
    </i>
    <i r="1">
      <x v="88"/>
    </i>
    <i r="1">
      <x v="101"/>
    </i>
    <i r="1">
      <x v="102"/>
    </i>
    <i r="1">
      <x v="103"/>
    </i>
    <i r="1">
      <x v="117"/>
    </i>
    <i r="1">
      <x v="121"/>
    </i>
    <i r="1">
      <x v="125"/>
    </i>
    <i>
      <x v="6"/>
    </i>
    <i r="1">
      <x v="5"/>
    </i>
    <i r="1">
      <x v="7"/>
    </i>
    <i r="1">
      <x v="14"/>
    </i>
    <i r="1">
      <x v="19"/>
    </i>
    <i r="1">
      <x v="21"/>
    </i>
    <i r="1">
      <x v="27"/>
    </i>
    <i r="1">
      <x v="47"/>
    </i>
    <i r="1">
      <x v="57"/>
    </i>
    <i r="1">
      <x v="68"/>
    </i>
    <i r="1">
      <x v="69"/>
    </i>
    <i r="1">
      <x v="79"/>
    </i>
    <i r="1">
      <x v="81"/>
    </i>
    <i r="1">
      <x v="90"/>
    </i>
    <i r="1">
      <x v="104"/>
    </i>
    <i>
      <x v="7"/>
    </i>
    <i r="1">
      <x v="2"/>
    </i>
    <i r="1">
      <x v="22"/>
    </i>
    <i r="1">
      <x v="30"/>
    </i>
    <i r="1">
      <x v="65"/>
    </i>
    <i r="1">
      <x v="67"/>
    </i>
    <i r="1">
      <x v="72"/>
    </i>
    <i r="1">
      <x v="75"/>
    </i>
    <i r="1">
      <x v="80"/>
    </i>
    <i r="1">
      <x v="84"/>
    </i>
    <i r="1">
      <x v="87"/>
    </i>
    <i r="1">
      <x v="92"/>
    </i>
    <i r="1">
      <x v="93"/>
    </i>
    <i r="1">
      <x v="99"/>
    </i>
    <i>
      <x v="8"/>
    </i>
    <i r="1">
      <x v="94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Name" fld="5" subtotal="count" baseField="0" baseItem="0"/>
  </dataFields>
  <formats count="1">
    <format dxfId="0">
      <pivotArea dataOnly="0" labelOnly="1" outline="0" fieldPosition="0">
        <references count="1">
          <reference field="2" count="7">
            <x v="0"/>
            <x v="1"/>
            <x v="2"/>
            <x v="3"/>
            <x v="4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ressenquiries@ofsted.gov.uk" TargetMode="External"/><Relationship Id="rId7" Type="http://schemas.openxmlformats.org/officeDocument/2006/relationships/hyperlink" Target="https://www.gov.uk/government/collections/social-care-common-inspection-framework-sccif" TargetMode="External"/><Relationship Id="rId2" Type="http://schemas.openxmlformats.org/officeDocument/2006/relationships/hyperlink" Target="mailto:enquiries@ofsted.gov.uk" TargetMode="External"/><Relationship Id="rId1" Type="http://schemas.openxmlformats.org/officeDocument/2006/relationships/hyperlink" Target="http://www.nationalarchives.gov.uk/doc/open-government-licence/" TargetMode="External"/><Relationship Id="rId6" Type="http://schemas.openxmlformats.org/officeDocument/2006/relationships/hyperlink" Target="mailto:psi@nationalarchives.gsi.gov.uk" TargetMode="External"/><Relationship Id="rId5" Type="http://schemas.openxmlformats.org/officeDocument/2006/relationships/hyperlink" Target="https://www.gov.uk/government/collections/childrens-social-care-statistics" TargetMode="External"/><Relationship Id="rId4" Type="http://schemas.openxmlformats.org/officeDocument/2006/relationships/hyperlink" Target="http://www.gov.uk/government/collections/childrens-social-care-statistics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ocial-care-common-inspection-framework-scci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6BF56-F3C0-46C2-805A-050A9EC9A277}">
  <dimension ref="B1:F27"/>
  <sheetViews>
    <sheetView tabSelected="1" workbookViewId="0"/>
  </sheetViews>
  <sheetFormatPr defaultColWidth="8.88671875" defaultRowHeight="13.2" x14ac:dyDescent="0.25"/>
  <cols>
    <col min="1" max="1" width="8.88671875" style="93"/>
    <col min="2" max="2" width="38.88671875" style="93" customWidth="1"/>
    <col min="3" max="3" width="79.33203125" style="93" customWidth="1"/>
    <col min="4" max="16384" width="8.88671875" style="93"/>
  </cols>
  <sheetData>
    <row r="1" spans="2:6" ht="81.599999999999994" customHeight="1" x14ac:dyDescent="0.25">
      <c r="B1" s="5"/>
      <c r="C1" s="6"/>
    </row>
    <row r="2" spans="2:6" ht="42" customHeight="1" x14ac:dyDescent="0.25">
      <c r="B2" s="7" t="s">
        <v>0</v>
      </c>
      <c r="C2" s="7"/>
    </row>
    <row r="3" spans="2:6" ht="33.75" customHeight="1" x14ac:dyDescent="0.25">
      <c r="B3" s="8" t="s">
        <v>1</v>
      </c>
      <c r="C3" s="8" t="s">
        <v>723</v>
      </c>
    </row>
    <row r="4" spans="2:6" ht="33.75" customHeight="1" x14ac:dyDescent="0.25">
      <c r="B4" s="8" t="s">
        <v>2</v>
      </c>
      <c r="C4" s="8" t="s">
        <v>3</v>
      </c>
    </row>
    <row r="5" spans="2:6" ht="33.75" customHeight="1" x14ac:dyDescent="0.25">
      <c r="B5" s="8" t="s">
        <v>4</v>
      </c>
      <c r="C5" s="94">
        <f>Date!B4</f>
        <v>44243</v>
      </c>
    </row>
    <row r="6" spans="2:6" ht="33.75" customHeight="1" x14ac:dyDescent="0.25">
      <c r="B6" s="8" t="s">
        <v>5</v>
      </c>
      <c r="C6" s="8" t="s">
        <v>6</v>
      </c>
    </row>
    <row r="7" spans="2:6" ht="33.75" customHeight="1" x14ac:dyDescent="0.25">
      <c r="B7" s="10" t="s">
        <v>745</v>
      </c>
      <c r="C7" s="8" t="str">
        <f>"1 September 2020 to "&amp;TEXT(Date!B5, "d mmmm yyyy")</f>
        <v>1 September 2020 to 7 February 2021</v>
      </c>
    </row>
    <row r="8" spans="2:6" ht="33.75" customHeight="1" x14ac:dyDescent="0.25">
      <c r="B8" s="8" t="s">
        <v>7</v>
      </c>
      <c r="C8" s="9" t="s">
        <v>0</v>
      </c>
    </row>
    <row r="9" spans="2:6" ht="100.05" customHeight="1" x14ac:dyDescent="0.25">
      <c r="B9" s="8" t="s">
        <v>548</v>
      </c>
      <c r="C9" s="10" t="s">
        <v>552</v>
      </c>
    </row>
    <row r="10" spans="2:6" ht="33.75" customHeight="1" x14ac:dyDescent="0.25">
      <c r="B10" s="8" t="s">
        <v>550</v>
      </c>
      <c r="C10" s="8" t="s">
        <v>551</v>
      </c>
    </row>
    <row r="11" spans="2:6" ht="33.75" customHeight="1" x14ac:dyDescent="0.25">
      <c r="B11" s="10" t="s">
        <v>8</v>
      </c>
      <c r="C11" s="10" t="s">
        <v>9</v>
      </c>
    </row>
    <row r="12" spans="2:6" ht="33.75" customHeight="1" x14ac:dyDescent="0.25">
      <c r="B12" s="10" t="s">
        <v>10</v>
      </c>
      <c r="C12" s="11" t="s">
        <v>11</v>
      </c>
    </row>
    <row r="13" spans="2:6" ht="33.75" customHeight="1" x14ac:dyDescent="0.25">
      <c r="B13" s="10" t="s">
        <v>12</v>
      </c>
      <c r="C13" s="11" t="s">
        <v>13</v>
      </c>
    </row>
    <row r="14" spans="2:6" ht="33.75" customHeight="1" x14ac:dyDescent="0.25">
      <c r="B14" s="95" t="s">
        <v>556</v>
      </c>
      <c r="C14" s="96" t="s">
        <v>555</v>
      </c>
      <c r="D14" s="97"/>
    </row>
    <row r="15" spans="2:6" ht="33.75" customHeight="1" x14ac:dyDescent="0.25">
      <c r="B15" s="95" t="s">
        <v>553</v>
      </c>
      <c r="C15" s="95" t="s">
        <v>554</v>
      </c>
      <c r="D15" s="97"/>
    </row>
    <row r="16" spans="2:6" ht="33.75" customHeight="1" x14ac:dyDescent="0.25">
      <c r="B16" s="10" t="s">
        <v>14</v>
      </c>
      <c r="C16" s="96" t="s">
        <v>15</v>
      </c>
      <c r="F16" s="98"/>
    </row>
    <row r="17" spans="2:6" ht="33.75" customHeight="1" x14ac:dyDescent="0.25">
      <c r="B17" s="10" t="s">
        <v>16</v>
      </c>
      <c r="C17" s="96" t="s">
        <v>17</v>
      </c>
      <c r="F17" s="98"/>
    </row>
    <row r="18" spans="2:6" x14ac:dyDescent="0.25">
      <c r="B18" s="12"/>
      <c r="C18" s="13"/>
    </row>
    <row r="19" spans="2:6" ht="15" x14ac:dyDescent="0.25">
      <c r="B19" s="83" t="s">
        <v>1206</v>
      </c>
      <c r="C19" s="84"/>
    </row>
    <row r="20" spans="2:6" ht="15" x14ac:dyDescent="0.25">
      <c r="B20" s="83"/>
      <c r="C20" s="14"/>
    </row>
    <row r="21" spans="2:6" ht="15" x14ac:dyDescent="0.25">
      <c r="B21" s="86" t="s">
        <v>18</v>
      </c>
      <c r="C21" s="87"/>
    </row>
    <row r="22" spans="2:6" ht="15" x14ac:dyDescent="0.25">
      <c r="B22" s="88" t="s">
        <v>19</v>
      </c>
      <c r="C22" s="89"/>
    </row>
    <row r="23" spans="2:6" ht="15" x14ac:dyDescent="0.25">
      <c r="B23" s="83" t="s">
        <v>20</v>
      </c>
      <c r="C23" s="84"/>
    </row>
    <row r="24" spans="2:6" ht="15" x14ac:dyDescent="0.25">
      <c r="B24" s="90" t="s">
        <v>21</v>
      </c>
      <c r="C24" s="91"/>
    </row>
    <row r="25" spans="2:6" ht="15" x14ac:dyDescent="0.25">
      <c r="B25" s="88" t="s">
        <v>22</v>
      </c>
      <c r="C25" s="89"/>
    </row>
    <row r="26" spans="2:6" ht="15" x14ac:dyDescent="0.25">
      <c r="B26" s="83" t="s">
        <v>23</v>
      </c>
      <c r="C26" s="85" t="s">
        <v>24</v>
      </c>
    </row>
    <row r="27" spans="2:6" x14ac:dyDescent="0.25">
      <c r="B27" s="15"/>
      <c r="C27" s="16"/>
    </row>
  </sheetData>
  <mergeCells count="4">
    <mergeCell ref="B21:C21"/>
    <mergeCell ref="B22:C22"/>
    <mergeCell ref="B24:C24"/>
    <mergeCell ref="B25:C25"/>
  </mergeCells>
  <hyperlinks>
    <hyperlink ref="B24" r:id="rId1" xr:uid="{2A19852C-28F2-4D91-BF6B-3E46285F6907}"/>
    <hyperlink ref="C12" r:id="rId2" xr:uid="{78DF4DC6-FB56-4C26-B7C6-EA239C5AD391}"/>
    <hyperlink ref="C13" r:id="rId3" xr:uid="{0064ED69-C50D-4555-B002-559FF52AFB86}"/>
    <hyperlink ref="C16" r:id="rId4" location="management-information" xr:uid="{09CCCDD7-77B1-4EFD-AEDC-C6121DFC6779}"/>
    <hyperlink ref="C17" r:id="rId5" location="latest-official-statistics-" xr:uid="{046277AE-258A-48E2-9B1E-33B91D5A19B7}"/>
    <hyperlink ref="C26" r:id="rId6" xr:uid="{113FDE92-5729-4EA9-8C02-33D77027A999}"/>
    <hyperlink ref="C14" r:id="rId7" xr:uid="{E88245DE-164C-4047-8741-8E187522FF3E}"/>
  </hyperlinks>
  <pageMargins left="0.7" right="0.7" top="0.75" bottom="0.75" header="0.3" footer="0.3"/>
  <pageSetup paperSize="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62055-82EB-4C0C-A490-3C6D1E36CB3C}">
  <dimension ref="A3:L29"/>
  <sheetViews>
    <sheetView workbookViewId="0">
      <selection activeCell="B4" sqref="B4:B6"/>
    </sheetView>
  </sheetViews>
  <sheetFormatPr defaultColWidth="8.88671875" defaultRowHeight="13.2" x14ac:dyDescent="0.25"/>
  <cols>
    <col min="1" max="1" width="16.44140625" style="1" bestFit="1" customWidth="1"/>
    <col min="2" max="2" width="26.33203125" style="1" customWidth="1"/>
    <col min="3" max="3" width="26.6640625" style="1" customWidth="1"/>
    <col min="4" max="9" width="8.88671875" style="1"/>
    <col min="10" max="10" width="16.44140625" style="1" bestFit="1" customWidth="1"/>
    <col min="11" max="16384" width="8.88671875" style="1"/>
  </cols>
  <sheetData>
    <row r="3" spans="1:12" x14ac:dyDescent="0.25">
      <c r="C3" s="1" t="s">
        <v>25</v>
      </c>
    </row>
    <row r="4" spans="1:12" ht="15" x14ac:dyDescent="0.25">
      <c r="A4" s="20" t="s">
        <v>4</v>
      </c>
      <c r="B4" s="21">
        <v>44243</v>
      </c>
      <c r="C4" s="1" t="s">
        <v>26</v>
      </c>
    </row>
    <row r="5" spans="1:12" ht="15" x14ac:dyDescent="0.25">
      <c r="A5" s="20" t="s">
        <v>27</v>
      </c>
      <c r="B5" s="22">
        <v>44234</v>
      </c>
      <c r="C5" s="1" t="s">
        <v>715</v>
      </c>
    </row>
    <row r="6" spans="1:12" ht="15" x14ac:dyDescent="0.25">
      <c r="A6" s="20" t="s">
        <v>28</v>
      </c>
      <c r="B6" s="23">
        <v>44234</v>
      </c>
      <c r="C6" s="1" t="s">
        <v>29</v>
      </c>
    </row>
    <row r="7" spans="1:12" ht="15" x14ac:dyDescent="0.25">
      <c r="A7" s="20"/>
    </row>
    <row r="11" spans="1:12" ht="15" customHeight="1" x14ac:dyDescent="0.25">
      <c r="A11" s="20" t="s">
        <v>714</v>
      </c>
      <c r="B11" s="92" t="s">
        <v>713</v>
      </c>
      <c r="C11" s="92"/>
      <c r="D11" s="92"/>
      <c r="E11" s="92"/>
    </row>
    <row r="12" spans="1:12" ht="15" x14ac:dyDescent="0.25">
      <c r="A12" s="35">
        <v>910</v>
      </c>
      <c r="B12" s="92"/>
      <c r="C12" s="92"/>
      <c r="D12" s="92"/>
      <c r="E12" s="92"/>
      <c r="K12"/>
      <c r="L12"/>
    </row>
    <row r="13" spans="1:12" ht="13.2" customHeight="1" x14ac:dyDescent="0.25">
      <c r="B13" s="92"/>
      <c r="C13" s="92"/>
      <c r="D13" s="92"/>
      <c r="E13" s="92"/>
      <c r="K13"/>
      <c r="L13"/>
    </row>
    <row r="14" spans="1:12" ht="13.2" customHeight="1" x14ac:dyDescent="0.25">
      <c r="B14" s="92"/>
      <c r="C14" s="92"/>
      <c r="D14" s="92"/>
      <c r="E14" s="92"/>
      <c r="J14"/>
      <c r="K14"/>
      <c r="L14"/>
    </row>
    <row r="15" spans="1:12" ht="13.2" customHeight="1" x14ac:dyDescent="0.25">
      <c r="B15" s="92"/>
      <c r="C15" s="92"/>
      <c r="D15" s="92"/>
      <c r="E15" s="92"/>
      <c r="J15"/>
      <c r="K15"/>
      <c r="L15"/>
    </row>
    <row r="16" spans="1:12" ht="13.2" customHeight="1" x14ac:dyDescent="0.25">
      <c r="B16" s="92"/>
      <c r="C16" s="92"/>
      <c r="D16" s="92"/>
      <c r="E16" s="92"/>
      <c r="J16"/>
      <c r="K16"/>
      <c r="L16"/>
    </row>
    <row r="17" spans="2:12" ht="20.399999999999999" x14ac:dyDescent="0.25">
      <c r="B17" s="36"/>
      <c r="C17" s="36"/>
      <c r="D17" s="36"/>
      <c r="E17" s="36"/>
      <c r="J17"/>
      <c r="K17"/>
      <c r="L17"/>
    </row>
    <row r="18" spans="2:12" x14ac:dyDescent="0.25">
      <c r="J18"/>
      <c r="K18"/>
      <c r="L18"/>
    </row>
    <row r="19" spans="2:12" x14ac:dyDescent="0.25">
      <c r="J19"/>
      <c r="K19"/>
      <c r="L19"/>
    </row>
    <row r="20" spans="2:12" x14ac:dyDescent="0.25">
      <c r="J20"/>
      <c r="K20"/>
      <c r="L20"/>
    </row>
    <row r="21" spans="2:12" x14ac:dyDescent="0.25">
      <c r="J21"/>
      <c r="K21"/>
      <c r="L21"/>
    </row>
    <row r="22" spans="2:12" x14ac:dyDescent="0.25">
      <c r="J22"/>
      <c r="K22"/>
      <c r="L22"/>
    </row>
    <row r="23" spans="2:12" x14ac:dyDescent="0.25">
      <c r="J23"/>
      <c r="K23"/>
      <c r="L23"/>
    </row>
    <row r="24" spans="2:12" x14ac:dyDescent="0.25">
      <c r="J24"/>
      <c r="K24"/>
      <c r="L24"/>
    </row>
    <row r="25" spans="2:12" x14ac:dyDescent="0.25">
      <c r="J25"/>
      <c r="K25"/>
      <c r="L25"/>
    </row>
    <row r="26" spans="2:12" x14ac:dyDescent="0.25">
      <c r="J26"/>
      <c r="K26"/>
      <c r="L26"/>
    </row>
    <row r="27" spans="2:12" x14ac:dyDescent="0.25">
      <c r="J27"/>
      <c r="K27"/>
      <c r="L27"/>
    </row>
    <row r="28" spans="2:12" x14ac:dyDescent="0.25">
      <c r="J28"/>
      <c r="K28"/>
      <c r="L28"/>
    </row>
    <row r="29" spans="2:12" x14ac:dyDescent="0.25">
      <c r="J29"/>
      <c r="K29"/>
      <c r="L29"/>
    </row>
  </sheetData>
  <mergeCells count="1">
    <mergeCell ref="B11:E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B0E0B-9091-4D76-97D6-3A530AEA6A75}">
  <dimension ref="A1:XFD110"/>
  <sheetViews>
    <sheetView showGridLines="0" workbookViewId="0"/>
  </sheetViews>
  <sheetFormatPr defaultRowHeight="13.2" x14ac:dyDescent="0.25"/>
  <cols>
    <col min="1" max="1" width="8.88671875" style="1"/>
    <col min="2" max="2" width="80.6640625" style="1" customWidth="1"/>
    <col min="3" max="3" width="112.6640625" style="1" customWidth="1"/>
    <col min="4" max="16384" width="8.88671875" style="1"/>
  </cols>
  <sheetData>
    <row r="1" spans="1:21" s="41" customFormat="1" ht="13.2" customHeight="1" x14ac:dyDescent="0.25">
      <c r="A1" s="1"/>
      <c r="B1" s="40"/>
    </row>
    <row r="2" spans="1:21" s="41" customFormat="1" ht="23.25" customHeight="1" x14ac:dyDescent="0.25">
      <c r="A2" s="42"/>
      <c r="B2" s="43" t="s">
        <v>724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45"/>
      <c r="R2" s="45"/>
      <c r="S2" s="45"/>
      <c r="T2" s="45"/>
      <c r="U2" s="45"/>
    </row>
    <row r="3" spans="1:21" s="41" customFormat="1" ht="15" x14ac:dyDescent="0.25">
      <c r="A3" s="42"/>
      <c r="B3" s="46" t="str">
        <f>"This data includes all assurance visits to children's social care providers from 1 September 2020, where a letter to the provider was published by "&amp;TEXT(Date!B5, "d mmmm yyyy")</f>
        <v>This data includes all assurance visits to children's social care providers from 1 September 2020, where a letter to the provider was published by 7 February 2021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5"/>
      <c r="R3" s="45"/>
      <c r="S3" s="45"/>
      <c r="T3" s="45"/>
      <c r="U3" s="45"/>
    </row>
    <row r="4" spans="1:21" s="41" customFormat="1" ht="29.4" customHeight="1" x14ac:dyDescent="0.25">
      <c r="A4" s="81"/>
      <c r="B4" s="82" t="s">
        <v>555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5"/>
      <c r="R4" s="45"/>
      <c r="S4" s="45"/>
      <c r="T4" s="45"/>
      <c r="U4" s="45"/>
    </row>
    <row r="5" spans="1:21" s="41" customFormat="1" ht="30" customHeight="1" x14ac:dyDescent="0.25">
      <c r="A5" s="42"/>
      <c r="B5" s="46" t="s">
        <v>725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45"/>
      <c r="R5" s="45"/>
      <c r="S5" s="45"/>
      <c r="T5" s="45"/>
      <c r="U5" s="45"/>
    </row>
    <row r="6" spans="1:21" s="41" customFormat="1" ht="46.2" customHeight="1" x14ac:dyDescent="0.25">
      <c r="A6" s="42"/>
      <c r="B6" s="46" t="s">
        <v>726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  <c r="Q6" s="45"/>
      <c r="R6" s="45"/>
      <c r="S6" s="45"/>
      <c r="T6" s="45"/>
      <c r="U6" s="45"/>
    </row>
    <row r="7" spans="1:21" s="41" customFormat="1" ht="15" x14ac:dyDescent="0.25">
      <c r="A7" s="1"/>
      <c r="B7" s="47" t="s">
        <v>727</v>
      </c>
      <c r="C7" s="47" t="s">
        <v>728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49"/>
    </row>
    <row r="8" spans="1:21" s="41" customFormat="1" ht="15" x14ac:dyDescent="0.25">
      <c r="A8" s="1"/>
      <c r="B8" s="47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R8" s="50"/>
    </row>
    <row r="9" spans="1:21" s="41" customFormat="1" ht="26.4" customHeight="1" x14ac:dyDescent="0.25">
      <c r="A9" s="1"/>
      <c r="B9" s="51" t="s">
        <v>729</v>
      </c>
      <c r="C9" s="52" t="s">
        <v>735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49"/>
      <c r="R9" s="55"/>
    </row>
    <row r="10" spans="1:21" s="41" customFormat="1" ht="26.4" customHeight="1" x14ac:dyDescent="0.25">
      <c r="A10" s="1"/>
      <c r="B10" s="51" t="s">
        <v>142</v>
      </c>
      <c r="C10" s="53" t="s">
        <v>736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  <c r="P10" s="49"/>
      <c r="R10" s="55"/>
    </row>
    <row r="11" spans="1:21" s="41" customFormat="1" ht="26.4" customHeight="1" x14ac:dyDescent="0.25">
      <c r="A11" s="1"/>
      <c r="B11" s="51" t="s">
        <v>143</v>
      </c>
      <c r="C11" s="53" t="s">
        <v>737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49"/>
      <c r="R11" s="55"/>
    </row>
    <row r="12" spans="1:21" s="41" customFormat="1" ht="26.4" customHeight="1" x14ac:dyDescent="0.25">
      <c r="A12" s="1"/>
      <c r="B12" s="51" t="s">
        <v>144</v>
      </c>
      <c r="C12" s="53" t="s">
        <v>738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49"/>
      <c r="R12" s="55"/>
    </row>
    <row r="13" spans="1:21" s="41" customFormat="1" ht="26.4" customHeight="1" x14ac:dyDescent="0.25">
      <c r="A13" s="1"/>
      <c r="B13" s="51" t="s">
        <v>145</v>
      </c>
      <c r="C13" s="53" t="str">
        <f>"The status of the provider on "&amp;TEXT(Date!B5, "d mmmm yyyy")&amp;"."</f>
        <v>The status of the provider on 7 February 2021.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/>
      <c r="P13" s="49"/>
      <c r="R13" s="55"/>
    </row>
    <row r="14" spans="1:21" s="41" customFormat="1" ht="26.4" customHeight="1" x14ac:dyDescent="0.25">
      <c r="A14" s="1"/>
      <c r="B14" s="51" t="s">
        <v>146</v>
      </c>
      <c r="C14" s="53" t="s">
        <v>739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49"/>
      <c r="R14" s="55"/>
    </row>
    <row r="15" spans="1:21" s="41" customFormat="1" ht="26.4" customHeight="1" x14ac:dyDescent="0.25">
      <c r="A15" s="59"/>
      <c r="B15" s="51" t="s">
        <v>722</v>
      </c>
      <c r="C15" s="53" t="s">
        <v>740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  <c r="P15" s="49"/>
      <c r="R15" s="66"/>
    </row>
    <row r="16" spans="1:21" s="41" customFormat="1" ht="26.4" customHeight="1" x14ac:dyDescent="0.25">
      <c r="A16" s="59"/>
      <c r="B16" s="51" t="s">
        <v>147</v>
      </c>
      <c r="C16" s="53" t="s">
        <v>741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  <c r="P16" s="49"/>
      <c r="R16" s="66"/>
    </row>
    <row r="17" spans="1:16384" s="41" customFormat="1" ht="26.4" customHeight="1" x14ac:dyDescent="0.25">
      <c r="A17" s="59"/>
      <c r="B17" s="51" t="s">
        <v>148</v>
      </c>
      <c r="C17" s="53" t="s">
        <v>733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  <c r="P17" s="49"/>
      <c r="R17" s="66"/>
    </row>
    <row r="18" spans="1:16384" s="41" customFormat="1" ht="26.4" customHeight="1" x14ac:dyDescent="0.25">
      <c r="A18" s="1"/>
      <c r="B18" s="51" t="s">
        <v>149</v>
      </c>
      <c r="C18" s="51" t="s">
        <v>734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4"/>
      <c r="P18" s="49"/>
      <c r="R18" s="66"/>
    </row>
    <row r="19" spans="1:16384" s="41" customFormat="1" ht="26.4" customHeight="1" x14ac:dyDescent="0.25">
      <c r="A19" s="1"/>
      <c r="B19" s="51" t="s">
        <v>150</v>
      </c>
      <c r="C19" s="53" t="s">
        <v>742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4"/>
      <c r="P19" s="49"/>
      <c r="R19" s="66"/>
    </row>
    <row r="20" spans="1:16384" s="64" customFormat="1" ht="26.4" customHeight="1" x14ac:dyDescent="0.25">
      <c r="A20" s="1"/>
      <c r="B20" s="57" t="s">
        <v>730</v>
      </c>
      <c r="C20" s="58" t="s">
        <v>731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2"/>
      <c r="P20" s="63"/>
      <c r="R20" s="67"/>
    </row>
    <row r="21" spans="1:16384" s="64" customFormat="1" ht="26.4" customHeight="1" x14ac:dyDescent="0.25">
      <c r="A21" s="1"/>
      <c r="B21" s="57" t="s">
        <v>732</v>
      </c>
      <c r="C21" s="58" t="s">
        <v>743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2"/>
      <c r="P21" s="63"/>
      <c r="R21" s="66"/>
    </row>
    <row r="22" spans="1:16384" s="64" customFormat="1" ht="26.4" customHeight="1" x14ac:dyDescent="0.25">
      <c r="A22" s="1"/>
      <c r="B22" s="69" t="s">
        <v>660</v>
      </c>
      <c r="C22" s="58" t="s">
        <v>744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2"/>
      <c r="P22" s="63"/>
      <c r="R22" s="66"/>
    </row>
    <row r="23" spans="1:16384" s="64" customFormat="1" ht="27" customHeight="1" x14ac:dyDescent="0.25">
      <c r="A23" s="1"/>
      <c r="B23" s="69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  <c r="O23" s="62"/>
      <c r="P23" s="70"/>
      <c r="R23" s="66"/>
    </row>
    <row r="24" spans="1:16384" s="64" customFormat="1" ht="27" customHeight="1" x14ac:dyDescent="0.25">
      <c r="A24" s="1"/>
      <c r="B24" s="69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2"/>
      <c r="P24" s="70"/>
      <c r="R24" s="66"/>
    </row>
    <row r="25" spans="1:16384" s="64" customFormat="1" ht="27" customHeight="1" x14ac:dyDescent="0.25">
      <c r="A25" s="1"/>
      <c r="B25" s="69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2"/>
      <c r="P25" s="63"/>
      <c r="R25" s="66"/>
    </row>
    <row r="26" spans="1:16384" s="64" customFormat="1" ht="27" customHeight="1" x14ac:dyDescent="0.25">
      <c r="A26" s="1"/>
      <c r="B26" s="6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2"/>
      <c r="P26" s="63"/>
      <c r="R26" s="66"/>
    </row>
    <row r="27" spans="1:16384" s="64" customFormat="1" ht="27" customHeight="1" x14ac:dyDescent="0.25">
      <c r="A27" s="1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71"/>
      <c r="P27" s="63"/>
      <c r="R27" s="66"/>
    </row>
    <row r="28" spans="1:16384" s="64" customFormat="1" ht="27" customHeight="1" x14ac:dyDescent="0.25">
      <c r="A28" s="1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71"/>
      <c r="P28" s="63"/>
      <c r="R28" s="66"/>
    </row>
    <row r="29" spans="1:16384" s="64" customFormat="1" ht="27" customHeight="1" x14ac:dyDescent="0.25">
      <c r="A29" s="1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71"/>
      <c r="P29" s="63"/>
      <c r="R29" s="66"/>
    </row>
    <row r="30" spans="1:16384" s="64" customFormat="1" ht="27" customHeight="1" x14ac:dyDescent="0.25">
      <c r="A30" s="1"/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71"/>
      <c r="P30" s="63"/>
      <c r="R30" s="66"/>
    </row>
    <row r="31" spans="1:16384" s="64" customFormat="1" ht="27" customHeight="1" x14ac:dyDescent="0.25">
      <c r="A31" s="1"/>
      <c r="B31" s="60"/>
      <c r="C31" s="6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  <c r="IW31" s="73"/>
      <c r="IX31" s="73"/>
      <c r="IY31" s="73"/>
      <c r="IZ31" s="73"/>
      <c r="JA31" s="73"/>
      <c r="JB31" s="73"/>
      <c r="JC31" s="73"/>
      <c r="JD31" s="73"/>
      <c r="JE31" s="73"/>
      <c r="JF31" s="73"/>
      <c r="JG31" s="73"/>
      <c r="JH31" s="73"/>
      <c r="JI31" s="73"/>
      <c r="JJ31" s="73"/>
      <c r="JK31" s="73"/>
      <c r="JL31" s="73"/>
      <c r="JM31" s="73"/>
      <c r="JN31" s="73"/>
      <c r="JO31" s="73"/>
      <c r="JP31" s="73"/>
      <c r="JQ31" s="73"/>
      <c r="JR31" s="73"/>
      <c r="JS31" s="73"/>
      <c r="JT31" s="73"/>
      <c r="JU31" s="73"/>
      <c r="JV31" s="73"/>
      <c r="JW31" s="73"/>
      <c r="JX31" s="73"/>
      <c r="JY31" s="73"/>
      <c r="JZ31" s="73"/>
      <c r="KA31" s="73"/>
      <c r="KB31" s="73"/>
      <c r="KC31" s="73"/>
      <c r="KD31" s="73"/>
      <c r="KE31" s="73"/>
      <c r="KF31" s="73"/>
      <c r="KG31" s="73"/>
      <c r="KH31" s="73"/>
      <c r="KI31" s="73"/>
      <c r="KJ31" s="73"/>
      <c r="KK31" s="73"/>
      <c r="KL31" s="73"/>
      <c r="KM31" s="73"/>
      <c r="KN31" s="73"/>
      <c r="KO31" s="73"/>
      <c r="KP31" s="73"/>
      <c r="KQ31" s="73"/>
      <c r="KR31" s="73"/>
      <c r="KS31" s="73"/>
      <c r="KT31" s="73"/>
      <c r="KU31" s="73"/>
      <c r="KV31" s="73"/>
      <c r="KW31" s="73"/>
      <c r="KX31" s="73"/>
      <c r="KY31" s="73"/>
      <c r="KZ31" s="73"/>
      <c r="LA31" s="73"/>
      <c r="LB31" s="73"/>
      <c r="LC31" s="73"/>
      <c r="LD31" s="73"/>
      <c r="LE31" s="73"/>
      <c r="LF31" s="73"/>
      <c r="LG31" s="73"/>
      <c r="LH31" s="73"/>
      <c r="LI31" s="73"/>
      <c r="LJ31" s="73"/>
      <c r="LK31" s="73"/>
      <c r="LL31" s="73"/>
      <c r="LM31" s="73"/>
      <c r="LN31" s="73"/>
      <c r="LO31" s="73"/>
      <c r="LP31" s="73"/>
      <c r="LQ31" s="73"/>
      <c r="LR31" s="73"/>
      <c r="LS31" s="73"/>
      <c r="LT31" s="73"/>
      <c r="LU31" s="73"/>
      <c r="LV31" s="73"/>
      <c r="LW31" s="73"/>
      <c r="LX31" s="73"/>
      <c r="LY31" s="73"/>
      <c r="LZ31" s="73"/>
      <c r="MA31" s="73"/>
      <c r="MB31" s="73"/>
      <c r="MC31" s="73"/>
      <c r="MD31" s="73"/>
      <c r="ME31" s="73"/>
      <c r="MF31" s="73"/>
      <c r="MG31" s="73"/>
      <c r="MH31" s="73"/>
      <c r="MI31" s="73"/>
      <c r="MJ31" s="73"/>
      <c r="MK31" s="73"/>
      <c r="ML31" s="73"/>
      <c r="MM31" s="73"/>
      <c r="MN31" s="73"/>
      <c r="MO31" s="73"/>
      <c r="MP31" s="73"/>
      <c r="MQ31" s="73"/>
      <c r="MR31" s="73"/>
      <c r="MS31" s="73"/>
      <c r="MT31" s="73"/>
      <c r="MU31" s="73"/>
      <c r="MV31" s="73"/>
      <c r="MW31" s="73"/>
      <c r="MX31" s="73"/>
      <c r="MY31" s="73"/>
      <c r="MZ31" s="73"/>
      <c r="NA31" s="73"/>
      <c r="NB31" s="73"/>
      <c r="NC31" s="73"/>
      <c r="ND31" s="73"/>
      <c r="NE31" s="73"/>
      <c r="NF31" s="73"/>
      <c r="NG31" s="73"/>
      <c r="NH31" s="73"/>
      <c r="NI31" s="73"/>
      <c r="NJ31" s="73"/>
      <c r="NK31" s="73"/>
      <c r="NL31" s="73"/>
      <c r="NM31" s="73"/>
      <c r="NN31" s="73"/>
      <c r="NO31" s="73"/>
      <c r="NP31" s="73"/>
      <c r="NQ31" s="73"/>
      <c r="NR31" s="73"/>
      <c r="NS31" s="73"/>
      <c r="NT31" s="73"/>
      <c r="NU31" s="73"/>
      <c r="NV31" s="73"/>
      <c r="NW31" s="73"/>
      <c r="NX31" s="73"/>
      <c r="NY31" s="73"/>
      <c r="NZ31" s="73"/>
      <c r="OA31" s="73"/>
      <c r="OB31" s="73"/>
      <c r="OC31" s="73"/>
      <c r="OD31" s="73"/>
      <c r="OE31" s="73"/>
      <c r="OF31" s="73"/>
      <c r="OG31" s="73"/>
      <c r="OH31" s="73"/>
      <c r="OI31" s="73"/>
      <c r="OJ31" s="73"/>
      <c r="OK31" s="73"/>
      <c r="OL31" s="73"/>
      <c r="OM31" s="73"/>
      <c r="ON31" s="73"/>
      <c r="OO31" s="73"/>
      <c r="OP31" s="73"/>
      <c r="OQ31" s="73"/>
      <c r="OR31" s="73"/>
      <c r="OS31" s="73"/>
      <c r="OT31" s="73"/>
      <c r="OU31" s="73"/>
      <c r="OV31" s="73"/>
      <c r="OW31" s="73"/>
      <c r="OX31" s="73"/>
      <c r="OY31" s="73"/>
      <c r="OZ31" s="73"/>
      <c r="PA31" s="73"/>
      <c r="PB31" s="73"/>
      <c r="PC31" s="73"/>
      <c r="PD31" s="73"/>
      <c r="PE31" s="73"/>
      <c r="PF31" s="73"/>
      <c r="PG31" s="73"/>
      <c r="PH31" s="73"/>
      <c r="PI31" s="73"/>
      <c r="PJ31" s="73"/>
      <c r="PK31" s="73"/>
      <c r="PL31" s="73"/>
      <c r="PM31" s="73"/>
      <c r="PN31" s="73"/>
      <c r="PO31" s="73"/>
      <c r="PP31" s="73"/>
      <c r="PQ31" s="73"/>
      <c r="PR31" s="73"/>
      <c r="PS31" s="73"/>
      <c r="PT31" s="73"/>
      <c r="PU31" s="73"/>
      <c r="PV31" s="73"/>
      <c r="PW31" s="73"/>
      <c r="PX31" s="73"/>
      <c r="PY31" s="73"/>
      <c r="PZ31" s="73"/>
      <c r="QA31" s="73"/>
      <c r="QB31" s="73"/>
      <c r="QC31" s="73"/>
      <c r="QD31" s="73"/>
      <c r="QE31" s="73"/>
      <c r="QF31" s="73"/>
      <c r="QG31" s="73"/>
      <c r="QH31" s="73"/>
      <c r="QI31" s="73"/>
      <c r="QJ31" s="73"/>
      <c r="QK31" s="73"/>
      <c r="QL31" s="73"/>
      <c r="QM31" s="73"/>
      <c r="QN31" s="73"/>
      <c r="QO31" s="73"/>
      <c r="QP31" s="73"/>
      <c r="QQ31" s="73"/>
      <c r="QR31" s="73"/>
      <c r="QS31" s="73"/>
      <c r="QT31" s="73"/>
      <c r="QU31" s="73"/>
      <c r="QV31" s="73"/>
      <c r="QW31" s="73"/>
      <c r="QX31" s="73"/>
      <c r="QY31" s="73"/>
      <c r="QZ31" s="73"/>
      <c r="RA31" s="73"/>
      <c r="RB31" s="73"/>
      <c r="RC31" s="73"/>
      <c r="RD31" s="73"/>
      <c r="RE31" s="73"/>
      <c r="RF31" s="73"/>
      <c r="RG31" s="73"/>
      <c r="RH31" s="73"/>
      <c r="RI31" s="73"/>
      <c r="RJ31" s="73"/>
      <c r="RK31" s="73"/>
      <c r="RL31" s="73"/>
      <c r="RM31" s="73"/>
      <c r="RN31" s="73"/>
      <c r="RO31" s="73"/>
      <c r="RP31" s="73"/>
      <c r="RQ31" s="73"/>
      <c r="RR31" s="73"/>
      <c r="RS31" s="73"/>
      <c r="RT31" s="73"/>
      <c r="RU31" s="73"/>
      <c r="RV31" s="73"/>
      <c r="RW31" s="73"/>
      <c r="RX31" s="73"/>
      <c r="RY31" s="73"/>
      <c r="RZ31" s="73"/>
      <c r="SA31" s="73"/>
      <c r="SB31" s="73"/>
      <c r="SC31" s="73"/>
      <c r="SD31" s="73"/>
      <c r="SE31" s="73"/>
      <c r="SF31" s="73"/>
      <c r="SG31" s="73"/>
      <c r="SH31" s="73"/>
      <c r="SI31" s="73"/>
      <c r="SJ31" s="73"/>
      <c r="SK31" s="73"/>
      <c r="SL31" s="73"/>
      <c r="SM31" s="73"/>
      <c r="SN31" s="73"/>
      <c r="SO31" s="73"/>
      <c r="SP31" s="73"/>
      <c r="SQ31" s="73"/>
      <c r="SR31" s="73"/>
      <c r="SS31" s="73"/>
      <c r="ST31" s="73"/>
      <c r="SU31" s="73"/>
      <c r="SV31" s="73"/>
      <c r="SW31" s="73"/>
      <c r="SX31" s="73"/>
      <c r="SY31" s="73"/>
      <c r="SZ31" s="73"/>
      <c r="TA31" s="73"/>
      <c r="TB31" s="73"/>
      <c r="TC31" s="73"/>
      <c r="TD31" s="73"/>
      <c r="TE31" s="73"/>
      <c r="TF31" s="73"/>
      <c r="TG31" s="73"/>
      <c r="TH31" s="73"/>
      <c r="TI31" s="73"/>
      <c r="TJ31" s="73"/>
      <c r="TK31" s="73"/>
      <c r="TL31" s="73"/>
      <c r="TM31" s="73"/>
      <c r="TN31" s="73"/>
      <c r="TO31" s="73"/>
      <c r="TP31" s="73"/>
      <c r="TQ31" s="73"/>
      <c r="TR31" s="73"/>
      <c r="TS31" s="73"/>
      <c r="TT31" s="73"/>
      <c r="TU31" s="73"/>
      <c r="TV31" s="73"/>
      <c r="TW31" s="73"/>
      <c r="TX31" s="73"/>
      <c r="TY31" s="73"/>
      <c r="TZ31" s="73"/>
      <c r="UA31" s="73"/>
      <c r="UB31" s="73"/>
      <c r="UC31" s="73"/>
      <c r="UD31" s="73"/>
      <c r="UE31" s="73"/>
      <c r="UF31" s="73"/>
      <c r="UG31" s="73"/>
      <c r="UH31" s="73"/>
      <c r="UI31" s="73"/>
      <c r="UJ31" s="73"/>
      <c r="UK31" s="73"/>
      <c r="UL31" s="73"/>
      <c r="UM31" s="73"/>
      <c r="UN31" s="73"/>
      <c r="UO31" s="73"/>
      <c r="UP31" s="73"/>
      <c r="UQ31" s="73"/>
      <c r="UR31" s="73"/>
      <c r="US31" s="73"/>
      <c r="UT31" s="73"/>
      <c r="UU31" s="73"/>
      <c r="UV31" s="73"/>
      <c r="UW31" s="73"/>
      <c r="UX31" s="73"/>
      <c r="UY31" s="73"/>
      <c r="UZ31" s="73"/>
      <c r="VA31" s="73"/>
      <c r="VB31" s="73"/>
      <c r="VC31" s="73"/>
      <c r="VD31" s="73"/>
      <c r="VE31" s="73"/>
      <c r="VF31" s="73"/>
      <c r="VG31" s="73"/>
      <c r="VH31" s="73"/>
      <c r="VI31" s="73"/>
      <c r="VJ31" s="73"/>
      <c r="VK31" s="73"/>
      <c r="VL31" s="73"/>
      <c r="VM31" s="73"/>
      <c r="VN31" s="73"/>
      <c r="VO31" s="73"/>
      <c r="VP31" s="73"/>
      <c r="VQ31" s="73"/>
      <c r="VR31" s="73"/>
      <c r="VS31" s="73"/>
      <c r="VT31" s="73"/>
      <c r="VU31" s="73"/>
      <c r="VV31" s="73"/>
      <c r="VW31" s="73"/>
      <c r="VX31" s="73"/>
      <c r="VY31" s="73"/>
      <c r="VZ31" s="73"/>
      <c r="WA31" s="73"/>
      <c r="WB31" s="73"/>
      <c r="WC31" s="73"/>
      <c r="WD31" s="73"/>
      <c r="WE31" s="73"/>
      <c r="WF31" s="73"/>
      <c r="WG31" s="73"/>
      <c r="WH31" s="73"/>
      <c r="WI31" s="73"/>
      <c r="WJ31" s="73"/>
      <c r="WK31" s="73"/>
      <c r="WL31" s="73"/>
      <c r="WM31" s="73"/>
      <c r="WN31" s="73"/>
      <c r="WO31" s="73"/>
      <c r="WP31" s="73"/>
      <c r="WQ31" s="73"/>
      <c r="WR31" s="73"/>
      <c r="WS31" s="73"/>
      <c r="WT31" s="73"/>
      <c r="WU31" s="73"/>
      <c r="WV31" s="73"/>
      <c r="WW31" s="73"/>
      <c r="WX31" s="73"/>
      <c r="WY31" s="73"/>
      <c r="WZ31" s="73"/>
      <c r="XA31" s="73"/>
      <c r="XB31" s="73"/>
      <c r="XC31" s="73"/>
      <c r="XD31" s="73"/>
      <c r="XE31" s="73"/>
      <c r="XF31" s="73"/>
      <c r="XG31" s="73"/>
      <c r="XH31" s="73"/>
      <c r="XI31" s="73"/>
      <c r="XJ31" s="73"/>
      <c r="XK31" s="73"/>
      <c r="XL31" s="73"/>
      <c r="XM31" s="73"/>
      <c r="XN31" s="73"/>
      <c r="XO31" s="73"/>
      <c r="XP31" s="73"/>
      <c r="XQ31" s="73"/>
      <c r="XR31" s="73"/>
      <c r="XS31" s="73"/>
      <c r="XT31" s="73"/>
      <c r="XU31" s="73"/>
      <c r="XV31" s="73"/>
      <c r="XW31" s="73"/>
      <c r="XX31" s="73"/>
      <c r="XY31" s="73"/>
      <c r="XZ31" s="73"/>
      <c r="YA31" s="73"/>
      <c r="YB31" s="73"/>
      <c r="YC31" s="73"/>
      <c r="YD31" s="73"/>
      <c r="YE31" s="73"/>
      <c r="YF31" s="73"/>
      <c r="YG31" s="73"/>
      <c r="YH31" s="73"/>
      <c r="YI31" s="73"/>
      <c r="YJ31" s="73"/>
      <c r="YK31" s="73"/>
      <c r="YL31" s="73"/>
      <c r="YM31" s="73"/>
      <c r="YN31" s="73"/>
      <c r="YO31" s="73"/>
      <c r="YP31" s="73"/>
      <c r="YQ31" s="73"/>
      <c r="YR31" s="73"/>
      <c r="YS31" s="73"/>
      <c r="YT31" s="73"/>
      <c r="YU31" s="73"/>
      <c r="YV31" s="73"/>
      <c r="YW31" s="73"/>
      <c r="YX31" s="73"/>
      <c r="YY31" s="73"/>
      <c r="YZ31" s="73"/>
      <c r="ZA31" s="73"/>
      <c r="ZB31" s="73"/>
      <c r="ZC31" s="73"/>
      <c r="ZD31" s="73"/>
      <c r="ZE31" s="73"/>
      <c r="ZF31" s="73"/>
      <c r="ZG31" s="73"/>
      <c r="ZH31" s="73"/>
      <c r="ZI31" s="73"/>
      <c r="ZJ31" s="73"/>
      <c r="ZK31" s="73"/>
      <c r="ZL31" s="73"/>
      <c r="ZM31" s="73"/>
      <c r="ZN31" s="73"/>
      <c r="ZO31" s="73"/>
      <c r="ZP31" s="73"/>
      <c r="ZQ31" s="73"/>
      <c r="ZR31" s="73"/>
      <c r="ZS31" s="73"/>
      <c r="ZT31" s="73"/>
      <c r="ZU31" s="73"/>
      <c r="ZV31" s="73"/>
      <c r="ZW31" s="73"/>
      <c r="ZX31" s="73"/>
      <c r="ZY31" s="73"/>
      <c r="ZZ31" s="73"/>
      <c r="AAA31" s="73"/>
      <c r="AAB31" s="73"/>
      <c r="AAC31" s="73"/>
      <c r="AAD31" s="73"/>
      <c r="AAE31" s="73"/>
      <c r="AAF31" s="73"/>
      <c r="AAG31" s="73"/>
      <c r="AAH31" s="73"/>
      <c r="AAI31" s="73"/>
      <c r="AAJ31" s="73"/>
      <c r="AAK31" s="73"/>
      <c r="AAL31" s="73"/>
      <c r="AAM31" s="73"/>
      <c r="AAN31" s="73"/>
      <c r="AAO31" s="73"/>
      <c r="AAP31" s="73"/>
      <c r="AAQ31" s="73"/>
      <c r="AAR31" s="73"/>
      <c r="AAS31" s="73"/>
      <c r="AAT31" s="73"/>
      <c r="AAU31" s="73"/>
      <c r="AAV31" s="73"/>
      <c r="AAW31" s="73"/>
      <c r="AAX31" s="73"/>
      <c r="AAY31" s="73"/>
      <c r="AAZ31" s="73"/>
      <c r="ABA31" s="73"/>
      <c r="ABB31" s="73"/>
      <c r="ABC31" s="73"/>
      <c r="ABD31" s="73"/>
      <c r="ABE31" s="73"/>
      <c r="ABF31" s="73"/>
      <c r="ABG31" s="73"/>
      <c r="ABH31" s="73"/>
      <c r="ABI31" s="73"/>
      <c r="ABJ31" s="73"/>
      <c r="ABK31" s="73"/>
      <c r="ABL31" s="73"/>
      <c r="ABM31" s="73"/>
      <c r="ABN31" s="73"/>
      <c r="ABO31" s="73"/>
      <c r="ABP31" s="73"/>
      <c r="ABQ31" s="73"/>
      <c r="ABR31" s="73"/>
      <c r="ABS31" s="73"/>
      <c r="ABT31" s="73"/>
      <c r="ABU31" s="73"/>
      <c r="ABV31" s="73"/>
      <c r="ABW31" s="73"/>
      <c r="ABX31" s="73"/>
      <c r="ABY31" s="73"/>
      <c r="ABZ31" s="73"/>
      <c r="ACA31" s="73"/>
      <c r="ACB31" s="73"/>
      <c r="ACC31" s="73"/>
      <c r="ACD31" s="73"/>
      <c r="ACE31" s="73"/>
      <c r="ACF31" s="73"/>
      <c r="ACG31" s="73"/>
      <c r="ACH31" s="73"/>
      <c r="ACI31" s="73"/>
      <c r="ACJ31" s="73"/>
      <c r="ACK31" s="73"/>
      <c r="ACL31" s="73"/>
      <c r="ACM31" s="73"/>
      <c r="ACN31" s="73"/>
      <c r="ACO31" s="73"/>
      <c r="ACP31" s="73"/>
      <c r="ACQ31" s="73"/>
      <c r="ACR31" s="73"/>
      <c r="ACS31" s="73"/>
      <c r="ACT31" s="73"/>
      <c r="ACU31" s="73"/>
      <c r="ACV31" s="73"/>
      <c r="ACW31" s="73"/>
      <c r="ACX31" s="73"/>
      <c r="ACY31" s="73"/>
      <c r="ACZ31" s="73"/>
      <c r="ADA31" s="73"/>
      <c r="ADB31" s="73"/>
      <c r="ADC31" s="73"/>
      <c r="ADD31" s="73"/>
      <c r="ADE31" s="73"/>
      <c r="ADF31" s="73"/>
      <c r="ADG31" s="73"/>
      <c r="ADH31" s="73"/>
      <c r="ADI31" s="73"/>
      <c r="ADJ31" s="73"/>
      <c r="ADK31" s="73"/>
      <c r="ADL31" s="73"/>
      <c r="ADM31" s="73"/>
      <c r="ADN31" s="73"/>
      <c r="ADO31" s="73"/>
      <c r="ADP31" s="73"/>
      <c r="ADQ31" s="73"/>
      <c r="ADR31" s="73"/>
      <c r="ADS31" s="73"/>
      <c r="ADT31" s="73"/>
      <c r="ADU31" s="73"/>
      <c r="ADV31" s="73"/>
      <c r="ADW31" s="73"/>
      <c r="ADX31" s="73"/>
      <c r="ADY31" s="73"/>
      <c r="ADZ31" s="73"/>
      <c r="AEA31" s="73"/>
      <c r="AEB31" s="73"/>
      <c r="AEC31" s="73"/>
      <c r="AED31" s="73"/>
      <c r="AEE31" s="73"/>
      <c r="AEF31" s="73"/>
      <c r="AEG31" s="73"/>
      <c r="AEH31" s="73"/>
      <c r="AEI31" s="73"/>
      <c r="AEJ31" s="73"/>
      <c r="AEK31" s="73"/>
      <c r="AEL31" s="73"/>
      <c r="AEM31" s="73"/>
      <c r="AEN31" s="73"/>
      <c r="AEO31" s="73"/>
      <c r="AEP31" s="73"/>
      <c r="AEQ31" s="73"/>
      <c r="AER31" s="73"/>
      <c r="AES31" s="73"/>
      <c r="AET31" s="73"/>
      <c r="AEU31" s="73"/>
      <c r="AEV31" s="73"/>
      <c r="AEW31" s="73"/>
      <c r="AEX31" s="73"/>
      <c r="AEY31" s="73"/>
      <c r="AEZ31" s="73"/>
      <c r="AFA31" s="73"/>
      <c r="AFB31" s="73"/>
      <c r="AFC31" s="73"/>
      <c r="AFD31" s="73"/>
      <c r="AFE31" s="73"/>
      <c r="AFF31" s="73"/>
      <c r="AFG31" s="73"/>
      <c r="AFH31" s="73"/>
      <c r="AFI31" s="73"/>
      <c r="AFJ31" s="73"/>
      <c r="AFK31" s="73"/>
      <c r="AFL31" s="73"/>
      <c r="AFM31" s="73"/>
      <c r="AFN31" s="73"/>
      <c r="AFO31" s="73"/>
      <c r="AFP31" s="73"/>
      <c r="AFQ31" s="73"/>
      <c r="AFR31" s="73"/>
      <c r="AFS31" s="73"/>
      <c r="AFT31" s="73"/>
      <c r="AFU31" s="73"/>
      <c r="AFV31" s="73"/>
      <c r="AFW31" s="73"/>
      <c r="AFX31" s="73"/>
      <c r="AFY31" s="73"/>
      <c r="AFZ31" s="73"/>
      <c r="AGA31" s="73"/>
      <c r="AGB31" s="73"/>
      <c r="AGC31" s="73"/>
      <c r="AGD31" s="73"/>
      <c r="AGE31" s="73"/>
      <c r="AGF31" s="73"/>
      <c r="AGG31" s="73"/>
      <c r="AGH31" s="73"/>
      <c r="AGI31" s="73"/>
      <c r="AGJ31" s="73"/>
      <c r="AGK31" s="73"/>
      <c r="AGL31" s="73"/>
      <c r="AGM31" s="73"/>
      <c r="AGN31" s="73"/>
      <c r="AGO31" s="73"/>
      <c r="AGP31" s="73"/>
      <c r="AGQ31" s="73"/>
      <c r="AGR31" s="73"/>
      <c r="AGS31" s="73"/>
      <c r="AGT31" s="73"/>
      <c r="AGU31" s="73"/>
      <c r="AGV31" s="73"/>
      <c r="AGW31" s="73"/>
      <c r="AGX31" s="73"/>
      <c r="AGY31" s="73"/>
      <c r="AGZ31" s="73"/>
      <c r="AHA31" s="73"/>
      <c r="AHB31" s="73"/>
      <c r="AHC31" s="73"/>
      <c r="AHD31" s="73"/>
      <c r="AHE31" s="73"/>
      <c r="AHF31" s="73"/>
      <c r="AHG31" s="73"/>
      <c r="AHH31" s="73"/>
      <c r="AHI31" s="73"/>
      <c r="AHJ31" s="73"/>
      <c r="AHK31" s="73"/>
      <c r="AHL31" s="73"/>
      <c r="AHM31" s="73"/>
      <c r="AHN31" s="73"/>
      <c r="AHO31" s="73"/>
      <c r="AHP31" s="73"/>
      <c r="AHQ31" s="73"/>
      <c r="AHR31" s="73"/>
      <c r="AHS31" s="73"/>
      <c r="AHT31" s="73"/>
      <c r="AHU31" s="73"/>
      <c r="AHV31" s="73"/>
      <c r="AHW31" s="73"/>
      <c r="AHX31" s="73"/>
      <c r="AHY31" s="73"/>
      <c r="AHZ31" s="73"/>
      <c r="AIA31" s="73"/>
      <c r="AIB31" s="73"/>
      <c r="AIC31" s="73"/>
      <c r="AID31" s="73"/>
      <c r="AIE31" s="73"/>
      <c r="AIF31" s="73"/>
      <c r="AIG31" s="73"/>
      <c r="AIH31" s="73"/>
      <c r="AII31" s="73"/>
      <c r="AIJ31" s="73"/>
      <c r="AIK31" s="73"/>
      <c r="AIL31" s="73"/>
      <c r="AIM31" s="73"/>
      <c r="AIN31" s="73"/>
      <c r="AIO31" s="73"/>
      <c r="AIP31" s="73"/>
      <c r="AIQ31" s="73"/>
      <c r="AIR31" s="73"/>
      <c r="AIS31" s="73"/>
      <c r="AIT31" s="73"/>
      <c r="AIU31" s="73"/>
      <c r="AIV31" s="73"/>
      <c r="AIW31" s="73"/>
      <c r="AIX31" s="73"/>
      <c r="AIY31" s="73"/>
      <c r="AIZ31" s="73"/>
      <c r="AJA31" s="73"/>
      <c r="AJB31" s="73"/>
      <c r="AJC31" s="73"/>
      <c r="AJD31" s="73"/>
      <c r="AJE31" s="73"/>
      <c r="AJF31" s="73"/>
      <c r="AJG31" s="73"/>
      <c r="AJH31" s="73"/>
      <c r="AJI31" s="73"/>
      <c r="AJJ31" s="73"/>
      <c r="AJK31" s="73"/>
      <c r="AJL31" s="73"/>
      <c r="AJM31" s="73"/>
      <c r="AJN31" s="73"/>
      <c r="AJO31" s="73"/>
      <c r="AJP31" s="73"/>
      <c r="AJQ31" s="73"/>
      <c r="AJR31" s="73"/>
      <c r="AJS31" s="73"/>
      <c r="AJT31" s="73"/>
      <c r="AJU31" s="73"/>
      <c r="AJV31" s="73"/>
      <c r="AJW31" s="73"/>
      <c r="AJX31" s="73"/>
      <c r="AJY31" s="73"/>
      <c r="AJZ31" s="73"/>
      <c r="AKA31" s="73"/>
      <c r="AKB31" s="73"/>
      <c r="AKC31" s="73"/>
      <c r="AKD31" s="73"/>
      <c r="AKE31" s="73"/>
      <c r="AKF31" s="73"/>
      <c r="AKG31" s="73"/>
      <c r="AKH31" s="73"/>
      <c r="AKI31" s="73"/>
      <c r="AKJ31" s="73"/>
      <c r="AKK31" s="73"/>
      <c r="AKL31" s="73"/>
      <c r="AKM31" s="73"/>
      <c r="AKN31" s="73"/>
      <c r="AKO31" s="73"/>
      <c r="AKP31" s="73"/>
      <c r="AKQ31" s="73"/>
      <c r="AKR31" s="73"/>
      <c r="AKS31" s="73"/>
      <c r="AKT31" s="73"/>
      <c r="AKU31" s="73"/>
      <c r="AKV31" s="73"/>
      <c r="AKW31" s="73"/>
      <c r="AKX31" s="73"/>
      <c r="AKY31" s="73"/>
      <c r="AKZ31" s="73"/>
      <c r="ALA31" s="73"/>
      <c r="ALB31" s="73"/>
      <c r="ALC31" s="73"/>
      <c r="ALD31" s="73"/>
      <c r="ALE31" s="73"/>
      <c r="ALF31" s="73"/>
      <c r="ALG31" s="73"/>
      <c r="ALH31" s="73"/>
      <c r="ALI31" s="73"/>
      <c r="ALJ31" s="73"/>
      <c r="ALK31" s="73"/>
      <c r="ALL31" s="73"/>
      <c r="ALM31" s="73"/>
      <c r="ALN31" s="73"/>
      <c r="ALO31" s="73"/>
      <c r="ALP31" s="73"/>
      <c r="ALQ31" s="73"/>
      <c r="ALR31" s="73"/>
      <c r="ALS31" s="73"/>
      <c r="ALT31" s="73"/>
      <c r="ALU31" s="73"/>
      <c r="ALV31" s="73"/>
      <c r="ALW31" s="73"/>
      <c r="ALX31" s="73"/>
      <c r="ALY31" s="73"/>
      <c r="ALZ31" s="73"/>
      <c r="AMA31" s="73"/>
      <c r="AMB31" s="73"/>
      <c r="AMC31" s="73"/>
      <c r="AMD31" s="73"/>
      <c r="AME31" s="73"/>
      <c r="AMF31" s="73"/>
      <c r="AMG31" s="73"/>
      <c r="AMH31" s="73"/>
      <c r="AMI31" s="73"/>
      <c r="AMJ31" s="73"/>
      <c r="AMK31" s="73"/>
      <c r="AML31" s="73"/>
      <c r="AMM31" s="73"/>
      <c r="AMN31" s="73"/>
      <c r="AMO31" s="73"/>
      <c r="AMP31" s="73"/>
      <c r="AMQ31" s="73"/>
      <c r="AMR31" s="73"/>
      <c r="AMS31" s="73"/>
      <c r="AMT31" s="73"/>
      <c r="AMU31" s="73"/>
      <c r="AMV31" s="73"/>
      <c r="AMW31" s="73"/>
      <c r="AMX31" s="73"/>
      <c r="AMY31" s="73"/>
      <c r="AMZ31" s="73"/>
      <c r="ANA31" s="73"/>
      <c r="ANB31" s="73"/>
      <c r="ANC31" s="73"/>
      <c r="AND31" s="73"/>
      <c r="ANE31" s="73"/>
      <c r="ANF31" s="73"/>
      <c r="ANG31" s="73"/>
      <c r="ANH31" s="73"/>
      <c r="ANI31" s="73"/>
      <c r="ANJ31" s="73"/>
      <c r="ANK31" s="73"/>
      <c r="ANL31" s="73"/>
      <c r="ANM31" s="73"/>
      <c r="ANN31" s="73"/>
      <c r="ANO31" s="73"/>
      <c r="ANP31" s="73"/>
      <c r="ANQ31" s="73"/>
      <c r="ANR31" s="73"/>
      <c r="ANS31" s="73"/>
      <c r="ANT31" s="73"/>
      <c r="ANU31" s="73"/>
      <c r="ANV31" s="73"/>
      <c r="ANW31" s="73"/>
      <c r="ANX31" s="73"/>
      <c r="ANY31" s="73"/>
      <c r="ANZ31" s="73"/>
      <c r="AOA31" s="73"/>
      <c r="AOB31" s="73"/>
      <c r="AOC31" s="73"/>
      <c r="AOD31" s="73"/>
      <c r="AOE31" s="73"/>
      <c r="AOF31" s="73"/>
      <c r="AOG31" s="73"/>
      <c r="AOH31" s="73"/>
      <c r="AOI31" s="73"/>
      <c r="AOJ31" s="73"/>
      <c r="AOK31" s="73"/>
      <c r="AOL31" s="73"/>
      <c r="AOM31" s="73"/>
      <c r="AON31" s="73"/>
      <c r="AOO31" s="73"/>
      <c r="AOP31" s="73"/>
      <c r="AOQ31" s="73"/>
      <c r="AOR31" s="73"/>
      <c r="AOS31" s="73"/>
      <c r="AOT31" s="73"/>
      <c r="AOU31" s="73"/>
      <c r="AOV31" s="73"/>
      <c r="AOW31" s="73"/>
      <c r="AOX31" s="73"/>
      <c r="AOY31" s="73"/>
      <c r="AOZ31" s="73"/>
      <c r="APA31" s="73"/>
      <c r="APB31" s="73"/>
      <c r="APC31" s="73"/>
      <c r="APD31" s="73"/>
      <c r="APE31" s="73"/>
      <c r="APF31" s="73"/>
      <c r="APG31" s="73"/>
      <c r="APH31" s="73"/>
      <c r="API31" s="73"/>
      <c r="APJ31" s="73"/>
      <c r="APK31" s="73"/>
      <c r="APL31" s="73"/>
      <c r="APM31" s="73"/>
      <c r="APN31" s="73"/>
      <c r="APO31" s="73"/>
      <c r="APP31" s="73"/>
      <c r="APQ31" s="73"/>
      <c r="APR31" s="73"/>
      <c r="APS31" s="73"/>
      <c r="APT31" s="73"/>
      <c r="APU31" s="73"/>
      <c r="APV31" s="73"/>
      <c r="APW31" s="73"/>
      <c r="APX31" s="73"/>
      <c r="APY31" s="73"/>
      <c r="APZ31" s="73"/>
      <c r="AQA31" s="73"/>
      <c r="AQB31" s="73"/>
      <c r="AQC31" s="73"/>
      <c r="AQD31" s="73"/>
      <c r="AQE31" s="73"/>
      <c r="AQF31" s="73"/>
      <c r="AQG31" s="73"/>
      <c r="AQH31" s="73"/>
      <c r="AQI31" s="73"/>
      <c r="AQJ31" s="73"/>
      <c r="AQK31" s="73"/>
      <c r="AQL31" s="73"/>
      <c r="AQM31" s="73"/>
      <c r="AQN31" s="73"/>
      <c r="AQO31" s="73"/>
      <c r="AQP31" s="73"/>
      <c r="AQQ31" s="73"/>
      <c r="AQR31" s="73"/>
      <c r="AQS31" s="73"/>
      <c r="AQT31" s="73"/>
      <c r="AQU31" s="73"/>
      <c r="AQV31" s="73"/>
      <c r="AQW31" s="73"/>
      <c r="AQX31" s="73"/>
      <c r="AQY31" s="73"/>
      <c r="AQZ31" s="73"/>
      <c r="ARA31" s="73"/>
      <c r="ARB31" s="73"/>
      <c r="ARC31" s="73"/>
      <c r="ARD31" s="73"/>
      <c r="ARE31" s="73"/>
      <c r="ARF31" s="73"/>
      <c r="ARG31" s="73"/>
      <c r="ARH31" s="73"/>
      <c r="ARI31" s="73"/>
      <c r="ARJ31" s="73"/>
      <c r="ARK31" s="73"/>
      <c r="ARL31" s="73"/>
      <c r="ARM31" s="73"/>
      <c r="ARN31" s="73"/>
      <c r="ARO31" s="73"/>
      <c r="ARP31" s="73"/>
      <c r="ARQ31" s="73"/>
      <c r="ARR31" s="73"/>
      <c r="ARS31" s="73"/>
      <c r="ART31" s="73"/>
      <c r="ARU31" s="73"/>
      <c r="ARV31" s="73"/>
      <c r="ARW31" s="73"/>
      <c r="ARX31" s="73"/>
      <c r="ARY31" s="73"/>
      <c r="ARZ31" s="73"/>
      <c r="ASA31" s="73"/>
      <c r="ASB31" s="73"/>
      <c r="ASC31" s="73"/>
      <c r="ASD31" s="73"/>
      <c r="ASE31" s="73"/>
      <c r="ASF31" s="73"/>
      <c r="ASG31" s="73"/>
      <c r="ASH31" s="73"/>
      <c r="ASI31" s="73"/>
      <c r="ASJ31" s="73"/>
      <c r="ASK31" s="73"/>
      <c r="ASL31" s="73"/>
      <c r="ASM31" s="73"/>
      <c r="ASN31" s="73"/>
      <c r="ASO31" s="73"/>
      <c r="ASP31" s="73"/>
      <c r="ASQ31" s="73"/>
      <c r="ASR31" s="73"/>
      <c r="ASS31" s="73"/>
      <c r="AST31" s="73"/>
      <c r="ASU31" s="73"/>
      <c r="ASV31" s="73"/>
      <c r="ASW31" s="73"/>
      <c r="ASX31" s="73"/>
      <c r="ASY31" s="73"/>
      <c r="ASZ31" s="73"/>
      <c r="ATA31" s="73"/>
      <c r="ATB31" s="73"/>
      <c r="ATC31" s="73"/>
      <c r="ATD31" s="73"/>
      <c r="ATE31" s="73"/>
      <c r="ATF31" s="73"/>
      <c r="ATG31" s="73"/>
      <c r="ATH31" s="73"/>
      <c r="ATI31" s="73"/>
      <c r="ATJ31" s="73"/>
      <c r="ATK31" s="73"/>
      <c r="ATL31" s="73"/>
      <c r="ATM31" s="73"/>
      <c r="ATN31" s="73"/>
      <c r="ATO31" s="73"/>
      <c r="ATP31" s="73"/>
      <c r="ATQ31" s="73"/>
      <c r="ATR31" s="73"/>
      <c r="ATS31" s="73"/>
      <c r="ATT31" s="73"/>
      <c r="ATU31" s="73"/>
      <c r="ATV31" s="73"/>
      <c r="ATW31" s="73"/>
      <c r="ATX31" s="73"/>
      <c r="ATY31" s="73"/>
      <c r="ATZ31" s="73"/>
      <c r="AUA31" s="73"/>
      <c r="AUB31" s="73"/>
      <c r="AUC31" s="73"/>
      <c r="AUD31" s="73"/>
      <c r="AUE31" s="73"/>
      <c r="AUF31" s="73"/>
      <c r="AUG31" s="73"/>
      <c r="AUH31" s="73"/>
      <c r="AUI31" s="73"/>
      <c r="AUJ31" s="73"/>
      <c r="AUK31" s="73"/>
      <c r="AUL31" s="73"/>
      <c r="AUM31" s="73"/>
      <c r="AUN31" s="73"/>
      <c r="AUO31" s="73"/>
      <c r="AUP31" s="73"/>
      <c r="AUQ31" s="73"/>
      <c r="AUR31" s="73"/>
      <c r="AUS31" s="73"/>
      <c r="AUT31" s="73"/>
      <c r="AUU31" s="73"/>
      <c r="AUV31" s="73"/>
      <c r="AUW31" s="73"/>
      <c r="AUX31" s="73"/>
      <c r="AUY31" s="73"/>
      <c r="AUZ31" s="73"/>
      <c r="AVA31" s="73"/>
      <c r="AVB31" s="73"/>
      <c r="AVC31" s="73"/>
      <c r="AVD31" s="73"/>
      <c r="AVE31" s="73"/>
      <c r="AVF31" s="73"/>
      <c r="AVG31" s="73"/>
      <c r="AVH31" s="73"/>
      <c r="AVI31" s="73"/>
      <c r="AVJ31" s="73"/>
      <c r="AVK31" s="73"/>
      <c r="AVL31" s="73"/>
      <c r="AVM31" s="73"/>
      <c r="AVN31" s="73"/>
      <c r="AVO31" s="73"/>
      <c r="AVP31" s="73"/>
      <c r="AVQ31" s="73"/>
      <c r="AVR31" s="73"/>
      <c r="AVS31" s="73"/>
      <c r="AVT31" s="73"/>
      <c r="AVU31" s="73"/>
      <c r="AVV31" s="73"/>
      <c r="AVW31" s="73"/>
      <c r="AVX31" s="73"/>
      <c r="AVY31" s="73"/>
      <c r="AVZ31" s="73"/>
      <c r="AWA31" s="73"/>
      <c r="AWB31" s="73"/>
      <c r="AWC31" s="73"/>
      <c r="AWD31" s="73"/>
      <c r="AWE31" s="73"/>
      <c r="AWF31" s="73"/>
      <c r="AWG31" s="73"/>
      <c r="AWH31" s="73"/>
      <c r="AWI31" s="73"/>
      <c r="AWJ31" s="73"/>
      <c r="AWK31" s="73"/>
      <c r="AWL31" s="73"/>
      <c r="AWM31" s="73"/>
      <c r="AWN31" s="73"/>
      <c r="AWO31" s="73"/>
      <c r="AWP31" s="73"/>
      <c r="AWQ31" s="73"/>
      <c r="AWR31" s="73"/>
      <c r="AWS31" s="73"/>
      <c r="AWT31" s="73"/>
      <c r="AWU31" s="73"/>
      <c r="AWV31" s="73"/>
      <c r="AWW31" s="73"/>
      <c r="AWX31" s="73"/>
      <c r="AWY31" s="73"/>
      <c r="AWZ31" s="73"/>
      <c r="AXA31" s="73"/>
      <c r="AXB31" s="73"/>
      <c r="AXC31" s="73"/>
      <c r="AXD31" s="73"/>
      <c r="AXE31" s="73"/>
      <c r="AXF31" s="73"/>
      <c r="AXG31" s="73"/>
      <c r="AXH31" s="73"/>
      <c r="AXI31" s="73"/>
      <c r="AXJ31" s="73"/>
      <c r="AXK31" s="73"/>
      <c r="AXL31" s="73"/>
      <c r="AXM31" s="73"/>
      <c r="AXN31" s="73"/>
      <c r="AXO31" s="73"/>
      <c r="AXP31" s="73"/>
      <c r="AXQ31" s="73"/>
      <c r="AXR31" s="73"/>
      <c r="AXS31" s="73"/>
      <c r="AXT31" s="73"/>
      <c r="AXU31" s="73"/>
      <c r="AXV31" s="73"/>
      <c r="AXW31" s="73"/>
      <c r="AXX31" s="73"/>
      <c r="AXY31" s="73"/>
      <c r="AXZ31" s="73"/>
      <c r="AYA31" s="73"/>
      <c r="AYB31" s="73"/>
      <c r="AYC31" s="73"/>
      <c r="AYD31" s="73"/>
      <c r="AYE31" s="73"/>
      <c r="AYF31" s="73"/>
      <c r="AYG31" s="73"/>
      <c r="AYH31" s="73"/>
      <c r="AYI31" s="73"/>
      <c r="AYJ31" s="73"/>
      <c r="AYK31" s="73"/>
      <c r="AYL31" s="73"/>
      <c r="AYM31" s="73"/>
      <c r="AYN31" s="73"/>
      <c r="AYO31" s="73"/>
      <c r="AYP31" s="73"/>
      <c r="AYQ31" s="73"/>
      <c r="AYR31" s="73"/>
      <c r="AYS31" s="73"/>
      <c r="AYT31" s="73"/>
      <c r="AYU31" s="73"/>
      <c r="AYV31" s="73"/>
      <c r="AYW31" s="73"/>
      <c r="AYX31" s="73"/>
      <c r="AYY31" s="73"/>
      <c r="AYZ31" s="73"/>
      <c r="AZA31" s="73"/>
      <c r="AZB31" s="73"/>
      <c r="AZC31" s="73"/>
      <c r="AZD31" s="73"/>
      <c r="AZE31" s="73"/>
      <c r="AZF31" s="73"/>
      <c r="AZG31" s="73"/>
      <c r="AZH31" s="73"/>
      <c r="AZI31" s="73"/>
      <c r="AZJ31" s="73"/>
      <c r="AZK31" s="73"/>
      <c r="AZL31" s="73"/>
      <c r="AZM31" s="73"/>
      <c r="AZN31" s="73"/>
      <c r="AZO31" s="73"/>
      <c r="AZP31" s="73"/>
      <c r="AZQ31" s="73"/>
      <c r="AZR31" s="73"/>
      <c r="AZS31" s="73"/>
      <c r="AZT31" s="73"/>
      <c r="AZU31" s="73"/>
      <c r="AZV31" s="73"/>
      <c r="AZW31" s="73"/>
      <c r="AZX31" s="73"/>
      <c r="AZY31" s="73"/>
      <c r="AZZ31" s="73"/>
      <c r="BAA31" s="73"/>
      <c r="BAB31" s="73"/>
      <c r="BAC31" s="73"/>
      <c r="BAD31" s="73"/>
      <c r="BAE31" s="73"/>
      <c r="BAF31" s="73"/>
      <c r="BAG31" s="73"/>
      <c r="BAH31" s="73"/>
      <c r="BAI31" s="73"/>
      <c r="BAJ31" s="73"/>
      <c r="BAK31" s="73"/>
      <c r="BAL31" s="73"/>
      <c r="BAM31" s="73"/>
      <c r="BAN31" s="73"/>
      <c r="BAO31" s="73"/>
      <c r="BAP31" s="73"/>
      <c r="BAQ31" s="73"/>
      <c r="BAR31" s="73"/>
      <c r="BAS31" s="73"/>
      <c r="BAT31" s="73"/>
      <c r="BAU31" s="73"/>
      <c r="BAV31" s="73"/>
      <c r="BAW31" s="73"/>
      <c r="BAX31" s="73"/>
      <c r="BAY31" s="73"/>
      <c r="BAZ31" s="73"/>
      <c r="BBA31" s="73"/>
      <c r="BBB31" s="73"/>
      <c r="BBC31" s="73"/>
      <c r="BBD31" s="73"/>
      <c r="BBE31" s="73"/>
      <c r="BBF31" s="73"/>
      <c r="BBG31" s="73"/>
      <c r="BBH31" s="73"/>
      <c r="BBI31" s="73"/>
      <c r="BBJ31" s="73"/>
      <c r="BBK31" s="73"/>
      <c r="BBL31" s="73"/>
      <c r="BBM31" s="73"/>
      <c r="BBN31" s="73"/>
      <c r="BBO31" s="73"/>
      <c r="BBP31" s="73"/>
      <c r="BBQ31" s="73"/>
      <c r="BBR31" s="73"/>
      <c r="BBS31" s="73"/>
      <c r="BBT31" s="73"/>
      <c r="BBU31" s="73"/>
      <c r="BBV31" s="73"/>
      <c r="BBW31" s="73"/>
      <c r="BBX31" s="73"/>
      <c r="BBY31" s="73"/>
      <c r="BBZ31" s="73"/>
      <c r="BCA31" s="73"/>
      <c r="BCB31" s="73"/>
      <c r="BCC31" s="73"/>
      <c r="BCD31" s="73"/>
      <c r="BCE31" s="73"/>
      <c r="BCF31" s="73"/>
      <c r="BCG31" s="73"/>
      <c r="BCH31" s="73"/>
      <c r="BCI31" s="73"/>
      <c r="BCJ31" s="73"/>
      <c r="BCK31" s="73"/>
      <c r="BCL31" s="73"/>
      <c r="BCM31" s="73"/>
      <c r="BCN31" s="73"/>
      <c r="BCO31" s="73"/>
      <c r="BCP31" s="73"/>
      <c r="BCQ31" s="73"/>
      <c r="BCR31" s="73"/>
      <c r="BCS31" s="73"/>
      <c r="BCT31" s="73"/>
      <c r="BCU31" s="73"/>
      <c r="BCV31" s="73"/>
      <c r="BCW31" s="73"/>
      <c r="BCX31" s="73"/>
      <c r="BCY31" s="73"/>
      <c r="BCZ31" s="73"/>
      <c r="BDA31" s="73"/>
      <c r="BDB31" s="73"/>
      <c r="BDC31" s="73"/>
      <c r="BDD31" s="73"/>
      <c r="BDE31" s="73"/>
      <c r="BDF31" s="73"/>
      <c r="BDG31" s="73"/>
      <c r="BDH31" s="73"/>
      <c r="BDI31" s="73"/>
      <c r="BDJ31" s="73"/>
      <c r="BDK31" s="73"/>
      <c r="BDL31" s="73"/>
      <c r="BDM31" s="73"/>
      <c r="BDN31" s="73"/>
      <c r="BDO31" s="73"/>
      <c r="BDP31" s="73"/>
      <c r="BDQ31" s="73"/>
      <c r="BDR31" s="73"/>
      <c r="BDS31" s="73"/>
      <c r="BDT31" s="73"/>
      <c r="BDU31" s="73"/>
      <c r="BDV31" s="73"/>
      <c r="BDW31" s="73"/>
      <c r="BDX31" s="73"/>
      <c r="BDY31" s="73"/>
      <c r="BDZ31" s="73"/>
      <c r="BEA31" s="73"/>
      <c r="BEB31" s="73"/>
      <c r="BEC31" s="73"/>
      <c r="BED31" s="73"/>
      <c r="BEE31" s="73"/>
      <c r="BEF31" s="73"/>
      <c r="BEG31" s="73"/>
      <c r="BEH31" s="73"/>
      <c r="BEI31" s="73"/>
      <c r="BEJ31" s="73"/>
      <c r="BEK31" s="73"/>
      <c r="BEL31" s="73"/>
      <c r="BEM31" s="73"/>
      <c r="BEN31" s="73"/>
      <c r="BEO31" s="73"/>
      <c r="BEP31" s="73"/>
      <c r="BEQ31" s="73"/>
      <c r="BER31" s="73"/>
      <c r="BES31" s="73"/>
      <c r="BET31" s="73"/>
      <c r="BEU31" s="73"/>
      <c r="BEV31" s="73"/>
      <c r="BEW31" s="73"/>
      <c r="BEX31" s="73"/>
      <c r="BEY31" s="73"/>
      <c r="BEZ31" s="73"/>
      <c r="BFA31" s="73"/>
      <c r="BFB31" s="73"/>
      <c r="BFC31" s="73"/>
      <c r="BFD31" s="73"/>
      <c r="BFE31" s="73"/>
      <c r="BFF31" s="73"/>
      <c r="BFG31" s="73"/>
      <c r="BFH31" s="73"/>
      <c r="BFI31" s="73"/>
      <c r="BFJ31" s="73"/>
      <c r="BFK31" s="73"/>
      <c r="BFL31" s="73"/>
      <c r="BFM31" s="73"/>
      <c r="BFN31" s="73"/>
      <c r="BFO31" s="73"/>
      <c r="BFP31" s="73"/>
      <c r="BFQ31" s="73"/>
      <c r="BFR31" s="73"/>
      <c r="BFS31" s="73"/>
      <c r="BFT31" s="73"/>
      <c r="BFU31" s="73"/>
      <c r="BFV31" s="73"/>
      <c r="BFW31" s="73"/>
      <c r="BFX31" s="73"/>
      <c r="BFY31" s="73"/>
      <c r="BFZ31" s="73"/>
      <c r="BGA31" s="73"/>
      <c r="BGB31" s="73"/>
      <c r="BGC31" s="73"/>
      <c r="BGD31" s="73"/>
      <c r="BGE31" s="73"/>
      <c r="BGF31" s="73"/>
      <c r="BGG31" s="73"/>
      <c r="BGH31" s="73"/>
      <c r="BGI31" s="73"/>
      <c r="BGJ31" s="73"/>
      <c r="BGK31" s="73"/>
      <c r="BGL31" s="73"/>
      <c r="BGM31" s="73"/>
      <c r="BGN31" s="73"/>
      <c r="BGO31" s="73"/>
      <c r="BGP31" s="73"/>
      <c r="BGQ31" s="73"/>
      <c r="BGR31" s="73"/>
      <c r="BGS31" s="73"/>
      <c r="BGT31" s="73"/>
      <c r="BGU31" s="73"/>
      <c r="BGV31" s="73"/>
      <c r="BGW31" s="73"/>
      <c r="BGX31" s="73"/>
      <c r="BGY31" s="73"/>
      <c r="BGZ31" s="73"/>
      <c r="BHA31" s="73"/>
      <c r="BHB31" s="73"/>
      <c r="BHC31" s="73"/>
      <c r="BHD31" s="73"/>
      <c r="BHE31" s="73"/>
      <c r="BHF31" s="73"/>
      <c r="BHG31" s="73"/>
      <c r="BHH31" s="73"/>
      <c r="BHI31" s="73"/>
      <c r="BHJ31" s="73"/>
      <c r="BHK31" s="73"/>
      <c r="BHL31" s="73"/>
      <c r="BHM31" s="73"/>
      <c r="BHN31" s="73"/>
      <c r="BHO31" s="73"/>
      <c r="BHP31" s="73"/>
      <c r="BHQ31" s="73"/>
      <c r="BHR31" s="73"/>
      <c r="BHS31" s="73"/>
      <c r="BHT31" s="73"/>
      <c r="BHU31" s="73"/>
      <c r="BHV31" s="73"/>
      <c r="BHW31" s="73"/>
      <c r="BHX31" s="73"/>
      <c r="BHY31" s="73"/>
      <c r="BHZ31" s="73"/>
      <c r="BIA31" s="73"/>
      <c r="BIB31" s="73"/>
      <c r="BIC31" s="73"/>
      <c r="BID31" s="73"/>
      <c r="BIE31" s="73"/>
      <c r="BIF31" s="73"/>
      <c r="BIG31" s="73"/>
      <c r="BIH31" s="73"/>
      <c r="BII31" s="73"/>
      <c r="BIJ31" s="73"/>
      <c r="BIK31" s="73"/>
      <c r="BIL31" s="73"/>
      <c r="BIM31" s="73"/>
      <c r="BIN31" s="73"/>
      <c r="BIO31" s="73"/>
      <c r="BIP31" s="73"/>
      <c r="BIQ31" s="73"/>
      <c r="BIR31" s="73"/>
      <c r="BIS31" s="73"/>
      <c r="BIT31" s="73"/>
      <c r="BIU31" s="73"/>
      <c r="BIV31" s="73"/>
      <c r="BIW31" s="73"/>
      <c r="BIX31" s="73"/>
      <c r="BIY31" s="73"/>
      <c r="BIZ31" s="73"/>
      <c r="BJA31" s="73"/>
      <c r="BJB31" s="73"/>
      <c r="BJC31" s="73"/>
      <c r="BJD31" s="73"/>
      <c r="BJE31" s="73"/>
      <c r="BJF31" s="73"/>
      <c r="BJG31" s="73"/>
      <c r="BJH31" s="73"/>
      <c r="BJI31" s="73"/>
      <c r="BJJ31" s="73"/>
      <c r="BJK31" s="73"/>
      <c r="BJL31" s="73"/>
      <c r="BJM31" s="73"/>
      <c r="BJN31" s="73"/>
      <c r="BJO31" s="73"/>
      <c r="BJP31" s="73"/>
      <c r="BJQ31" s="73"/>
      <c r="BJR31" s="73"/>
      <c r="BJS31" s="73"/>
      <c r="BJT31" s="73"/>
      <c r="BJU31" s="73"/>
      <c r="BJV31" s="73"/>
      <c r="BJW31" s="73"/>
      <c r="BJX31" s="73"/>
      <c r="BJY31" s="73"/>
      <c r="BJZ31" s="73"/>
      <c r="BKA31" s="73"/>
      <c r="BKB31" s="73"/>
      <c r="BKC31" s="73"/>
      <c r="BKD31" s="73"/>
      <c r="BKE31" s="73"/>
      <c r="BKF31" s="73"/>
      <c r="BKG31" s="73"/>
      <c r="BKH31" s="73"/>
      <c r="BKI31" s="73"/>
      <c r="BKJ31" s="73"/>
      <c r="BKK31" s="73"/>
      <c r="BKL31" s="73"/>
      <c r="BKM31" s="73"/>
      <c r="BKN31" s="73"/>
      <c r="BKO31" s="73"/>
      <c r="BKP31" s="73"/>
      <c r="BKQ31" s="73"/>
      <c r="BKR31" s="73"/>
      <c r="BKS31" s="73"/>
      <c r="BKT31" s="73"/>
      <c r="BKU31" s="73"/>
      <c r="BKV31" s="73"/>
      <c r="BKW31" s="73"/>
      <c r="BKX31" s="73"/>
      <c r="BKY31" s="73"/>
      <c r="BKZ31" s="73"/>
      <c r="BLA31" s="73"/>
      <c r="BLB31" s="73"/>
      <c r="BLC31" s="73"/>
      <c r="BLD31" s="73"/>
      <c r="BLE31" s="73"/>
      <c r="BLF31" s="73"/>
      <c r="BLG31" s="73"/>
      <c r="BLH31" s="73"/>
      <c r="BLI31" s="73"/>
      <c r="BLJ31" s="73"/>
      <c r="BLK31" s="73"/>
      <c r="BLL31" s="73"/>
      <c r="BLM31" s="73"/>
      <c r="BLN31" s="73"/>
      <c r="BLO31" s="73"/>
      <c r="BLP31" s="73"/>
      <c r="BLQ31" s="73"/>
      <c r="BLR31" s="73"/>
      <c r="BLS31" s="73"/>
      <c r="BLT31" s="73"/>
      <c r="BLU31" s="73"/>
      <c r="BLV31" s="73"/>
      <c r="BLW31" s="73"/>
      <c r="BLX31" s="73"/>
      <c r="BLY31" s="73"/>
      <c r="BLZ31" s="73"/>
      <c r="BMA31" s="73"/>
      <c r="BMB31" s="73"/>
      <c r="BMC31" s="73"/>
      <c r="BMD31" s="73"/>
      <c r="BME31" s="73"/>
      <c r="BMF31" s="73"/>
      <c r="BMG31" s="73"/>
      <c r="BMH31" s="73"/>
      <c r="BMI31" s="73"/>
      <c r="BMJ31" s="73"/>
      <c r="BMK31" s="73"/>
      <c r="BML31" s="73"/>
      <c r="BMM31" s="73"/>
      <c r="BMN31" s="73"/>
      <c r="BMO31" s="73"/>
      <c r="BMP31" s="73"/>
      <c r="BMQ31" s="73"/>
      <c r="BMR31" s="73"/>
      <c r="BMS31" s="73"/>
      <c r="BMT31" s="73"/>
      <c r="BMU31" s="73"/>
      <c r="BMV31" s="73"/>
      <c r="BMW31" s="73"/>
      <c r="BMX31" s="73"/>
      <c r="BMY31" s="73"/>
      <c r="BMZ31" s="73"/>
      <c r="BNA31" s="73"/>
      <c r="BNB31" s="73"/>
      <c r="BNC31" s="73"/>
      <c r="BND31" s="73"/>
      <c r="BNE31" s="73"/>
      <c r="BNF31" s="73"/>
      <c r="BNG31" s="73"/>
      <c r="BNH31" s="73"/>
      <c r="BNI31" s="73"/>
      <c r="BNJ31" s="73"/>
      <c r="BNK31" s="73"/>
      <c r="BNL31" s="73"/>
      <c r="BNM31" s="73"/>
      <c r="BNN31" s="73"/>
      <c r="BNO31" s="73"/>
      <c r="BNP31" s="73"/>
      <c r="BNQ31" s="73"/>
      <c r="BNR31" s="73"/>
      <c r="BNS31" s="73"/>
      <c r="BNT31" s="73"/>
      <c r="BNU31" s="73"/>
      <c r="BNV31" s="73"/>
      <c r="BNW31" s="73"/>
      <c r="BNX31" s="73"/>
      <c r="BNY31" s="73"/>
      <c r="BNZ31" s="73"/>
      <c r="BOA31" s="73"/>
      <c r="BOB31" s="73"/>
      <c r="BOC31" s="73"/>
      <c r="BOD31" s="73"/>
      <c r="BOE31" s="73"/>
      <c r="BOF31" s="73"/>
      <c r="BOG31" s="73"/>
      <c r="BOH31" s="73"/>
      <c r="BOI31" s="73"/>
      <c r="BOJ31" s="73"/>
      <c r="BOK31" s="73"/>
      <c r="BOL31" s="73"/>
      <c r="BOM31" s="73"/>
      <c r="BON31" s="73"/>
      <c r="BOO31" s="73"/>
      <c r="BOP31" s="73"/>
      <c r="BOQ31" s="73"/>
      <c r="BOR31" s="73"/>
      <c r="BOS31" s="73"/>
      <c r="BOT31" s="73"/>
      <c r="BOU31" s="73"/>
      <c r="BOV31" s="73"/>
      <c r="BOW31" s="73"/>
      <c r="BOX31" s="73"/>
      <c r="BOY31" s="73"/>
      <c r="BOZ31" s="73"/>
      <c r="BPA31" s="73"/>
      <c r="BPB31" s="73"/>
      <c r="BPC31" s="73"/>
      <c r="BPD31" s="73"/>
      <c r="BPE31" s="73"/>
      <c r="BPF31" s="73"/>
      <c r="BPG31" s="73"/>
      <c r="BPH31" s="73"/>
      <c r="BPI31" s="73"/>
      <c r="BPJ31" s="73"/>
      <c r="BPK31" s="73"/>
      <c r="BPL31" s="73"/>
      <c r="BPM31" s="73"/>
      <c r="BPN31" s="73"/>
      <c r="BPO31" s="73"/>
      <c r="BPP31" s="73"/>
      <c r="BPQ31" s="73"/>
      <c r="BPR31" s="73"/>
      <c r="BPS31" s="73"/>
      <c r="BPT31" s="73"/>
      <c r="BPU31" s="73"/>
      <c r="BPV31" s="73"/>
      <c r="BPW31" s="73"/>
      <c r="BPX31" s="73"/>
      <c r="BPY31" s="73"/>
      <c r="BPZ31" s="73"/>
      <c r="BQA31" s="73"/>
      <c r="BQB31" s="73"/>
      <c r="BQC31" s="73"/>
      <c r="BQD31" s="73"/>
      <c r="BQE31" s="73"/>
      <c r="BQF31" s="73"/>
      <c r="BQG31" s="73"/>
      <c r="BQH31" s="73"/>
      <c r="BQI31" s="73"/>
      <c r="BQJ31" s="73"/>
      <c r="BQK31" s="73"/>
      <c r="BQL31" s="73"/>
      <c r="BQM31" s="73"/>
      <c r="BQN31" s="73"/>
      <c r="BQO31" s="73"/>
      <c r="BQP31" s="73"/>
      <c r="BQQ31" s="73"/>
      <c r="BQR31" s="73"/>
      <c r="BQS31" s="73"/>
      <c r="BQT31" s="73"/>
      <c r="BQU31" s="73"/>
      <c r="BQV31" s="73"/>
      <c r="BQW31" s="73"/>
      <c r="BQX31" s="73"/>
      <c r="BQY31" s="73"/>
      <c r="BQZ31" s="73"/>
      <c r="BRA31" s="73"/>
      <c r="BRB31" s="73"/>
      <c r="BRC31" s="73"/>
      <c r="BRD31" s="73"/>
      <c r="BRE31" s="73"/>
      <c r="BRF31" s="73"/>
      <c r="BRG31" s="73"/>
      <c r="BRH31" s="73"/>
      <c r="BRI31" s="73"/>
      <c r="BRJ31" s="73"/>
      <c r="BRK31" s="73"/>
      <c r="BRL31" s="73"/>
      <c r="BRM31" s="73"/>
      <c r="BRN31" s="73"/>
      <c r="BRO31" s="73"/>
      <c r="BRP31" s="73"/>
      <c r="BRQ31" s="73"/>
      <c r="BRR31" s="73"/>
      <c r="BRS31" s="73"/>
      <c r="BRT31" s="73"/>
      <c r="BRU31" s="73"/>
      <c r="BRV31" s="73"/>
      <c r="BRW31" s="73"/>
      <c r="BRX31" s="73"/>
      <c r="BRY31" s="73"/>
      <c r="BRZ31" s="73"/>
      <c r="BSA31" s="73"/>
      <c r="BSB31" s="73"/>
      <c r="BSC31" s="73"/>
      <c r="BSD31" s="73"/>
      <c r="BSE31" s="73"/>
      <c r="BSF31" s="73"/>
      <c r="BSG31" s="73"/>
      <c r="BSH31" s="73"/>
      <c r="BSI31" s="73"/>
      <c r="BSJ31" s="73"/>
      <c r="BSK31" s="73"/>
      <c r="BSL31" s="73"/>
      <c r="BSM31" s="73"/>
      <c r="BSN31" s="73"/>
      <c r="BSO31" s="73"/>
      <c r="BSP31" s="73"/>
      <c r="BSQ31" s="73"/>
      <c r="BSR31" s="73"/>
      <c r="BSS31" s="73"/>
      <c r="BST31" s="73"/>
      <c r="BSU31" s="73"/>
      <c r="BSV31" s="73"/>
      <c r="BSW31" s="73"/>
      <c r="BSX31" s="73"/>
      <c r="BSY31" s="73"/>
      <c r="BSZ31" s="73"/>
      <c r="BTA31" s="73"/>
      <c r="BTB31" s="73"/>
      <c r="BTC31" s="73"/>
      <c r="BTD31" s="73"/>
      <c r="BTE31" s="73"/>
      <c r="BTF31" s="73"/>
      <c r="BTG31" s="73"/>
      <c r="BTH31" s="73"/>
      <c r="BTI31" s="73"/>
      <c r="BTJ31" s="73"/>
      <c r="BTK31" s="73"/>
      <c r="BTL31" s="73"/>
      <c r="BTM31" s="73"/>
      <c r="BTN31" s="73"/>
      <c r="BTO31" s="73"/>
      <c r="BTP31" s="73"/>
      <c r="BTQ31" s="73"/>
      <c r="BTR31" s="73"/>
      <c r="BTS31" s="73"/>
      <c r="BTT31" s="73"/>
      <c r="BTU31" s="73"/>
      <c r="BTV31" s="73"/>
      <c r="BTW31" s="73"/>
      <c r="BTX31" s="73"/>
      <c r="BTY31" s="73"/>
      <c r="BTZ31" s="73"/>
      <c r="BUA31" s="73"/>
      <c r="BUB31" s="73"/>
      <c r="BUC31" s="73"/>
      <c r="BUD31" s="73"/>
      <c r="BUE31" s="73"/>
      <c r="BUF31" s="73"/>
      <c r="BUG31" s="73"/>
      <c r="BUH31" s="73"/>
      <c r="BUI31" s="73"/>
      <c r="BUJ31" s="73"/>
      <c r="BUK31" s="73"/>
      <c r="BUL31" s="73"/>
      <c r="BUM31" s="73"/>
      <c r="BUN31" s="73"/>
      <c r="BUO31" s="73"/>
      <c r="BUP31" s="73"/>
      <c r="BUQ31" s="73"/>
      <c r="BUR31" s="73"/>
      <c r="BUS31" s="73"/>
      <c r="BUT31" s="73"/>
      <c r="BUU31" s="73"/>
      <c r="BUV31" s="73"/>
      <c r="BUW31" s="73"/>
      <c r="BUX31" s="73"/>
      <c r="BUY31" s="73"/>
      <c r="BUZ31" s="73"/>
      <c r="BVA31" s="73"/>
      <c r="BVB31" s="73"/>
      <c r="BVC31" s="73"/>
      <c r="BVD31" s="73"/>
      <c r="BVE31" s="73"/>
      <c r="BVF31" s="73"/>
      <c r="BVG31" s="73"/>
      <c r="BVH31" s="73"/>
      <c r="BVI31" s="73"/>
      <c r="BVJ31" s="73"/>
      <c r="BVK31" s="73"/>
      <c r="BVL31" s="73"/>
      <c r="BVM31" s="73"/>
      <c r="BVN31" s="73"/>
      <c r="BVO31" s="73"/>
      <c r="BVP31" s="73"/>
      <c r="BVQ31" s="73"/>
      <c r="BVR31" s="73"/>
      <c r="BVS31" s="73"/>
      <c r="BVT31" s="73"/>
      <c r="BVU31" s="73"/>
      <c r="BVV31" s="73"/>
      <c r="BVW31" s="73"/>
      <c r="BVX31" s="73"/>
      <c r="BVY31" s="73"/>
      <c r="BVZ31" s="73"/>
      <c r="BWA31" s="73"/>
      <c r="BWB31" s="73"/>
      <c r="BWC31" s="73"/>
      <c r="BWD31" s="73"/>
      <c r="BWE31" s="73"/>
      <c r="BWF31" s="73"/>
      <c r="BWG31" s="73"/>
      <c r="BWH31" s="73"/>
      <c r="BWI31" s="73"/>
      <c r="BWJ31" s="73"/>
      <c r="BWK31" s="73"/>
      <c r="BWL31" s="73"/>
      <c r="BWM31" s="73"/>
      <c r="BWN31" s="73"/>
      <c r="BWO31" s="73"/>
      <c r="BWP31" s="73"/>
      <c r="BWQ31" s="73"/>
      <c r="BWR31" s="73"/>
      <c r="BWS31" s="73"/>
      <c r="BWT31" s="73"/>
      <c r="BWU31" s="73"/>
      <c r="BWV31" s="73"/>
      <c r="BWW31" s="73"/>
      <c r="BWX31" s="73"/>
      <c r="BWY31" s="73"/>
      <c r="BWZ31" s="73"/>
      <c r="BXA31" s="73"/>
      <c r="BXB31" s="73"/>
      <c r="BXC31" s="73"/>
      <c r="BXD31" s="73"/>
      <c r="BXE31" s="73"/>
      <c r="BXF31" s="73"/>
      <c r="BXG31" s="73"/>
      <c r="BXH31" s="73"/>
      <c r="BXI31" s="73"/>
      <c r="BXJ31" s="73"/>
      <c r="BXK31" s="73"/>
      <c r="BXL31" s="73"/>
      <c r="BXM31" s="73"/>
      <c r="BXN31" s="73"/>
      <c r="BXO31" s="73"/>
      <c r="BXP31" s="73"/>
      <c r="BXQ31" s="73"/>
      <c r="BXR31" s="73"/>
      <c r="BXS31" s="73"/>
      <c r="BXT31" s="73"/>
      <c r="BXU31" s="73"/>
      <c r="BXV31" s="73"/>
      <c r="BXW31" s="73"/>
      <c r="BXX31" s="73"/>
      <c r="BXY31" s="73"/>
      <c r="BXZ31" s="73"/>
      <c r="BYA31" s="73"/>
      <c r="BYB31" s="73"/>
      <c r="BYC31" s="73"/>
      <c r="BYD31" s="73"/>
      <c r="BYE31" s="73"/>
      <c r="BYF31" s="73"/>
      <c r="BYG31" s="73"/>
      <c r="BYH31" s="73"/>
      <c r="BYI31" s="73"/>
      <c r="BYJ31" s="73"/>
      <c r="BYK31" s="73"/>
      <c r="BYL31" s="73"/>
      <c r="BYM31" s="73"/>
      <c r="BYN31" s="73"/>
      <c r="BYO31" s="73"/>
      <c r="BYP31" s="73"/>
      <c r="BYQ31" s="73"/>
      <c r="BYR31" s="73"/>
      <c r="BYS31" s="73"/>
      <c r="BYT31" s="73"/>
      <c r="BYU31" s="73"/>
      <c r="BYV31" s="73"/>
      <c r="BYW31" s="73"/>
      <c r="BYX31" s="73"/>
      <c r="BYY31" s="73"/>
      <c r="BYZ31" s="73"/>
      <c r="BZA31" s="73"/>
      <c r="BZB31" s="73"/>
      <c r="BZC31" s="73"/>
      <c r="BZD31" s="73"/>
      <c r="BZE31" s="73"/>
      <c r="BZF31" s="73"/>
      <c r="BZG31" s="73"/>
      <c r="BZH31" s="73"/>
      <c r="BZI31" s="73"/>
      <c r="BZJ31" s="73"/>
      <c r="BZK31" s="73"/>
      <c r="BZL31" s="73"/>
      <c r="BZM31" s="73"/>
      <c r="BZN31" s="73"/>
      <c r="BZO31" s="73"/>
      <c r="BZP31" s="73"/>
      <c r="BZQ31" s="73"/>
      <c r="BZR31" s="73"/>
      <c r="BZS31" s="73"/>
      <c r="BZT31" s="73"/>
      <c r="BZU31" s="73"/>
      <c r="BZV31" s="73"/>
      <c r="BZW31" s="73"/>
      <c r="BZX31" s="73"/>
      <c r="BZY31" s="73"/>
      <c r="BZZ31" s="73"/>
      <c r="CAA31" s="73"/>
      <c r="CAB31" s="73"/>
      <c r="CAC31" s="73"/>
      <c r="CAD31" s="73"/>
      <c r="CAE31" s="73"/>
      <c r="CAF31" s="73"/>
      <c r="CAG31" s="73"/>
      <c r="CAH31" s="73"/>
      <c r="CAI31" s="73"/>
      <c r="CAJ31" s="73"/>
      <c r="CAK31" s="73"/>
      <c r="CAL31" s="73"/>
      <c r="CAM31" s="73"/>
      <c r="CAN31" s="73"/>
      <c r="CAO31" s="73"/>
      <c r="CAP31" s="73"/>
      <c r="CAQ31" s="73"/>
      <c r="CAR31" s="73"/>
      <c r="CAS31" s="73"/>
      <c r="CAT31" s="73"/>
      <c r="CAU31" s="73"/>
      <c r="CAV31" s="73"/>
      <c r="CAW31" s="73"/>
      <c r="CAX31" s="73"/>
      <c r="CAY31" s="73"/>
      <c r="CAZ31" s="73"/>
      <c r="CBA31" s="73"/>
      <c r="CBB31" s="73"/>
      <c r="CBC31" s="73"/>
      <c r="CBD31" s="73"/>
      <c r="CBE31" s="73"/>
      <c r="CBF31" s="73"/>
      <c r="CBG31" s="73"/>
      <c r="CBH31" s="73"/>
      <c r="CBI31" s="73"/>
      <c r="CBJ31" s="73"/>
      <c r="CBK31" s="73"/>
      <c r="CBL31" s="73"/>
      <c r="CBM31" s="73"/>
      <c r="CBN31" s="73"/>
      <c r="CBO31" s="73"/>
      <c r="CBP31" s="73"/>
      <c r="CBQ31" s="73"/>
      <c r="CBR31" s="73"/>
      <c r="CBS31" s="73"/>
      <c r="CBT31" s="73"/>
      <c r="CBU31" s="73"/>
      <c r="CBV31" s="73"/>
      <c r="CBW31" s="73"/>
      <c r="CBX31" s="73"/>
      <c r="CBY31" s="73"/>
      <c r="CBZ31" s="73"/>
      <c r="CCA31" s="73"/>
      <c r="CCB31" s="73"/>
      <c r="CCC31" s="73"/>
      <c r="CCD31" s="73"/>
      <c r="CCE31" s="73"/>
      <c r="CCF31" s="73"/>
      <c r="CCG31" s="73"/>
      <c r="CCH31" s="73"/>
      <c r="CCI31" s="73"/>
      <c r="CCJ31" s="73"/>
      <c r="CCK31" s="73"/>
      <c r="CCL31" s="73"/>
      <c r="CCM31" s="73"/>
      <c r="CCN31" s="73"/>
      <c r="CCO31" s="73"/>
      <c r="CCP31" s="73"/>
      <c r="CCQ31" s="73"/>
      <c r="CCR31" s="73"/>
      <c r="CCS31" s="73"/>
      <c r="CCT31" s="73"/>
      <c r="CCU31" s="73"/>
      <c r="CCV31" s="73"/>
      <c r="CCW31" s="73"/>
      <c r="CCX31" s="73"/>
      <c r="CCY31" s="73"/>
      <c r="CCZ31" s="73"/>
      <c r="CDA31" s="73"/>
      <c r="CDB31" s="73"/>
      <c r="CDC31" s="73"/>
      <c r="CDD31" s="73"/>
      <c r="CDE31" s="73"/>
      <c r="CDF31" s="73"/>
      <c r="CDG31" s="73"/>
      <c r="CDH31" s="73"/>
      <c r="CDI31" s="73"/>
      <c r="CDJ31" s="73"/>
      <c r="CDK31" s="73"/>
      <c r="CDL31" s="73"/>
      <c r="CDM31" s="73"/>
      <c r="CDN31" s="73"/>
      <c r="CDO31" s="73"/>
      <c r="CDP31" s="73"/>
      <c r="CDQ31" s="73"/>
      <c r="CDR31" s="73"/>
      <c r="CDS31" s="73"/>
      <c r="CDT31" s="73"/>
      <c r="CDU31" s="73"/>
      <c r="CDV31" s="73"/>
      <c r="CDW31" s="73"/>
      <c r="CDX31" s="73"/>
      <c r="CDY31" s="73"/>
      <c r="CDZ31" s="73"/>
      <c r="CEA31" s="73"/>
      <c r="CEB31" s="73"/>
      <c r="CEC31" s="73"/>
      <c r="CED31" s="73"/>
      <c r="CEE31" s="73"/>
      <c r="CEF31" s="73"/>
      <c r="CEG31" s="73"/>
      <c r="CEH31" s="73"/>
      <c r="CEI31" s="73"/>
      <c r="CEJ31" s="73"/>
      <c r="CEK31" s="73"/>
      <c r="CEL31" s="73"/>
      <c r="CEM31" s="73"/>
      <c r="CEN31" s="73"/>
      <c r="CEO31" s="73"/>
      <c r="CEP31" s="73"/>
      <c r="CEQ31" s="73"/>
      <c r="CER31" s="73"/>
      <c r="CES31" s="73"/>
      <c r="CET31" s="73"/>
      <c r="CEU31" s="73"/>
      <c r="CEV31" s="73"/>
      <c r="CEW31" s="73"/>
      <c r="CEX31" s="73"/>
      <c r="CEY31" s="73"/>
      <c r="CEZ31" s="73"/>
      <c r="CFA31" s="73"/>
      <c r="CFB31" s="73"/>
      <c r="CFC31" s="73"/>
      <c r="CFD31" s="73"/>
      <c r="CFE31" s="73"/>
      <c r="CFF31" s="73"/>
      <c r="CFG31" s="73"/>
      <c r="CFH31" s="73"/>
      <c r="CFI31" s="73"/>
      <c r="CFJ31" s="73"/>
      <c r="CFK31" s="73"/>
      <c r="CFL31" s="73"/>
      <c r="CFM31" s="73"/>
      <c r="CFN31" s="73"/>
      <c r="CFO31" s="73"/>
      <c r="CFP31" s="73"/>
      <c r="CFQ31" s="73"/>
      <c r="CFR31" s="73"/>
      <c r="CFS31" s="73"/>
      <c r="CFT31" s="73"/>
      <c r="CFU31" s="73"/>
      <c r="CFV31" s="73"/>
      <c r="CFW31" s="73"/>
      <c r="CFX31" s="73"/>
      <c r="CFY31" s="73"/>
      <c r="CFZ31" s="73"/>
      <c r="CGA31" s="73"/>
      <c r="CGB31" s="73"/>
      <c r="CGC31" s="73"/>
      <c r="CGD31" s="73"/>
      <c r="CGE31" s="73"/>
      <c r="CGF31" s="73"/>
      <c r="CGG31" s="73"/>
      <c r="CGH31" s="73"/>
      <c r="CGI31" s="73"/>
      <c r="CGJ31" s="73"/>
      <c r="CGK31" s="73"/>
      <c r="CGL31" s="73"/>
      <c r="CGM31" s="73"/>
      <c r="CGN31" s="73"/>
      <c r="CGO31" s="73"/>
      <c r="CGP31" s="73"/>
      <c r="CGQ31" s="73"/>
      <c r="CGR31" s="73"/>
      <c r="CGS31" s="73"/>
      <c r="CGT31" s="73"/>
      <c r="CGU31" s="73"/>
      <c r="CGV31" s="73"/>
      <c r="CGW31" s="73"/>
      <c r="CGX31" s="73"/>
      <c r="CGY31" s="73"/>
      <c r="CGZ31" s="73"/>
      <c r="CHA31" s="73"/>
      <c r="CHB31" s="73"/>
      <c r="CHC31" s="73"/>
      <c r="CHD31" s="73"/>
      <c r="CHE31" s="73"/>
      <c r="CHF31" s="73"/>
      <c r="CHG31" s="73"/>
      <c r="CHH31" s="73"/>
      <c r="CHI31" s="73"/>
      <c r="CHJ31" s="73"/>
      <c r="CHK31" s="73"/>
      <c r="CHL31" s="73"/>
      <c r="CHM31" s="73"/>
      <c r="CHN31" s="73"/>
      <c r="CHO31" s="73"/>
      <c r="CHP31" s="73"/>
      <c r="CHQ31" s="73"/>
      <c r="CHR31" s="73"/>
      <c r="CHS31" s="73"/>
      <c r="CHT31" s="73"/>
      <c r="CHU31" s="73"/>
      <c r="CHV31" s="73"/>
      <c r="CHW31" s="73"/>
      <c r="CHX31" s="73"/>
      <c r="CHY31" s="73"/>
      <c r="CHZ31" s="73"/>
      <c r="CIA31" s="73"/>
      <c r="CIB31" s="73"/>
      <c r="CIC31" s="73"/>
      <c r="CID31" s="73"/>
      <c r="CIE31" s="73"/>
      <c r="CIF31" s="73"/>
      <c r="CIG31" s="73"/>
      <c r="CIH31" s="73"/>
      <c r="CII31" s="73"/>
      <c r="CIJ31" s="73"/>
      <c r="CIK31" s="73"/>
      <c r="CIL31" s="73"/>
      <c r="CIM31" s="73"/>
      <c r="CIN31" s="73"/>
      <c r="CIO31" s="73"/>
      <c r="CIP31" s="73"/>
      <c r="CIQ31" s="73"/>
      <c r="CIR31" s="73"/>
      <c r="CIS31" s="73"/>
      <c r="CIT31" s="73"/>
      <c r="CIU31" s="73"/>
      <c r="CIV31" s="73"/>
      <c r="CIW31" s="73"/>
      <c r="CIX31" s="73"/>
      <c r="CIY31" s="73"/>
      <c r="CIZ31" s="73"/>
      <c r="CJA31" s="73"/>
      <c r="CJB31" s="73"/>
      <c r="CJC31" s="73"/>
      <c r="CJD31" s="73"/>
      <c r="CJE31" s="73"/>
      <c r="CJF31" s="73"/>
      <c r="CJG31" s="73"/>
      <c r="CJH31" s="73"/>
      <c r="CJI31" s="73"/>
      <c r="CJJ31" s="73"/>
      <c r="CJK31" s="73"/>
      <c r="CJL31" s="73"/>
      <c r="CJM31" s="73"/>
      <c r="CJN31" s="73"/>
      <c r="CJO31" s="73"/>
      <c r="CJP31" s="73"/>
      <c r="CJQ31" s="73"/>
      <c r="CJR31" s="73"/>
      <c r="CJS31" s="73"/>
      <c r="CJT31" s="73"/>
      <c r="CJU31" s="73"/>
      <c r="CJV31" s="73"/>
      <c r="CJW31" s="73"/>
      <c r="CJX31" s="73"/>
      <c r="CJY31" s="73"/>
      <c r="CJZ31" s="73"/>
      <c r="CKA31" s="73"/>
      <c r="CKB31" s="73"/>
      <c r="CKC31" s="73"/>
      <c r="CKD31" s="73"/>
      <c r="CKE31" s="73"/>
      <c r="CKF31" s="73"/>
      <c r="CKG31" s="73"/>
      <c r="CKH31" s="73"/>
      <c r="CKI31" s="73"/>
      <c r="CKJ31" s="73"/>
      <c r="CKK31" s="73"/>
      <c r="CKL31" s="73"/>
      <c r="CKM31" s="73"/>
      <c r="CKN31" s="73"/>
      <c r="CKO31" s="73"/>
      <c r="CKP31" s="73"/>
      <c r="CKQ31" s="73"/>
      <c r="CKR31" s="73"/>
      <c r="CKS31" s="73"/>
      <c r="CKT31" s="73"/>
      <c r="CKU31" s="73"/>
      <c r="CKV31" s="73"/>
      <c r="CKW31" s="73"/>
      <c r="CKX31" s="73"/>
      <c r="CKY31" s="73"/>
      <c r="CKZ31" s="73"/>
      <c r="CLA31" s="73"/>
      <c r="CLB31" s="73"/>
      <c r="CLC31" s="73"/>
      <c r="CLD31" s="73"/>
      <c r="CLE31" s="73"/>
      <c r="CLF31" s="73"/>
      <c r="CLG31" s="73"/>
      <c r="CLH31" s="73"/>
      <c r="CLI31" s="73"/>
      <c r="CLJ31" s="73"/>
      <c r="CLK31" s="73"/>
      <c r="CLL31" s="73"/>
      <c r="CLM31" s="73"/>
      <c r="CLN31" s="73"/>
      <c r="CLO31" s="73"/>
      <c r="CLP31" s="73"/>
      <c r="CLQ31" s="73"/>
      <c r="CLR31" s="73"/>
      <c r="CLS31" s="73"/>
      <c r="CLT31" s="73"/>
      <c r="CLU31" s="73"/>
      <c r="CLV31" s="73"/>
      <c r="CLW31" s="73"/>
      <c r="CLX31" s="73"/>
      <c r="CLY31" s="73"/>
      <c r="CLZ31" s="73"/>
      <c r="CMA31" s="73"/>
      <c r="CMB31" s="73"/>
      <c r="CMC31" s="73"/>
      <c r="CMD31" s="73"/>
      <c r="CME31" s="73"/>
      <c r="CMF31" s="73"/>
      <c r="CMG31" s="73"/>
      <c r="CMH31" s="73"/>
      <c r="CMI31" s="73"/>
      <c r="CMJ31" s="73"/>
      <c r="CMK31" s="73"/>
      <c r="CML31" s="73"/>
      <c r="CMM31" s="73"/>
      <c r="CMN31" s="73"/>
      <c r="CMO31" s="73"/>
      <c r="CMP31" s="73"/>
      <c r="CMQ31" s="73"/>
      <c r="CMR31" s="73"/>
      <c r="CMS31" s="73"/>
      <c r="CMT31" s="73"/>
      <c r="CMU31" s="73"/>
      <c r="CMV31" s="73"/>
      <c r="CMW31" s="73"/>
      <c r="CMX31" s="73"/>
      <c r="CMY31" s="73"/>
      <c r="CMZ31" s="73"/>
      <c r="CNA31" s="73"/>
      <c r="CNB31" s="73"/>
      <c r="CNC31" s="73"/>
      <c r="CND31" s="73"/>
      <c r="CNE31" s="73"/>
      <c r="CNF31" s="73"/>
      <c r="CNG31" s="73"/>
      <c r="CNH31" s="73"/>
      <c r="CNI31" s="73"/>
      <c r="CNJ31" s="73"/>
      <c r="CNK31" s="73"/>
      <c r="CNL31" s="73"/>
      <c r="CNM31" s="73"/>
      <c r="CNN31" s="73"/>
      <c r="CNO31" s="73"/>
      <c r="CNP31" s="73"/>
      <c r="CNQ31" s="73"/>
      <c r="CNR31" s="73"/>
      <c r="CNS31" s="73"/>
      <c r="CNT31" s="73"/>
      <c r="CNU31" s="73"/>
      <c r="CNV31" s="73"/>
      <c r="CNW31" s="73"/>
      <c r="CNX31" s="73"/>
      <c r="CNY31" s="73"/>
      <c r="CNZ31" s="73"/>
      <c r="COA31" s="73"/>
      <c r="COB31" s="73"/>
      <c r="COC31" s="73"/>
      <c r="COD31" s="73"/>
      <c r="COE31" s="73"/>
      <c r="COF31" s="73"/>
      <c r="COG31" s="73"/>
      <c r="COH31" s="73"/>
      <c r="COI31" s="73"/>
      <c r="COJ31" s="73"/>
      <c r="COK31" s="73"/>
      <c r="COL31" s="73"/>
      <c r="COM31" s="73"/>
      <c r="CON31" s="73"/>
      <c r="COO31" s="73"/>
      <c r="COP31" s="73"/>
      <c r="COQ31" s="73"/>
      <c r="COR31" s="73"/>
      <c r="COS31" s="73"/>
      <c r="COT31" s="73"/>
      <c r="COU31" s="73"/>
      <c r="COV31" s="73"/>
      <c r="COW31" s="73"/>
      <c r="COX31" s="73"/>
      <c r="COY31" s="73"/>
      <c r="COZ31" s="73"/>
      <c r="CPA31" s="73"/>
      <c r="CPB31" s="73"/>
      <c r="CPC31" s="73"/>
      <c r="CPD31" s="73"/>
      <c r="CPE31" s="73"/>
      <c r="CPF31" s="73"/>
      <c r="CPG31" s="73"/>
      <c r="CPH31" s="73"/>
      <c r="CPI31" s="73"/>
      <c r="CPJ31" s="73"/>
      <c r="CPK31" s="73"/>
      <c r="CPL31" s="73"/>
      <c r="CPM31" s="73"/>
      <c r="CPN31" s="73"/>
      <c r="CPO31" s="73"/>
      <c r="CPP31" s="73"/>
      <c r="CPQ31" s="73"/>
      <c r="CPR31" s="73"/>
      <c r="CPS31" s="73"/>
      <c r="CPT31" s="73"/>
      <c r="CPU31" s="73"/>
      <c r="CPV31" s="73"/>
      <c r="CPW31" s="73"/>
      <c r="CPX31" s="73"/>
      <c r="CPY31" s="73"/>
      <c r="CPZ31" s="73"/>
      <c r="CQA31" s="73"/>
      <c r="CQB31" s="73"/>
      <c r="CQC31" s="73"/>
      <c r="CQD31" s="73"/>
      <c r="CQE31" s="73"/>
      <c r="CQF31" s="73"/>
      <c r="CQG31" s="73"/>
      <c r="CQH31" s="73"/>
      <c r="CQI31" s="73"/>
      <c r="CQJ31" s="73"/>
      <c r="CQK31" s="73"/>
      <c r="CQL31" s="73"/>
      <c r="CQM31" s="73"/>
      <c r="CQN31" s="73"/>
      <c r="CQO31" s="73"/>
      <c r="CQP31" s="73"/>
      <c r="CQQ31" s="73"/>
      <c r="CQR31" s="73"/>
      <c r="CQS31" s="73"/>
      <c r="CQT31" s="73"/>
      <c r="CQU31" s="73"/>
      <c r="CQV31" s="73"/>
      <c r="CQW31" s="73"/>
      <c r="CQX31" s="73"/>
      <c r="CQY31" s="73"/>
      <c r="CQZ31" s="73"/>
      <c r="CRA31" s="73"/>
      <c r="CRB31" s="73"/>
      <c r="CRC31" s="73"/>
      <c r="CRD31" s="73"/>
      <c r="CRE31" s="73"/>
      <c r="CRF31" s="73"/>
      <c r="CRG31" s="73"/>
      <c r="CRH31" s="73"/>
      <c r="CRI31" s="73"/>
      <c r="CRJ31" s="73"/>
      <c r="CRK31" s="73"/>
      <c r="CRL31" s="73"/>
      <c r="CRM31" s="73"/>
      <c r="CRN31" s="73"/>
      <c r="CRO31" s="73"/>
      <c r="CRP31" s="73"/>
      <c r="CRQ31" s="73"/>
      <c r="CRR31" s="73"/>
      <c r="CRS31" s="73"/>
      <c r="CRT31" s="73"/>
      <c r="CRU31" s="73"/>
      <c r="CRV31" s="73"/>
      <c r="CRW31" s="73"/>
      <c r="CRX31" s="73"/>
      <c r="CRY31" s="73"/>
      <c r="CRZ31" s="73"/>
      <c r="CSA31" s="73"/>
      <c r="CSB31" s="73"/>
      <c r="CSC31" s="73"/>
      <c r="CSD31" s="73"/>
      <c r="CSE31" s="73"/>
      <c r="CSF31" s="73"/>
      <c r="CSG31" s="73"/>
      <c r="CSH31" s="73"/>
      <c r="CSI31" s="73"/>
      <c r="CSJ31" s="73"/>
      <c r="CSK31" s="73"/>
      <c r="CSL31" s="73"/>
      <c r="CSM31" s="73"/>
      <c r="CSN31" s="73"/>
      <c r="CSO31" s="73"/>
      <c r="CSP31" s="73"/>
      <c r="CSQ31" s="73"/>
      <c r="CSR31" s="73"/>
      <c r="CSS31" s="73"/>
      <c r="CST31" s="73"/>
      <c r="CSU31" s="73"/>
      <c r="CSV31" s="73"/>
      <c r="CSW31" s="73"/>
      <c r="CSX31" s="73"/>
      <c r="CSY31" s="73"/>
      <c r="CSZ31" s="73"/>
      <c r="CTA31" s="73"/>
      <c r="CTB31" s="73"/>
      <c r="CTC31" s="73"/>
      <c r="CTD31" s="73"/>
      <c r="CTE31" s="73"/>
      <c r="CTF31" s="73"/>
      <c r="CTG31" s="73"/>
      <c r="CTH31" s="73"/>
      <c r="CTI31" s="73"/>
      <c r="CTJ31" s="73"/>
      <c r="CTK31" s="73"/>
      <c r="CTL31" s="73"/>
      <c r="CTM31" s="73"/>
      <c r="CTN31" s="73"/>
      <c r="CTO31" s="73"/>
      <c r="CTP31" s="73"/>
      <c r="CTQ31" s="73"/>
      <c r="CTR31" s="73"/>
      <c r="CTS31" s="73"/>
      <c r="CTT31" s="73"/>
      <c r="CTU31" s="73"/>
      <c r="CTV31" s="73"/>
      <c r="CTW31" s="73"/>
      <c r="CTX31" s="73"/>
      <c r="CTY31" s="73"/>
      <c r="CTZ31" s="73"/>
      <c r="CUA31" s="73"/>
      <c r="CUB31" s="73"/>
      <c r="CUC31" s="73"/>
      <c r="CUD31" s="73"/>
      <c r="CUE31" s="73"/>
      <c r="CUF31" s="73"/>
      <c r="CUG31" s="73"/>
      <c r="CUH31" s="73"/>
      <c r="CUI31" s="73"/>
      <c r="CUJ31" s="73"/>
      <c r="CUK31" s="73"/>
      <c r="CUL31" s="73"/>
      <c r="CUM31" s="73"/>
      <c r="CUN31" s="73"/>
      <c r="CUO31" s="73"/>
      <c r="CUP31" s="73"/>
      <c r="CUQ31" s="73"/>
      <c r="CUR31" s="73"/>
      <c r="CUS31" s="73"/>
      <c r="CUT31" s="73"/>
      <c r="CUU31" s="73"/>
      <c r="CUV31" s="73"/>
      <c r="CUW31" s="73"/>
      <c r="CUX31" s="73"/>
      <c r="CUY31" s="73"/>
      <c r="CUZ31" s="73"/>
      <c r="CVA31" s="73"/>
      <c r="CVB31" s="73"/>
      <c r="CVC31" s="73"/>
      <c r="CVD31" s="73"/>
      <c r="CVE31" s="73"/>
      <c r="CVF31" s="73"/>
      <c r="CVG31" s="73"/>
      <c r="CVH31" s="73"/>
      <c r="CVI31" s="73"/>
      <c r="CVJ31" s="73"/>
      <c r="CVK31" s="73"/>
      <c r="CVL31" s="73"/>
      <c r="CVM31" s="73"/>
      <c r="CVN31" s="73"/>
      <c r="CVO31" s="73"/>
      <c r="CVP31" s="73"/>
      <c r="CVQ31" s="73"/>
      <c r="CVR31" s="73"/>
      <c r="CVS31" s="73"/>
      <c r="CVT31" s="73"/>
      <c r="CVU31" s="73"/>
      <c r="CVV31" s="73"/>
      <c r="CVW31" s="73"/>
      <c r="CVX31" s="73"/>
      <c r="CVY31" s="73"/>
      <c r="CVZ31" s="73"/>
      <c r="CWA31" s="73"/>
      <c r="CWB31" s="73"/>
      <c r="CWC31" s="73"/>
      <c r="CWD31" s="73"/>
      <c r="CWE31" s="73"/>
      <c r="CWF31" s="73"/>
      <c r="CWG31" s="73"/>
      <c r="CWH31" s="73"/>
      <c r="CWI31" s="73"/>
      <c r="CWJ31" s="73"/>
      <c r="CWK31" s="73"/>
      <c r="CWL31" s="73"/>
      <c r="CWM31" s="73"/>
      <c r="CWN31" s="73"/>
      <c r="CWO31" s="73"/>
      <c r="CWP31" s="73"/>
      <c r="CWQ31" s="73"/>
      <c r="CWR31" s="73"/>
      <c r="CWS31" s="73"/>
      <c r="CWT31" s="73"/>
      <c r="CWU31" s="73"/>
      <c r="CWV31" s="73"/>
      <c r="CWW31" s="73"/>
      <c r="CWX31" s="73"/>
      <c r="CWY31" s="73"/>
      <c r="CWZ31" s="73"/>
      <c r="CXA31" s="73"/>
      <c r="CXB31" s="73"/>
      <c r="CXC31" s="73"/>
      <c r="CXD31" s="73"/>
      <c r="CXE31" s="73"/>
      <c r="CXF31" s="73"/>
      <c r="CXG31" s="73"/>
      <c r="CXH31" s="73"/>
      <c r="CXI31" s="73"/>
      <c r="CXJ31" s="73"/>
      <c r="CXK31" s="73"/>
      <c r="CXL31" s="73"/>
      <c r="CXM31" s="73"/>
      <c r="CXN31" s="73"/>
      <c r="CXO31" s="73"/>
      <c r="CXP31" s="73"/>
      <c r="CXQ31" s="73"/>
      <c r="CXR31" s="73"/>
      <c r="CXS31" s="73"/>
      <c r="CXT31" s="73"/>
      <c r="CXU31" s="73"/>
      <c r="CXV31" s="73"/>
      <c r="CXW31" s="73"/>
      <c r="CXX31" s="73"/>
      <c r="CXY31" s="73"/>
      <c r="CXZ31" s="73"/>
      <c r="CYA31" s="73"/>
      <c r="CYB31" s="73"/>
      <c r="CYC31" s="73"/>
      <c r="CYD31" s="73"/>
      <c r="CYE31" s="73"/>
      <c r="CYF31" s="73"/>
      <c r="CYG31" s="73"/>
      <c r="CYH31" s="73"/>
      <c r="CYI31" s="73"/>
      <c r="CYJ31" s="73"/>
      <c r="CYK31" s="73"/>
      <c r="CYL31" s="73"/>
      <c r="CYM31" s="73"/>
      <c r="CYN31" s="73"/>
      <c r="CYO31" s="73"/>
      <c r="CYP31" s="73"/>
      <c r="CYQ31" s="73"/>
      <c r="CYR31" s="73"/>
      <c r="CYS31" s="73"/>
      <c r="CYT31" s="73"/>
      <c r="CYU31" s="73"/>
      <c r="CYV31" s="73"/>
      <c r="CYW31" s="73"/>
      <c r="CYX31" s="73"/>
      <c r="CYY31" s="73"/>
      <c r="CYZ31" s="73"/>
      <c r="CZA31" s="73"/>
      <c r="CZB31" s="73"/>
      <c r="CZC31" s="73"/>
      <c r="CZD31" s="73"/>
      <c r="CZE31" s="73"/>
      <c r="CZF31" s="73"/>
      <c r="CZG31" s="73"/>
      <c r="CZH31" s="73"/>
      <c r="CZI31" s="73"/>
      <c r="CZJ31" s="73"/>
      <c r="CZK31" s="73"/>
      <c r="CZL31" s="73"/>
      <c r="CZM31" s="73"/>
      <c r="CZN31" s="73"/>
      <c r="CZO31" s="73"/>
      <c r="CZP31" s="73"/>
      <c r="CZQ31" s="73"/>
      <c r="CZR31" s="73"/>
      <c r="CZS31" s="73"/>
      <c r="CZT31" s="73"/>
      <c r="CZU31" s="73"/>
      <c r="CZV31" s="73"/>
      <c r="CZW31" s="73"/>
      <c r="CZX31" s="73"/>
      <c r="CZY31" s="73"/>
      <c r="CZZ31" s="73"/>
      <c r="DAA31" s="73"/>
      <c r="DAB31" s="73"/>
      <c r="DAC31" s="73"/>
      <c r="DAD31" s="73"/>
      <c r="DAE31" s="73"/>
      <c r="DAF31" s="73"/>
      <c r="DAG31" s="73"/>
      <c r="DAH31" s="73"/>
      <c r="DAI31" s="73"/>
      <c r="DAJ31" s="73"/>
      <c r="DAK31" s="73"/>
      <c r="DAL31" s="73"/>
      <c r="DAM31" s="73"/>
      <c r="DAN31" s="73"/>
      <c r="DAO31" s="73"/>
      <c r="DAP31" s="73"/>
      <c r="DAQ31" s="73"/>
      <c r="DAR31" s="73"/>
      <c r="DAS31" s="73"/>
      <c r="DAT31" s="73"/>
      <c r="DAU31" s="73"/>
      <c r="DAV31" s="73"/>
      <c r="DAW31" s="73"/>
      <c r="DAX31" s="73"/>
      <c r="DAY31" s="73"/>
      <c r="DAZ31" s="73"/>
      <c r="DBA31" s="73"/>
      <c r="DBB31" s="73"/>
      <c r="DBC31" s="73"/>
      <c r="DBD31" s="73"/>
      <c r="DBE31" s="73"/>
      <c r="DBF31" s="73"/>
      <c r="DBG31" s="73"/>
      <c r="DBH31" s="73"/>
      <c r="DBI31" s="73"/>
      <c r="DBJ31" s="73"/>
      <c r="DBK31" s="73"/>
      <c r="DBL31" s="73"/>
      <c r="DBM31" s="73"/>
      <c r="DBN31" s="73"/>
      <c r="DBO31" s="73"/>
      <c r="DBP31" s="73"/>
      <c r="DBQ31" s="73"/>
      <c r="DBR31" s="73"/>
      <c r="DBS31" s="73"/>
      <c r="DBT31" s="73"/>
      <c r="DBU31" s="73"/>
      <c r="DBV31" s="73"/>
      <c r="DBW31" s="73"/>
      <c r="DBX31" s="73"/>
      <c r="DBY31" s="73"/>
      <c r="DBZ31" s="73"/>
      <c r="DCA31" s="73"/>
      <c r="DCB31" s="73"/>
      <c r="DCC31" s="73"/>
      <c r="DCD31" s="73"/>
      <c r="DCE31" s="73"/>
      <c r="DCF31" s="73"/>
      <c r="DCG31" s="73"/>
      <c r="DCH31" s="73"/>
      <c r="DCI31" s="73"/>
      <c r="DCJ31" s="73"/>
      <c r="DCK31" s="73"/>
      <c r="DCL31" s="73"/>
      <c r="DCM31" s="73"/>
      <c r="DCN31" s="73"/>
      <c r="DCO31" s="73"/>
      <c r="DCP31" s="73"/>
      <c r="DCQ31" s="73"/>
      <c r="DCR31" s="73"/>
      <c r="DCS31" s="73"/>
      <c r="DCT31" s="73"/>
      <c r="DCU31" s="73"/>
      <c r="DCV31" s="73"/>
      <c r="DCW31" s="73"/>
      <c r="DCX31" s="73"/>
      <c r="DCY31" s="73"/>
      <c r="DCZ31" s="73"/>
      <c r="DDA31" s="73"/>
      <c r="DDB31" s="73"/>
      <c r="DDC31" s="73"/>
      <c r="DDD31" s="73"/>
      <c r="DDE31" s="73"/>
      <c r="DDF31" s="73"/>
      <c r="DDG31" s="73"/>
      <c r="DDH31" s="73"/>
      <c r="DDI31" s="73"/>
      <c r="DDJ31" s="73"/>
      <c r="DDK31" s="73"/>
      <c r="DDL31" s="73"/>
      <c r="DDM31" s="73"/>
      <c r="DDN31" s="73"/>
      <c r="DDO31" s="73"/>
      <c r="DDP31" s="73"/>
      <c r="DDQ31" s="73"/>
      <c r="DDR31" s="73"/>
      <c r="DDS31" s="73"/>
      <c r="DDT31" s="73"/>
      <c r="DDU31" s="73"/>
      <c r="DDV31" s="73"/>
      <c r="DDW31" s="73"/>
      <c r="DDX31" s="73"/>
      <c r="DDY31" s="73"/>
      <c r="DDZ31" s="73"/>
      <c r="DEA31" s="73"/>
      <c r="DEB31" s="73"/>
      <c r="DEC31" s="73"/>
      <c r="DED31" s="73"/>
      <c r="DEE31" s="73"/>
      <c r="DEF31" s="73"/>
      <c r="DEG31" s="73"/>
      <c r="DEH31" s="73"/>
      <c r="DEI31" s="73"/>
      <c r="DEJ31" s="73"/>
      <c r="DEK31" s="73"/>
      <c r="DEL31" s="73"/>
      <c r="DEM31" s="73"/>
      <c r="DEN31" s="73"/>
      <c r="DEO31" s="73"/>
      <c r="DEP31" s="73"/>
      <c r="DEQ31" s="73"/>
      <c r="DER31" s="73"/>
      <c r="DES31" s="73"/>
      <c r="DET31" s="73"/>
      <c r="DEU31" s="73"/>
      <c r="DEV31" s="73"/>
      <c r="DEW31" s="73"/>
      <c r="DEX31" s="73"/>
      <c r="DEY31" s="73"/>
      <c r="DEZ31" s="73"/>
      <c r="DFA31" s="73"/>
      <c r="DFB31" s="73"/>
      <c r="DFC31" s="73"/>
      <c r="DFD31" s="73"/>
      <c r="DFE31" s="73"/>
      <c r="DFF31" s="73"/>
      <c r="DFG31" s="73"/>
      <c r="DFH31" s="73"/>
      <c r="DFI31" s="73"/>
      <c r="DFJ31" s="73"/>
      <c r="DFK31" s="73"/>
      <c r="DFL31" s="73"/>
      <c r="DFM31" s="73"/>
      <c r="DFN31" s="73"/>
      <c r="DFO31" s="73"/>
      <c r="DFP31" s="73"/>
      <c r="DFQ31" s="73"/>
      <c r="DFR31" s="73"/>
      <c r="DFS31" s="73"/>
      <c r="DFT31" s="73"/>
      <c r="DFU31" s="73"/>
      <c r="DFV31" s="73"/>
      <c r="DFW31" s="73"/>
      <c r="DFX31" s="73"/>
      <c r="DFY31" s="73"/>
      <c r="DFZ31" s="73"/>
      <c r="DGA31" s="73"/>
      <c r="DGB31" s="73"/>
      <c r="DGC31" s="73"/>
      <c r="DGD31" s="73"/>
      <c r="DGE31" s="73"/>
      <c r="DGF31" s="73"/>
      <c r="DGG31" s="73"/>
      <c r="DGH31" s="73"/>
      <c r="DGI31" s="73"/>
      <c r="DGJ31" s="73"/>
      <c r="DGK31" s="73"/>
      <c r="DGL31" s="73"/>
      <c r="DGM31" s="73"/>
      <c r="DGN31" s="73"/>
      <c r="DGO31" s="73"/>
      <c r="DGP31" s="73"/>
      <c r="DGQ31" s="73"/>
      <c r="DGR31" s="73"/>
      <c r="DGS31" s="73"/>
      <c r="DGT31" s="73"/>
      <c r="DGU31" s="73"/>
      <c r="DGV31" s="73"/>
      <c r="DGW31" s="73"/>
      <c r="DGX31" s="73"/>
      <c r="DGY31" s="73"/>
      <c r="DGZ31" s="73"/>
      <c r="DHA31" s="73"/>
      <c r="DHB31" s="73"/>
      <c r="DHC31" s="73"/>
      <c r="DHD31" s="73"/>
      <c r="DHE31" s="73"/>
      <c r="DHF31" s="73"/>
      <c r="DHG31" s="73"/>
      <c r="DHH31" s="73"/>
      <c r="DHI31" s="73"/>
      <c r="DHJ31" s="73"/>
      <c r="DHK31" s="73"/>
      <c r="DHL31" s="73"/>
      <c r="DHM31" s="73"/>
      <c r="DHN31" s="73"/>
      <c r="DHO31" s="73"/>
      <c r="DHP31" s="73"/>
      <c r="DHQ31" s="73"/>
      <c r="DHR31" s="73"/>
      <c r="DHS31" s="73"/>
      <c r="DHT31" s="73"/>
      <c r="DHU31" s="73"/>
      <c r="DHV31" s="73"/>
      <c r="DHW31" s="73"/>
      <c r="DHX31" s="73"/>
      <c r="DHY31" s="73"/>
      <c r="DHZ31" s="73"/>
      <c r="DIA31" s="73"/>
      <c r="DIB31" s="73"/>
      <c r="DIC31" s="73"/>
      <c r="DID31" s="73"/>
      <c r="DIE31" s="73"/>
      <c r="DIF31" s="73"/>
      <c r="DIG31" s="73"/>
      <c r="DIH31" s="73"/>
      <c r="DII31" s="73"/>
      <c r="DIJ31" s="73"/>
      <c r="DIK31" s="73"/>
      <c r="DIL31" s="73"/>
      <c r="DIM31" s="73"/>
      <c r="DIN31" s="73"/>
      <c r="DIO31" s="73"/>
      <c r="DIP31" s="73"/>
      <c r="DIQ31" s="73"/>
      <c r="DIR31" s="73"/>
      <c r="DIS31" s="73"/>
      <c r="DIT31" s="73"/>
      <c r="DIU31" s="73"/>
      <c r="DIV31" s="73"/>
      <c r="DIW31" s="73"/>
      <c r="DIX31" s="73"/>
      <c r="DIY31" s="73"/>
      <c r="DIZ31" s="73"/>
      <c r="DJA31" s="73"/>
      <c r="DJB31" s="73"/>
      <c r="DJC31" s="73"/>
      <c r="DJD31" s="73"/>
      <c r="DJE31" s="73"/>
      <c r="DJF31" s="73"/>
      <c r="DJG31" s="73"/>
      <c r="DJH31" s="73"/>
      <c r="DJI31" s="73"/>
      <c r="DJJ31" s="73"/>
      <c r="DJK31" s="73"/>
      <c r="DJL31" s="73"/>
      <c r="DJM31" s="73"/>
      <c r="DJN31" s="73"/>
      <c r="DJO31" s="73"/>
      <c r="DJP31" s="73"/>
      <c r="DJQ31" s="73"/>
      <c r="DJR31" s="73"/>
      <c r="DJS31" s="73"/>
      <c r="DJT31" s="73"/>
      <c r="DJU31" s="73"/>
      <c r="DJV31" s="73"/>
      <c r="DJW31" s="73"/>
      <c r="DJX31" s="73"/>
      <c r="DJY31" s="73"/>
      <c r="DJZ31" s="73"/>
      <c r="DKA31" s="73"/>
      <c r="DKB31" s="73"/>
      <c r="DKC31" s="73"/>
      <c r="DKD31" s="73"/>
      <c r="DKE31" s="73"/>
      <c r="DKF31" s="73"/>
      <c r="DKG31" s="73"/>
      <c r="DKH31" s="73"/>
      <c r="DKI31" s="73"/>
      <c r="DKJ31" s="73"/>
      <c r="DKK31" s="73"/>
      <c r="DKL31" s="73"/>
      <c r="DKM31" s="73"/>
      <c r="DKN31" s="73"/>
      <c r="DKO31" s="73"/>
      <c r="DKP31" s="73"/>
      <c r="DKQ31" s="73"/>
      <c r="DKR31" s="73"/>
      <c r="DKS31" s="73"/>
      <c r="DKT31" s="73"/>
      <c r="DKU31" s="73"/>
      <c r="DKV31" s="73"/>
      <c r="DKW31" s="73"/>
      <c r="DKX31" s="73"/>
      <c r="DKY31" s="73"/>
      <c r="DKZ31" s="73"/>
      <c r="DLA31" s="73"/>
      <c r="DLB31" s="73"/>
      <c r="DLC31" s="73"/>
      <c r="DLD31" s="73"/>
      <c r="DLE31" s="73"/>
      <c r="DLF31" s="73"/>
      <c r="DLG31" s="73"/>
      <c r="DLH31" s="73"/>
      <c r="DLI31" s="73"/>
      <c r="DLJ31" s="73"/>
      <c r="DLK31" s="73"/>
      <c r="DLL31" s="73"/>
      <c r="DLM31" s="73"/>
      <c r="DLN31" s="73"/>
      <c r="DLO31" s="73"/>
      <c r="DLP31" s="73"/>
      <c r="DLQ31" s="73"/>
      <c r="DLR31" s="73"/>
      <c r="DLS31" s="73"/>
      <c r="DLT31" s="73"/>
      <c r="DLU31" s="73"/>
      <c r="DLV31" s="73"/>
      <c r="DLW31" s="73"/>
      <c r="DLX31" s="73"/>
      <c r="DLY31" s="73"/>
      <c r="DLZ31" s="73"/>
      <c r="DMA31" s="73"/>
      <c r="DMB31" s="73"/>
      <c r="DMC31" s="73"/>
      <c r="DMD31" s="73"/>
      <c r="DME31" s="73"/>
      <c r="DMF31" s="73"/>
      <c r="DMG31" s="73"/>
      <c r="DMH31" s="73"/>
      <c r="DMI31" s="73"/>
      <c r="DMJ31" s="73"/>
      <c r="DMK31" s="73"/>
      <c r="DML31" s="73"/>
      <c r="DMM31" s="73"/>
      <c r="DMN31" s="73"/>
      <c r="DMO31" s="73"/>
      <c r="DMP31" s="73"/>
      <c r="DMQ31" s="73"/>
      <c r="DMR31" s="73"/>
      <c r="DMS31" s="73"/>
      <c r="DMT31" s="73"/>
      <c r="DMU31" s="73"/>
      <c r="DMV31" s="73"/>
      <c r="DMW31" s="73"/>
      <c r="DMX31" s="73"/>
      <c r="DMY31" s="73"/>
      <c r="DMZ31" s="73"/>
      <c r="DNA31" s="73"/>
      <c r="DNB31" s="73"/>
      <c r="DNC31" s="73"/>
      <c r="DND31" s="73"/>
      <c r="DNE31" s="73"/>
      <c r="DNF31" s="73"/>
      <c r="DNG31" s="73"/>
      <c r="DNH31" s="73"/>
      <c r="DNI31" s="73"/>
      <c r="DNJ31" s="73"/>
      <c r="DNK31" s="73"/>
      <c r="DNL31" s="73"/>
      <c r="DNM31" s="73"/>
      <c r="DNN31" s="73"/>
      <c r="DNO31" s="73"/>
      <c r="DNP31" s="73"/>
      <c r="DNQ31" s="73"/>
      <c r="DNR31" s="73"/>
      <c r="DNS31" s="73"/>
      <c r="DNT31" s="73"/>
      <c r="DNU31" s="73"/>
      <c r="DNV31" s="73"/>
      <c r="DNW31" s="73"/>
      <c r="DNX31" s="73"/>
      <c r="DNY31" s="73"/>
      <c r="DNZ31" s="73"/>
      <c r="DOA31" s="73"/>
      <c r="DOB31" s="73"/>
      <c r="DOC31" s="73"/>
      <c r="DOD31" s="73"/>
      <c r="DOE31" s="73"/>
      <c r="DOF31" s="73"/>
      <c r="DOG31" s="73"/>
      <c r="DOH31" s="73"/>
      <c r="DOI31" s="73"/>
      <c r="DOJ31" s="73"/>
      <c r="DOK31" s="73"/>
      <c r="DOL31" s="73"/>
      <c r="DOM31" s="73"/>
      <c r="DON31" s="73"/>
      <c r="DOO31" s="73"/>
      <c r="DOP31" s="73"/>
      <c r="DOQ31" s="73"/>
      <c r="DOR31" s="73"/>
      <c r="DOS31" s="73"/>
      <c r="DOT31" s="73"/>
      <c r="DOU31" s="73"/>
      <c r="DOV31" s="73"/>
      <c r="DOW31" s="73"/>
      <c r="DOX31" s="73"/>
      <c r="DOY31" s="73"/>
      <c r="DOZ31" s="73"/>
      <c r="DPA31" s="73"/>
      <c r="DPB31" s="73"/>
      <c r="DPC31" s="73"/>
      <c r="DPD31" s="73"/>
      <c r="DPE31" s="73"/>
      <c r="DPF31" s="73"/>
      <c r="DPG31" s="73"/>
      <c r="DPH31" s="73"/>
      <c r="DPI31" s="73"/>
      <c r="DPJ31" s="73"/>
      <c r="DPK31" s="73"/>
      <c r="DPL31" s="73"/>
      <c r="DPM31" s="73"/>
      <c r="DPN31" s="73"/>
      <c r="DPO31" s="73"/>
      <c r="DPP31" s="73"/>
      <c r="DPQ31" s="73"/>
      <c r="DPR31" s="73"/>
      <c r="DPS31" s="73"/>
      <c r="DPT31" s="73"/>
      <c r="DPU31" s="73"/>
      <c r="DPV31" s="73"/>
      <c r="DPW31" s="73"/>
      <c r="DPX31" s="73"/>
      <c r="DPY31" s="73"/>
      <c r="DPZ31" s="73"/>
      <c r="DQA31" s="73"/>
      <c r="DQB31" s="73"/>
      <c r="DQC31" s="73"/>
      <c r="DQD31" s="73"/>
      <c r="DQE31" s="73"/>
      <c r="DQF31" s="73"/>
      <c r="DQG31" s="73"/>
      <c r="DQH31" s="73"/>
      <c r="DQI31" s="73"/>
      <c r="DQJ31" s="73"/>
      <c r="DQK31" s="73"/>
      <c r="DQL31" s="73"/>
      <c r="DQM31" s="73"/>
      <c r="DQN31" s="73"/>
      <c r="DQO31" s="73"/>
      <c r="DQP31" s="73"/>
      <c r="DQQ31" s="73"/>
      <c r="DQR31" s="73"/>
      <c r="DQS31" s="73"/>
      <c r="DQT31" s="73"/>
      <c r="DQU31" s="73"/>
      <c r="DQV31" s="73"/>
      <c r="DQW31" s="73"/>
      <c r="DQX31" s="73"/>
      <c r="DQY31" s="73"/>
      <c r="DQZ31" s="73"/>
      <c r="DRA31" s="73"/>
      <c r="DRB31" s="73"/>
      <c r="DRC31" s="73"/>
      <c r="DRD31" s="73"/>
      <c r="DRE31" s="73"/>
      <c r="DRF31" s="73"/>
      <c r="DRG31" s="73"/>
      <c r="DRH31" s="73"/>
      <c r="DRI31" s="73"/>
      <c r="DRJ31" s="73"/>
      <c r="DRK31" s="73"/>
      <c r="DRL31" s="73"/>
      <c r="DRM31" s="73"/>
      <c r="DRN31" s="73"/>
      <c r="DRO31" s="73"/>
      <c r="DRP31" s="73"/>
      <c r="DRQ31" s="73"/>
      <c r="DRR31" s="73"/>
      <c r="DRS31" s="73"/>
      <c r="DRT31" s="73"/>
      <c r="DRU31" s="73"/>
      <c r="DRV31" s="73"/>
      <c r="DRW31" s="73"/>
      <c r="DRX31" s="73"/>
      <c r="DRY31" s="73"/>
      <c r="DRZ31" s="73"/>
      <c r="DSA31" s="73"/>
      <c r="DSB31" s="73"/>
      <c r="DSC31" s="73"/>
      <c r="DSD31" s="73"/>
      <c r="DSE31" s="73"/>
      <c r="DSF31" s="73"/>
      <c r="DSG31" s="73"/>
      <c r="DSH31" s="73"/>
      <c r="DSI31" s="73"/>
      <c r="DSJ31" s="73"/>
      <c r="DSK31" s="73"/>
      <c r="DSL31" s="73"/>
      <c r="DSM31" s="73"/>
      <c r="DSN31" s="73"/>
      <c r="DSO31" s="73"/>
      <c r="DSP31" s="73"/>
      <c r="DSQ31" s="73"/>
      <c r="DSR31" s="73"/>
      <c r="DSS31" s="73"/>
      <c r="DST31" s="73"/>
      <c r="DSU31" s="73"/>
      <c r="DSV31" s="73"/>
      <c r="DSW31" s="73"/>
      <c r="DSX31" s="73"/>
      <c r="DSY31" s="73"/>
      <c r="DSZ31" s="73"/>
      <c r="DTA31" s="73"/>
      <c r="DTB31" s="73"/>
      <c r="DTC31" s="73"/>
      <c r="DTD31" s="73"/>
      <c r="DTE31" s="73"/>
      <c r="DTF31" s="73"/>
      <c r="DTG31" s="73"/>
      <c r="DTH31" s="73"/>
      <c r="DTI31" s="73"/>
      <c r="DTJ31" s="73"/>
      <c r="DTK31" s="73"/>
      <c r="DTL31" s="73"/>
      <c r="DTM31" s="73"/>
      <c r="DTN31" s="73"/>
      <c r="DTO31" s="73"/>
      <c r="DTP31" s="73"/>
      <c r="DTQ31" s="73"/>
      <c r="DTR31" s="73"/>
      <c r="DTS31" s="73"/>
      <c r="DTT31" s="73"/>
      <c r="DTU31" s="73"/>
      <c r="DTV31" s="73"/>
      <c r="DTW31" s="73"/>
      <c r="DTX31" s="73"/>
      <c r="DTY31" s="73"/>
      <c r="DTZ31" s="73"/>
      <c r="DUA31" s="73"/>
      <c r="DUB31" s="73"/>
      <c r="DUC31" s="73"/>
      <c r="DUD31" s="73"/>
      <c r="DUE31" s="73"/>
      <c r="DUF31" s="73"/>
      <c r="DUG31" s="73"/>
      <c r="DUH31" s="73"/>
      <c r="DUI31" s="73"/>
      <c r="DUJ31" s="73"/>
      <c r="DUK31" s="73"/>
      <c r="DUL31" s="73"/>
      <c r="DUM31" s="73"/>
      <c r="DUN31" s="73"/>
      <c r="DUO31" s="73"/>
      <c r="DUP31" s="73"/>
      <c r="DUQ31" s="73"/>
      <c r="DUR31" s="73"/>
      <c r="DUS31" s="73"/>
      <c r="DUT31" s="73"/>
      <c r="DUU31" s="73"/>
      <c r="DUV31" s="73"/>
      <c r="DUW31" s="73"/>
      <c r="DUX31" s="73"/>
      <c r="DUY31" s="73"/>
      <c r="DUZ31" s="73"/>
      <c r="DVA31" s="73"/>
      <c r="DVB31" s="73"/>
      <c r="DVC31" s="73"/>
      <c r="DVD31" s="73"/>
      <c r="DVE31" s="73"/>
      <c r="DVF31" s="73"/>
      <c r="DVG31" s="73"/>
      <c r="DVH31" s="73"/>
      <c r="DVI31" s="73"/>
      <c r="DVJ31" s="73"/>
      <c r="DVK31" s="73"/>
      <c r="DVL31" s="73"/>
      <c r="DVM31" s="73"/>
      <c r="DVN31" s="73"/>
      <c r="DVO31" s="73"/>
      <c r="DVP31" s="73"/>
      <c r="DVQ31" s="73"/>
      <c r="DVR31" s="73"/>
      <c r="DVS31" s="73"/>
      <c r="DVT31" s="73"/>
      <c r="DVU31" s="73"/>
      <c r="DVV31" s="73"/>
      <c r="DVW31" s="73"/>
      <c r="DVX31" s="73"/>
      <c r="DVY31" s="73"/>
      <c r="DVZ31" s="73"/>
      <c r="DWA31" s="73"/>
      <c r="DWB31" s="73"/>
      <c r="DWC31" s="73"/>
      <c r="DWD31" s="73"/>
      <c r="DWE31" s="73"/>
      <c r="DWF31" s="73"/>
      <c r="DWG31" s="73"/>
      <c r="DWH31" s="73"/>
      <c r="DWI31" s="73"/>
      <c r="DWJ31" s="73"/>
      <c r="DWK31" s="73"/>
      <c r="DWL31" s="73"/>
      <c r="DWM31" s="73"/>
      <c r="DWN31" s="73"/>
      <c r="DWO31" s="73"/>
      <c r="DWP31" s="73"/>
      <c r="DWQ31" s="73"/>
      <c r="DWR31" s="73"/>
      <c r="DWS31" s="73"/>
      <c r="DWT31" s="73"/>
      <c r="DWU31" s="73"/>
      <c r="DWV31" s="73"/>
      <c r="DWW31" s="73"/>
      <c r="DWX31" s="73"/>
      <c r="DWY31" s="73"/>
      <c r="DWZ31" s="73"/>
      <c r="DXA31" s="73"/>
      <c r="DXB31" s="73"/>
      <c r="DXC31" s="73"/>
      <c r="DXD31" s="73"/>
      <c r="DXE31" s="73"/>
      <c r="DXF31" s="73"/>
      <c r="DXG31" s="73"/>
      <c r="DXH31" s="73"/>
      <c r="DXI31" s="73"/>
      <c r="DXJ31" s="73"/>
      <c r="DXK31" s="73"/>
      <c r="DXL31" s="73"/>
      <c r="DXM31" s="73"/>
      <c r="DXN31" s="73"/>
      <c r="DXO31" s="73"/>
      <c r="DXP31" s="73"/>
      <c r="DXQ31" s="73"/>
      <c r="DXR31" s="73"/>
      <c r="DXS31" s="73"/>
      <c r="DXT31" s="73"/>
      <c r="DXU31" s="73"/>
      <c r="DXV31" s="73"/>
      <c r="DXW31" s="73"/>
      <c r="DXX31" s="73"/>
      <c r="DXY31" s="73"/>
      <c r="DXZ31" s="73"/>
      <c r="DYA31" s="73"/>
      <c r="DYB31" s="73"/>
      <c r="DYC31" s="73"/>
      <c r="DYD31" s="73"/>
      <c r="DYE31" s="73"/>
      <c r="DYF31" s="73"/>
      <c r="DYG31" s="73"/>
      <c r="DYH31" s="73"/>
      <c r="DYI31" s="73"/>
      <c r="DYJ31" s="73"/>
      <c r="DYK31" s="73"/>
      <c r="DYL31" s="73"/>
      <c r="DYM31" s="73"/>
      <c r="DYN31" s="73"/>
      <c r="DYO31" s="73"/>
      <c r="DYP31" s="73"/>
      <c r="DYQ31" s="73"/>
      <c r="DYR31" s="73"/>
      <c r="DYS31" s="73"/>
      <c r="DYT31" s="73"/>
      <c r="DYU31" s="73"/>
      <c r="DYV31" s="73"/>
      <c r="DYW31" s="73"/>
      <c r="DYX31" s="73"/>
      <c r="DYY31" s="73"/>
      <c r="DYZ31" s="73"/>
      <c r="DZA31" s="73"/>
      <c r="DZB31" s="73"/>
      <c r="DZC31" s="73"/>
      <c r="DZD31" s="73"/>
      <c r="DZE31" s="73"/>
      <c r="DZF31" s="73"/>
      <c r="DZG31" s="73"/>
      <c r="DZH31" s="73"/>
      <c r="DZI31" s="73"/>
      <c r="DZJ31" s="73"/>
      <c r="DZK31" s="73"/>
      <c r="DZL31" s="73"/>
      <c r="DZM31" s="73"/>
      <c r="DZN31" s="73"/>
      <c r="DZO31" s="73"/>
      <c r="DZP31" s="73"/>
      <c r="DZQ31" s="73"/>
      <c r="DZR31" s="73"/>
      <c r="DZS31" s="73"/>
      <c r="DZT31" s="73"/>
      <c r="DZU31" s="73"/>
      <c r="DZV31" s="73"/>
      <c r="DZW31" s="73"/>
      <c r="DZX31" s="73"/>
      <c r="DZY31" s="73"/>
      <c r="DZZ31" s="73"/>
      <c r="EAA31" s="73"/>
      <c r="EAB31" s="73"/>
      <c r="EAC31" s="73"/>
      <c r="EAD31" s="73"/>
      <c r="EAE31" s="73"/>
      <c r="EAF31" s="73"/>
      <c r="EAG31" s="73"/>
      <c r="EAH31" s="73"/>
      <c r="EAI31" s="73"/>
      <c r="EAJ31" s="73"/>
      <c r="EAK31" s="73"/>
      <c r="EAL31" s="73"/>
      <c r="EAM31" s="73"/>
      <c r="EAN31" s="73"/>
      <c r="EAO31" s="73"/>
      <c r="EAP31" s="73"/>
      <c r="EAQ31" s="73"/>
      <c r="EAR31" s="73"/>
      <c r="EAS31" s="73"/>
      <c r="EAT31" s="73"/>
      <c r="EAU31" s="73"/>
      <c r="EAV31" s="73"/>
      <c r="EAW31" s="73"/>
      <c r="EAX31" s="73"/>
      <c r="EAY31" s="73"/>
      <c r="EAZ31" s="73"/>
      <c r="EBA31" s="73"/>
      <c r="EBB31" s="73"/>
      <c r="EBC31" s="73"/>
      <c r="EBD31" s="73"/>
      <c r="EBE31" s="73"/>
      <c r="EBF31" s="73"/>
      <c r="EBG31" s="73"/>
      <c r="EBH31" s="73"/>
      <c r="EBI31" s="73"/>
      <c r="EBJ31" s="73"/>
      <c r="EBK31" s="73"/>
      <c r="EBL31" s="73"/>
      <c r="EBM31" s="73"/>
      <c r="EBN31" s="73"/>
      <c r="EBO31" s="73"/>
      <c r="EBP31" s="73"/>
      <c r="EBQ31" s="73"/>
      <c r="EBR31" s="73"/>
      <c r="EBS31" s="73"/>
      <c r="EBT31" s="73"/>
      <c r="EBU31" s="73"/>
      <c r="EBV31" s="73"/>
      <c r="EBW31" s="73"/>
      <c r="EBX31" s="73"/>
      <c r="EBY31" s="73"/>
      <c r="EBZ31" s="73"/>
      <c r="ECA31" s="73"/>
      <c r="ECB31" s="73"/>
      <c r="ECC31" s="73"/>
      <c r="ECD31" s="73"/>
      <c r="ECE31" s="73"/>
      <c r="ECF31" s="73"/>
      <c r="ECG31" s="73"/>
      <c r="ECH31" s="73"/>
      <c r="ECI31" s="73"/>
      <c r="ECJ31" s="73"/>
      <c r="ECK31" s="73"/>
      <c r="ECL31" s="73"/>
      <c r="ECM31" s="73"/>
      <c r="ECN31" s="73"/>
      <c r="ECO31" s="73"/>
      <c r="ECP31" s="73"/>
      <c r="ECQ31" s="73"/>
      <c r="ECR31" s="73"/>
      <c r="ECS31" s="73"/>
      <c r="ECT31" s="73"/>
      <c r="ECU31" s="73"/>
      <c r="ECV31" s="73"/>
      <c r="ECW31" s="73"/>
      <c r="ECX31" s="73"/>
      <c r="ECY31" s="73"/>
      <c r="ECZ31" s="73"/>
      <c r="EDA31" s="73"/>
      <c r="EDB31" s="73"/>
      <c r="EDC31" s="73"/>
      <c r="EDD31" s="73"/>
      <c r="EDE31" s="73"/>
      <c r="EDF31" s="73"/>
      <c r="EDG31" s="73"/>
      <c r="EDH31" s="73"/>
      <c r="EDI31" s="73"/>
      <c r="EDJ31" s="73"/>
      <c r="EDK31" s="73"/>
      <c r="EDL31" s="73"/>
      <c r="EDM31" s="73"/>
      <c r="EDN31" s="73"/>
      <c r="EDO31" s="73"/>
      <c r="EDP31" s="73"/>
      <c r="EDQ31" s="73"/>
      <c r="EDR31" s="73"/>
      <c r="EDS31" s="73"/>
      <c r="EDT31" s="73"/>
      <c r="EDU31" s="73"/>
      <c r="EDV31" s="73"/>
      <c r="EDW31" s="73"/>
      <c r="EDX31" s="73"/>
      <c r="EDY31" s="73"/>
      <c r="EDZ31" s="73"/>
      <c r="EEA31" s="73"/>
      <c r="EEB31" s="73"/>
      <c r="EEC31" s="73"/>
      <c r="EED31" s="73"/>
      <c r="EEE31" s="73"/>
      <c r="EEF31" s="73"/>
      <c r="EEG31" s="73"/>
      <c r="EEH31" s="73"/>
      <c r="EEI31" s="73"/>
      <c r="EEJ31" s="73"/>
      <c r="EEK31" s="73"/>
      <c r="EEL31" s="73"/>
      <c r="EEM31" s="73"/>
      <c r="EEN31" s="73"/>
      <c r="EEO31" s="73"/>
      <c r="EEP31" s="73"/>
      <c r="EEQ31" s="73"/>
      <c r="EER31" s="73"/>
      <c r="EES31" s="73"/>
      <c r="EET31" s="73"/>
      <c r="EEU31" s="73"/>
      <c r="EEV31" s="73"/>
      <c r="EEW31" s="73"/>
      <c r="EEX31" s="73"/>
      <c r="EEY31" s="73"/>
      <c r="EEZ31" s="73"/>
      <c r="EFA31" s="73"/>
      <c r="EFB31" s="73"/>
      <c r="EFC31" s="73"/>
      <c r="EFD31" s="73"/>
      <c r="EFE31" s="73"/>
      <c r="EFF31" s="73"/>
      <c r="EFG31" s="73"/>
      <c r="EFH31" s="73"/>
      <c r="EFI31" s="73"/>
      <c r="EFJ31" s="73"/>
      <c r="EFK31" s="73"/>
      <c r="EFL31" s="73"/>
      <c r="EFM31" s="73"/>
      <c r="EFN31" s="73"/>
      <c r="EFO31" s="73"/>
      <c r="EFP31" s="73"/>
      <c r="EFQ31" s="73"/>
      <c r="EFR31" s="73"/>
      <c r="EFS31" s="73"/>
      <c r="EFT31" s="73"/>
      <c r="EFU31" s="73"/>
      <c r="EFV31" s="73"/>
      <c r="EFW31" s="73"/>
      <c r="EFX31" s="73"/>
      <c r="EFY31" s="73"/>
      <c r="EFZ31" s="73"/>
      <c r="EGA31" s="73"/>
      <c r="EGB31" s="73"/>
      <c r="EGC31" s="73"/>
      <c r="EGD31" s="73"/>
      <c r="EGE31" s="73"/>
      <c r="EGF31" s="73"/>
      <c r="EGG31" s="73"/>
      <c r="EGH31" s="73"/>
      <c r="EGI31" s="73"/>
      <c r="EGJ31" s="73"/>
      <c r="EGK31" s="73"/>
      <c r="EGL31" s="73"/>
      <c r="EGM31" s="73"/>
      <c r="EGN31" s="73"/>
      <c r="EGO31" s="73"/>
      <c r="EGP31" s="73"/>
      <c r="EGQ31" s="73"/>
      <c r="EGR31" s="73"/>
      <c r="EGS31" s="73"/>
      <c r="EGT31" s="73"/>
      <c r="EGU31" s="73"/>
      <c r="EGV31" s="73"/>
      <c r="EGW31" s="73"/>
      <c r="EGX31" s="73"/>
      <c r="EGY31" s="73"/>
      <c r="EGZ31" s="73"/>
      <c r="EHA31" s="73"/>
      <c r="EHB31" s="73"/>
      <c r="EHC31" s="73"/>
      <c r="EHD31" s="73"/>
      <c r="EHE31" s="73"/>
      <c r="EHF31" s="73"/>
      <c r="EHG31" s="73"/>
      <c r="EHH31" s="73"/>
      <c r="EHI31" s="73"/>
      <c r="EHJ31" s="73"/>
      <c r="EHK31" s="73"/>
      <c r="EHL31" s="73"/>
      <c r="EHM31" s="73"/>
      <c r="EHN31" s="73"/>
      <c r="EHO31" s="73"/>
      <c r="EHP31" s="73"/>
      <c r="EHQ31" s="73"/>
      <c r="EHR31" s="73"/>
      <c r="EHS31" s="73"/>
      <c r="EHT31" s="73"/>
      <c r="EHU31" s="73"/>
      <c r="EHV31" s="73"/>
      <c r="EHW31" s="73"/>
      <c r="EHX31" s="73"/>
      <c r="EHY31" s="73"/>
      <c r="EHZ31" s="73"/>
      <c r="EIA31" s="73"/>
      <c r="EIB31" s="73"/>
      <c r="EIC31" s="73"/>
      <c r="EID31" s="73"/>
      <c r="EIE31" s="73"/>
      <c r="EIF31" s="73"/>
      <c r="EIG31" s="73"/>
      <c r="EIH31" s="73"/>
      <c r="EII31" s="73"/>
      <c r="EIJ31" s="73"/>
      <c r="EIK31" s="73"/>
      <c r="EIL31" s="73"/>
      <c r="EIM31" s="73"/>
      <c r="EIN31" s="73"/>
      <c r="EIO31" s="73"/>
      <c r="EIP31" s="73"/>
      <c r="EIQ31" s="73"/>
      <c r="EIR31" s="73"/>
      <c r="EIS31" s="73"/>
      <c r="EIT31" s="73"/>
      <c r="EIU31" s="73"/>
      <c r="EIV31" s="73"/>
      <c r="EIW31" s="73"/>
      <c r="EIX31" s="73"/>
      <c r="EIY31" s="73"/>
      <c r="EIZ31" s="73"/>
      <c r="EJA31" s="73"/>
      <c r="EJB31" s="73"/>
      <c r="EJC31" s="73"/>
      <c r="EJD31" s="73"/>
      <c r="EJE31" s="73"/>
      <c r="EJF31" s="73"/>
      <c r="EJG31" s="73"/>
      <c r="EJH31" s="73"/>
      <c r="EJI31" s="73"/>
      <c r="EJJ31" s="73"/>
      <c r="EJK31" s="73"/>
      <c r="EJL31" s="73"/>
      <c r="EJM31" s="73"/>
      <c r="EJN31" s="73"/>
      <c r="EJO31" s="73"/>
      <c r="EJP31" s="73"/>
      <c r="EJQ31" s="73"/>
      <c r="EJR31" s="73"/>
      <c r="EJS31" s="73"/>
      <c r="EJT31" s="73"/>
      <c r="EJU31" s="73"/>
      <c r="EJV31" s="73"/>
      <c r="EJW31" s="73"/>
      <c r="EJX31" s="73"/>
      <c r="EJY31" s="73"/>
      <c r="EJZ31" s="73"/>
      <c r="EKA31" s="73"/>
      <c r="EKB31" s="73"/>
      <c r="EKC31" s="73"/>
      <c r="EKD31" s="73"/>
      <c r="EKE31" s="73"/>
      <c r="EKF31" s="73"/>
      <c r="EKG31" s="73"/>
      <c r="EKH31" s="73"/>
      <c r="EKI31" s="73"/>
      <c r="EKJ31" s="73"/>
      <c r="EKK31" s="73"/>
      <c r="EKL31" s="73"/>
      <c r="EKM31" s="73"/>
      <c r="EKN31" s="73"/>
      <c r="EKO31" s="73"/>
      <c r="EKP31" s="73"/>
      <c r="EKQ31" s="73"/>
      <c r="EKR31" s="73"/>
      <c r="EKS31" s="73"/>
      <c r="EKT31" s="73"/>
      <c r="EKU31" s="73"/>
      <c r="EKV31" s="73"/>
      <c r="EKW31" s="73"/>
      <c r="EKX31" s="73"/>
      <c r="EKY31" s="73"/>
      <c r="EKZ31" s="73"/>
      <c r="ELA31" s="73"/>
      <c r="ELB31" s="73"/>
      <c r="ELC31" s="73"/>
      <c r="ELD31" s="73"/>
      <c r="ELE31" s="73"/>
      <c r="ELF31" s="73"/>
      <c r="ELG31" s="73"/>
      <c r="ELH31" s="73"/>
      <c r="ELI31" s="73"/>
      <c r="ELJ31" s="73"/>
      <c r="ELK31" s="73"/>
      <c r="ELL31" s="73"/>
      <c r="ELM31" s="73"/>
      <c r="ELN31" s="73"/>
      <c r="ELO31" s="73"/>
      <c r="ELP31" s="73"/>
      <c r="ELQ31" s="73"/>
      <c r="ELR31" s="73"/>
      <c r="ELS31" s="73"/>
      <c r="ELT31" s="73"/>
      <c r="ELU31" s="73"/>
      <c r="ELV31" s="73"/>
      <c r="ELW31" s="73"/>
      <c r="ELX31" s="73"/>
      <c r="ELY31" s="73"/>
      <c r="ELZ31" s="73"/>
      <c r="EMA31" s="73"/>
      <c r="EMB31" s="73"/>
      <c r="EMC31" s="73"/>
      <c r="EMD31" s="73"/>
      <c r="EME31" s="73"/>
      <c r="EMF31" s="73"/>
      <c r="EMG31" s="73"/>
      <c r="EMH31" s="73"/>
      <c r="EMI31" s="73"/>
      <c r="EMJ31" s="73"/>
      <c r="EMK31" s="73"/>
      <c r="EML31" s="73"/>
      <c r="EMM31" s="73"/>
      <c r="EMN31" s="73"/>
      <c r="EMO31" s="73"/>
      <c r="EMP31" s="73"/>
      <c r="EMQ31" s="73"/>
      <c r="EMR31" s="73"/>
      <c r="EMS31" s="73"/>
      <c r="EMT31" s="73"/>
      <c r="EMU31" s="73"/>
      <c r="EMV31" s="73"/>
      <c r="EMW31" s="73"/>
      <c r="EMX31" s="73"/>
      <c r="EMY31" s="73"/>
      <c r="EMZ31" s="73"/>
      <c r="ENA31" s="73"/>
      <c r="ENB31" s="73"/>
      <c r="ENC31" s="73"/>
      <c r="END31" s="73"/>
      <c r="ENE31" s="73"/>
      <c r="ENF31" s="73"/>
      <c r="ENG31" s="73"/>
      <c r="ENH31" s="73"/>
      <c r="ENI31" s="73"/>
      <c r="ENJ31" s="73"/>
      <c r="ENK31" s="73"/>
      <c r="ENL31" s="73"/>
      <c r="ENM31" s="73"/>
      <c r="ENN31" s="73"/>
      <c r="ENO31" s="73"/>
      <c r="ENP31" s="73"/>
      <c r="ENQ31" s="73"/>
      <c r="ENR31" s="73"/>
      <c r="ENS31" s="73"/>
      <c r="ENT31" s="73"/>
      <c r="ENU31" s="73"/>
      <c r="ENV31" s="73"/>
      <c r="ENW31" s="73"/>
      <c r="ENX31" s="73"/>
      <c r="ENY31" s="73"/>
      <c r="ENZ31" s="73"/>
      <c r="EOA31" s="73"/>
      <c r="EOB31" s="73"/>
      <c r="EOC31" s="73"/>
      <c r="EOD31" s="73"/>
      <c r="EOE31" s="73"/>
      <c r="EOF31" s="73"/>
      <c r="EOG31" s="73"/>
      <c r="EOH31" s="73"/>
      <c r="EOI31" s="73"/>
      <c r="EOJ31" s="73"/>
      <c r="EOK31" s="73"/>
      <c r="EOL31" s="73"/>
      <c r="EOM31" s="73"/>
      <c r="EON31" s="73"/>
      <c r="EOO31" s="73"/>
      <c r="EOP31" s="73"/>
      <c r="EOQ31" s="73"/>
      <c r="EOR31" s="73"/>
      <c r="EOS31" s="73"/>
      <c r="EOT31" s="73"/>
      <c r="EOU31" s="73"/>
      <c r="EOV31" s="73"/>
      <c r="EOW31" s="73"/>
      <c r="EOX31" s="73"/>
      <c r="EOY31" s="73"/>
      <c r="EOZ31" s="73"/>
      <c r="EPA31" s="73"/>
      <c r="EPB31" s="73"/>
      <c r="EPC31" s="73"/>
      <c r="EPD31" s="73"/>
      <c r="EPE31" s="73"/>
      <c r="EPF31" s="73"/>
      <c r="EPG31" s="73"/>
      <c r="EPH31" s="73"/>
      <c r="EPI31" s="73"/>
      <c r="EPJ31" s="73"/>
      <c r="EPK31" s="73"/>
      <c r="EPL31" s="73"/>
      <c r="EPM31" s="73"/>
      <c r="EPN31" s="73"/>
      <c r="EPO31" s="73"/>
      <c r="EPP31" s="73"/>
      <c r="EPQ31" s="73"/>
      <c r="EPR31" s="73"/>
      <c r="EPS31" s="73"/>
      <c r="EPT31" s="73"/>
      <c r="EPU31" s="73"/>
      <c r="EPV31" s="73"/>
      <c r="EPW31" s="73"/>
      <c r="EPX31" s="73"/>
      <c r="EPY31" s="73"/>
      <c r="EPZ31" s="73"/>
      <c r="EQA31" s="73"/>
      <c r="EQB31" s="73"/>
      <c r="EQC31" s="73"/>
      <c r="EQD31" s="73"/>
      <c r="EQE31" s="73"/>
      <c r="EQF31" s="73"/>
      <c r="EQG31" s="73"/>
      <c r="EQH31" s="73"/>
      <c r="EQI31" s="73"/>
      <c r="EQJ31" s="73"/>
      <c r="EQK31" s="73"/>
      <c r="EQL31" s="73"/>
      <c r="EQM31" s="73"/>
      <c r="EQN31" s="73"/>
      <c r="EQO31" s="73"/>
      <c r="EQP31" s="73"/>
      <c r="EQQ31" s="73"/>
      <c r="EQR31" s="73"/>
      <c r="EQS31" s="73"/>
      <c r="EQT31" s="73"/>
      <c r="EQU31" s="73"/>
      <c r="EQV31" s="73"/>
      <c r="EQW31" s="73"/>
      <c r="EQX31" s="73"/>
      <c r="EQY31" s="73"/>
      <c r="EQZ31" s="73"/>
      <c r="ERA31" s="73"/>
      <c r="ERB31" s="73"/>
      <c r="ERC31" s="73"/>
      <c r="ERD31" s="73"/>
      <c r="ERE31" s="73"/>
      <c r="ERF31" s="73"/>
      <c r="ERG31" s="73"/>
      <c r="ERH31" s="73"/>
      <c r="ERI31" s="73"/>
      <c r="ERJ31" s="73"/>
      <c r="ERK31" s="73"/>
      <c r="ERL31" s="73"/>
      <c r="ERM31" s="73"/>
      <c r="ERN31" s="73"/>
      <c r="ERO31" s="73"/>
      <c r="ERP31" s="73"/>
      <c r="ERQ31" s="73"/>
      <c r="ERR31" s="73"/>
      <c r="ERS31" s="73"/>
      <c r="ERT31" s="73"/>
      <c r="ERU31" s="73"/>
      <c r="ERV31" s="73"/>
      <c r="ERW31" s="73"/>
      <c r="ERX31" s="73"/>
      <c r="ERY31" s="73"/>
      <c r="ERZ31" s="73"/>
      <c r="ESA31" s="73"/>
      <c r="ESB31" s="73"/>
      <c r="ESC31" s="73"/>
      <c r="ESD31" s="73"/>
      <c r="ESE31" s="73"/>
      <c r="ESF31" s="73"/>
      <c r="ESG31" s="73"/>
      <c r="ESH31" s="73"/>
      <c r="ESI31" s="73"/>
      <c r="ESJ31" s="73"/>
      <c r="ESK31" s="73"/>
      <c r="ESL31" s="73"/>
      <c r="ESM31" s="73"/>
      <c r="ESN31" s="73"/>
      <c r="ESO31" s="73"/>
      <c r="ESP31" s="73"/>
      <c r="ESQ31" s="73"/>
      <c r="ESR31" s="73"/>
      <c r="ESS31" s="73"/>
      <c r="EST31" s="73"/>
      <c r="ESU31" s="73"/>
      <c r="ESV31" s="73"/>
      <c r="ESW31" s="73"/>
      <c r="ESX31" s="73"/>
      <c r="ESY31" s="73"/>
      <c r="ESZ31" s="73"/>
      <c r="ETA31" s="73"/>
      <c r="ETB31" s="73"/>
      <c r="ETC31" s="73"/>
      <c r="ETD31" s="73"/>
      <c r="ETE31" s="73"/>
      <c r="ETF31" s="73"/>
      <c r="ETG31" s="73"/>
      <c r="ETH31" s="73"/>
      <c r="ETI31" s="73"/>
      <c r="ETJ31" s="73"/>
      <c r="ETK31" s="73"/>
      <c r="ETL31" s="73"/>
      <c r="ETM31" s="73"/>
      <c r="ETN31" s="73"/>
      <c r="ETO31" s="73"/>
      <c r="ETP31" s="73"/>
      <c r="ETQ31" s="73"/>
      <c r="ETR31" s="73"/>
      <c r="ETS31" s="73"/>
      <c r="ETT31" s="73"/>
      <c r="ETU31" s="73"/>
      <c r="ETV31" s="73"/>
      <c r="ETW31" s="73"/>
      <c r="ETX31" s="73"/>
      <c r="ETY31" s="73"/>
      <c r="ETZ31" s="73"/>
      <c r="EUA31" s="73"/>
      <c r="EUB31" s="73"/>
      <c r="EUC31" s="73"/>
      <c r="EUD31" s="73"/>
      <c r="EUE31" s="73"/>
      <c r="EUF31" s="73"/>
      <c r="EUG31" s="73"/>
      <c r="EUH31" s="73"/>
      <c r="EUI31" s="73"/>
      <c r="EUJ31" s="73"/>
      <c r="EUK31" s="73"/>
      <c r="EUL31" s="73"/>
      <c r="EUM31" s="73"/>
      <c r="EUN31" s="73"/>
      <c r="EUO31" s="73"/>
      <c r="EUP31" s="73"/>
      <c r="EUQ31" s="73"/>
      <c r="EUR31" s="73"/>
      <c r="EUS31" s="73"/>
      <c r="EUT31" s="73"/>
      <c r="EUU31" s="73"/>
      <c r="EUV31" s="73"/>
      <c r="EUW31" s="73"/>
      <c r="EUX31" s="73"/>
      <c r="EUY31" s="73"/>
      <c r="EUZ31" s="73"/>
      <c r="EVA31" s="73"/>
      <c r="EVB31" s="73"/>
      <c r="EVC31" s="73"/>
      <c r="EVD31" s="73"/>
      <c r="EVE31" s="73"/>
      <c r="EVF31" s="73"/>
      <c r="EVG31" s="73"/>
      <c r="EVH31" s="73"/>
      <c r="EVI31" s="73"/>
      <c r="EVJ31" s="73"/>
      <c r="EVK31" s="73"/>
      <c r="EVL31" s="73"/>
      <c r="EVM31" s="73"/>
      <c r="EVN31" s="73"/>
      <c r="EVO31" s="73"/>
      <c r="EVP31" s="73"/>
      <c r="EVQ31" s="73"/>
      <c r="EVR31" s="73"/>
      <c r="EVS31" s="73"/>
      <c r="EVT31" s="73"/>
      <c r="EVU31" s="73"/>
      <c r="EVV31" s="73"/>
      <c r="EVW31" s="73"/>
      <c r="EVX31" s="73"/>
      <c r="EVY31" s="73"/>
      <c r="EVZ31" s="73"/>
      <c r="EWA31" s="73"/>
      <c r="EWB31" s="73"/>
      <c r="EWC31" s="73"/>
      <c r="EWD31" s="73"/>
      <c r="EWE31" s="73"/>
      <c r="EWF31" s="73"/>
      <c r="EWG31" s="73"/>
      <c r="EWH31" s="73"/>
      <c r="EWI31" s="73"/>
      <c r="EWJ31" s="73"/>
      <c r="EWK31" s="73"/>
      <c r="EWL31" s="73"/>
      <c r="EWM31" s="73"/>
      <c r="EWN31" s="73"/>
      <c r="EWO31" s="73"/>
      <c r="EWP31" s="73"/>
      <c r="EWQ31" s="73"/>
      <c r="EWR31" s="73"/>
      <c r="EWS31" s="73"/>
      <c r="EWT31" s="73"/>
      <c r="EWU31" s="73"/>
      <c r="EWV31" s="73"/>
      <c r="EWW31" s="73"/>
      <c r="EWX31" s="73"/>
      <c r="EWY31" s="73"/>
      <c r="EWZ31" s="73"/>
      <c r="EXA31" s="73"/>
      <c r="EXB31" s="73"/>
      <c r="EXC31" s="73"/>
      <c r="EXD31" s="73"/>
      <c r="EXE31" s="73"/>
      <c r="EXF31" s="73"/>
      <c r="EXG31" s="73"/>
      <c r="EXH31" s="73"/>
      <c r="EXI31" s="73"/>
      <c r="EXJ31" s="73"/>
      <c r="EXK31" s="73"/>
      <c r="EXL31" s="73"/>
      <c r="EXM31" s="73"/>
      <c r="EXN31" s="73"/>
      <c r="EXO31" s="73"/>
      <c r="EXP31" s="73"/>
      <c r="EXQ31" s="73"/>
      <c r="EXR31" s="73"/>
      <c r="EXS31" s="73"/>
      <c r="EXT31" s="73"/>
      <c r="EXU31" s="73"/>
      <c r="EXV31" s="73"/>
      <c r="EXW31" s="73"/>
      <c r="EXX31" s="73"/>
      <c r="EXY31" s="73"/>
      <c r="EXZ31" s="73"/>
      <c r="EYA31" s="73"/>
      <c r="EYB31" s="73"/>
      <c r="EYC31" s="73"/>
      <c r="EYD31" s="73"/>
      <c r="EYE31" s="73"/>
      <c r="EYF31" s="73"/>
      <c r="EYG31" s="73"/>
      <c r="EYH31" s="73"/>
      <c r="EYI31" s="73"/>
      <c r="EYJ31" s="73"/>
      <c r="EYK31" s="73"/>
      <c r="EYL31" s="73"/>
      <c r="EYM31" s="73"/>
      <c r="EYN31" s="73"/>
      <c r="EYO31" s="73"/>
      <c r="EYP31" s="73"/>
      <c r="EYQ31" s="73"/>
      <c r="EYR31" s="73"/>
      <c r="EYS31" s="73"/>
      <c r="EYT31" s="73"/>
      <c r="EYU31" s="73"/>
      <c r="EYV31" s="73"/>
      <c r="EYW31" s="73"/>
      <c r="EYX31" s="73"/>
      <c r="EYY31" s="73"/>
      <c r="EYZ31" s="73"/>
      <c r="EZA31" s="73"/>
      <c r="EZB31" s="73"/>
      <c r="EZC31" s="73"/>
      <c r="EZD31" s="73"/>
      <c r="EZE31" s="73"/>
      <c r="EZF31" s="73"/>
      <c r="EZG31" s="73"/>
      <c r="EZH31" s="73"/>
      <c r="EZI31" s="73"/>
      <c r="EZJ31" s="73"/>
      <c r="EZK31" s="73"/>
      <c r="EZL31" s="73"/>
      <c r="EZM31" s="73"/>
      <c r="EZN31" s="73"/>
      <c r="EZO31" s="73"/>
      <c r="EZP31" s="73"/>
      <c r="EZQ31" s="73"/>
      <c r="EZR31" s="73"/>
      <c r="EZS31" s="73"/>
      <c r="EZT31" s="73"/>
      <c r="EZU31" s="73"/>
      <c r="EZV31" s="73"/>
      <c r="EZW31" s="73"/>
      <c r="EZX31" s="73"/>
      <c r="EZY31" s="73"/>
      <c r="EZZ31" s="73"/>
      <c r="FAA31" s="73"/>
      <c r="FAB31" s="73"/>
      <c r="FAC31" s="73"/>
      <c r="FAD31" s="73"/>
      <c r="FAE31" s="73"/>
      <c r="FAF31" s="73"/>
      <c r="FAG31" s="73"/>
      <c r="FAH31" s="73"/>
      <c r="FAI31" s="73"/>
      <c r="FAJ31" s="73"/>
      <c r="FAK31" s="73"/>
      <c r="FAL31" s="73"/>
      <c r="FAM31" s="73"/>
      <c r="FAN31" s="73"/>
      <c r="FAO31" s="73"/>
      <c r="FAP31" s="73"/>
      <c r="FAQ31" s="73"/>
      <c r="FAR31" s="73"/>
      <c r="FAS31" s="73"/>
      <c r="FAT31" s="73"/>
      <c r="FAU31" s="73"/>
      <c r="FAV31" s="73"/>
      <c r="FAW31" s="73"/>
      <c r="FAX31" s="73"/>
      <c r="FAY31" s="73"/>
      <c r="FAZ31" s="73"/>
      <c r="FBA31" s="73"/>
      <c r="FBB31" s="73"/>
      <c r="FBC31" s="73"/>
      <c r="FBD31" s="73"/>
      <c r="FBE31" s="73"/>
      <c r="FBF31" s="73"/>
      <c r="FBG31" s="73"/>
      <c r="FBH31" s="73"/>
      <c r="FBI31" s="73"/>
      <c r="FBJ31" s="73"/>
      <c r="FBK31" s="73"/>
      <c r="FBL31" s="73"/>
      <c r="FBM31" s="73"/>
      <c r="FBN31" s="73"/>
      <c r="FBO31" s="73"/>
      <c r="FBP31" s="73"/>
      <c r="FBQ31" s="73"/>
      <c r="FBR31" s="73"/>
      <c r="FBS31" s="73"/>
      <c r="FBT31" s="73"/>
      <c r="FBU31" s="73"/>
      <c r="FBV31" s="73"/>
      <c r="FBW31" s="73"/>
      <c r="FBX31" s="73"/>
      <c r="FBY31" s="73"/>
      <c r="FBZ31" s="73"/>
      <c r="FCA31" s="73"/>
      <c r="FCB31" s="73"/>
      <c r="FCC31" s="73"/>
      <c r="FCD31" s="73"/>
      <c r="FCE31" s="73"/>
      <c r="FCF31" s="73"/>
      <c r="FCG31" s="73"/>
      <c r="FCH31" s="73"/>
      <c r="FCI31" s="73"/>
      <c r="FCJ31" s="73"/>
      <c r="FCK31" s="73"/>
      <c r="FCL31" s="73"/>
      <c r="FCM31" s="73"/>
      <c r="FCN31" s="73"/>
      <c r="FCO31" s="73"/>
      <c r="FCP31" s="73"/>
      <c r="FCQ31" s="73"/>
      <c r="FCR31" s="73"/>
      <c r="FCS31" s="73"/>
      <c r="FCT31" s="73"/>
      <c r="FCU31" s="73"/>
      <c r="FCV31" s="73"/>
      <c r="FCW31" s="73"/>
      <c r="FCX31" s="73"/>
      <c r="FCY31" s="73"/>
      <c r="FCZ31" s="73"/>
      <c r="FDA31" s="73"/>
      <c r="FDB31" s="73"/>
      <c r="FDC31" s="73"/>
      <c r="FDD31" s="73"/>
      <c r="FDE31" s="73"/>
      <c r="FDF31" s="73"/>
      <c r="FDG31" s="73"/>
      <c r="FDH31" s="73"/>
      <c r="FDI31" s="73"/>
      <c r="FDJ31" s="73"/>
      <c r="FDK31" s="73"/>
      <c r="FDL31" s="73"/>
      <c r="FDM31" s="73"/>
      <c r="FDN31" s="73"/>
      <c r="FDO31" s="73"/>
      <c r="FDP31" s="73"/>
      <c r="FDQ31" s="73"/>
      <c r="FDR31" s="73"/>
      <c r="FDS31" s="73"/>
      <c r="FDT31" s="73"/>
      <c r="FDU31" s="73"/>
      <c r="FDV31" s="73"/>
      <c r="FDW31" s="73"/>
      <c r="FDX31" s="73"/>
      <c r="FDY31" s="73"/>
      <c r="FDZ31" s="73"/>
      <c r="FEA31" s="73"/>
      <c r="FEB31" s="73"/>
      <c r="FEC31" s="73"/>
      <c r="FED31" s="73"/>
      <c r="FEE31" s="73"/>
      <c r="FEF31" s="73"/>
      <c r="FEG31" s="73"/>
      <c r="FEH31" s="73"/>
      <c r="FEI31" s="73"/>
      <c r="FEJ31" s="73"/>
      <c r="FEK31" s="73"/>
      <c r="FEL31" s="73"/>
      <c r="FEM31" s="73"/>
      <c r="FEN31" s="73"/>
      <c r="FEO31" s="73"/>
      <c r="FEP31" s="73"/>
      <c r="FEQ31" s="73"/>
      <c r="FER31" s="73"/>
      <c r="FES31" s="73"/>
      <c r="FET31" s="73"/>
      <c r="FEU31" s="73"/>
      <c r="FEV31" s="73"/>
      <c r="FEW31" s="73"/>
      <c r="FEX31" s="73"/>
      <c r="FEY31" s="73"/>
      <c r="FEZ31" s="73"/>
      <c r="FFA31" s="73"/>
      <c r="FFB31" s="73"/>
      <c r="FFC31" s="73"/>
      <c r="FFD31" s="73"/>
      <c r="FFE31" s="73"/>
      <c r="FFF31" s="73"/>
      <c r="FFG31" s="73"/>
      <c r="FFH31" s="73"/>
      <c r="FFI31" s="73"/>
      <c r="FFJ31" s="73"/>
      <c r="FFK31" s="73"/>
      <c r="FFL31" s="73"/>
      <c r="FFM31" s="73"/>
      <c r="FFN31" s="73"/>
      <c r="FFO31" s="73"/>
      <c r="FFP31" s="73"/>
      <c r="FFQ31" s="73"/>
      <c r="FFR31" s="73"/>
      <c r="FFS31" s="73"/>
      <c r="FFT31" s="73"/>
      <c r="FFU31" s="73"/>
      <c r="FFV31" s="73"/>
      <c r="FFW31" s="73"/>
      <c r="FFX31" s="73"/>
      <c r="FFY31" s="73"/>
      <c r="FFZ31" s="73"/>
      <c r="FGA31" s="73"/>
      <c r="FGB31" s="73"/>
      <c r="FGC31" s="73"/>
      <c r="FGD31" s="73"/>
      <c r="FGE31" s="73"/>
      <c r="FGF31" s="73"/>
      <c r="FGG31" s="73"/>
      <c r="FGH31" s="73"/>
      <c r="FGI31" s="73"/>
      <c r="FGJ31" s="73"/>
      <c r="FGK31" s="73"/>
      <c r="FGL31" s="73"/>
      <c r="FGM31" s="73"/>
      <c r="FGN31" s="73"/>
      <c r="FGO31" s="73"/>
      <c r="FGP31" s="73"/>
      <c r="FGQ31" s="73"/>
      <c r="FGR31" s="73"/>
      <c r="FGS31" s="73"/>
      <c r="FGT31" s="73"/>
      <c r="FGU31" s="73"/>
      <c r="FGV31" s="73"/>
      <c r="FGW31" s="73"/>
      <c r="FGX31" s="73"/>
      <c r="FGY31" s="73"/>
      <c r="FGZ31" s="73"/>
      <c r="FHA31" s="73"/>
      <c r="FHB31" s="73"/>
      <c r="FHC31" s="73"/>
      <c r="FHD31" s="73"/>
      <c r="FHE31" s="73"/>
      <c r="FHF31" s="73"/>
      <c r="FHG31" s="73"/>
      <c r="FHH31" s="73"/>
      <c r="FHI31" s="73"/>
      <c r="FHJ31" s="73"/>
      <c r="FHK31" s="73"/>
      <c r="FHL31" s="73"/>
      <c r="FHM31" s="73"/>
      <c r="FHN31" s="73"/>
      <c r="FHO31" s="73"/>
      <c r="FHP31" s="73"/>
      <c r="FHQ31" s="73"/>
      <c r="FHR31" s="73"/>
      <c r="FHS31" s="73"/>
      <c r="FHT31" s="73"/>
      <c r="FHU31" s="73"/>
      <c r="FHV31" s="73"/>
      <c r="FHW31" s="73"/>
      <c r="FHX31" s="73"/>
      <c r="FHY31" s="73"/>
      <c r="FHZ31" s="73"/>
      <c r="FIA31" s="73"/>
      <c r="FIB31" s="73"/>
      <c r="FIC31" s="73"/>
      <c r="FID31" s="73"/>
      <c r="FIE31" s="73"/>
      <c r="FIF31" s="73"/>
      <c r="FIG31" s="73"/>
      <c r="FIH31" s="73"/>
      <c r="FII31" s="73"/>
      <c r="FIJ31" s="73"/>
      <c r="FIK31" s="73"/>
      <c r="FIL31" s="73"/>
      <c r="FIM31" s="73"/>
      <c r="FIN31" s="73"/>
      <c r="FIO31" s="73"/>
      <c r="FIP31" s="73"/>
      <c r="FIQ31" s="73"/>
      <c r="FIR31" s="73"/>
      <c r="FIS31" s="73"/>
      <c r="FIT31" s="73"/>
      <c r="FIU31" s="73"/>
      <c r="FIV31" s="73"/>
      <c r="FIW31" s="73"/>
      <c r="FIX31" s="73"/>
      <c r="FIY31" s="73"/>
      <c r="FIZ31" s="73"/>
      <c r="FJA31" s="73"/>
      <c r="FJB31" s="73"/>
      <c r="FJC31" s="73"/>
      <c r="FJD31" s="73"/>
      <c r="FJE31" s="73"/>
      <c r="FJF31" s="73"/>
      <c r="FJG31" s="73"/>
      <c r="FJH31" s="73"/>
      <c r="FJI31" s="73"/>
      <c r="FJJ31" s="73"/>
      <c r="FJK31" s="73"/>
      <c r="FJL31" s="73"/>
      <c r="FJM31" s="73"/>
      <c r="FJN31" s="73"/>
      <c r="FJO31" s="73"/>
      <c r="FJP31" s="73"/>
      <c r="FJQ31" s="73"/>
      <c r="FJR31" s="73"/>
      <c r="FJS31" s="73"/>
      <c r="FJT31" s="73"/>
      <c r="FJU31" s="73"/>
      <c r="FJV31" s="73"/>
      <c r="FJW31" s="73"/>
      <c r="FJX31" s="73"/>
      <c r="FJY31" s="73"/>
      <c r="FJZ31" s="73"/>
      <c r="FKA31" s="73"/>
      <c r="FKB31" s="73"/>
      <c r="FKC31" s="73"/>
      <c r="FKD31" s="73"/>
      <c r="FKE31" s="73"/>
      <c r="FKF31" s="73"/>
      <c r="FKG31" s="73"/>
      <c r="FKH31" s="73"/>
      <c r="FKI31" s="73"/>
      <c r="FKJ31" s="73"/>
      <c r="FKK31" s="73"/>
      <c r="FKL31" s="73"/>
      <c r="FKM31" s="73"/>
      <c r="FKN31" s="73"/>
      <c r="FKO31" s="73"/>
      <c r="FKP31" s="73"/>
      <c r="FKQ31" s="73"/>
      <c r="FKR31" s="73"/>
      <c r="FKS31" s="73"/>
      <c r="FKT31" s="73"/>
      <c r="FKU31" s="73"/>
      <c r="FKV31" s="73"/>
      <c r="FKW31" s="73"/>
      <c r="FKX31" s="73"/>
      <c r="FKY31" s="73"/>
      <c r="FKZ31" s="73"/>
      <c r="FLA31" s="73"/>
      <c r="FLB31" s="73"/>
      <c r="FLC31" s="73"/>
      <c r="FLD31" s="73"/>
      <c r="FLE31" s="73"/>
      <c r="FLF31" s="73"/>
      <c r="FLG31" s="73"/>
      <c r="FLH31" s="73"/>
      <c r="FLI31" s="73"/>
      <c r="FLJ31" s="73"/>
      <c r="FLK31" s="73"/>
      <c r="FLL31" s="73"/>
      <c r="FLM31" s="73"/>
      <c r="FLN31" s="73"/>
      <c r="FLO31" s="73"/>
      <c r="FLP31" s="73"/>
      <c r="FLQ31" s="73"/>
      <c r="FLR31" s="73"/>
      <c r="FLS31" s="73"/>
      <c r="FLT31" s="73"/>
      <c r="FLU31" s="73"/>
      <c r="FLV31" s="73"/>
      <c r="FLW31" s="73"/>
      <c r="FLX31" s="73"/>
      <c r="FLY31" s="73"/>
      <c r="FLZ31" s="73"/>
      <c r="FMA31" s="73"/>
      <c r="FMB31" s="73"/>
      <c r="FMC31" s="73"/>
      <c r="FMD31" s="73"/>
      <c r="FME31" s="73"/>
      <c r="FMF31" s="73"/>
      <c r="FMG31" s="73"/>
      <c r="FMH31" s="73"/>
      <c r="FMI31" s="73"/>
      <c r="FMJ31" s="73"/>
      <c r="FMK31" s="73"/>
      <c r="FML31" s="73"/>
      <c r="FMM31" s="73"/>
      <c r="FMN31" s="73"/>
      <c r="FMO31" s="73"/>
      <c r="FMP31" s="73"/>
      <c r="FMQ31" s="73"/>
      <c r="FMR31" s="73"/>
      <c r="FMS31" s="73"/>
      <c r="FMT31" s="73"/>
      <c r="FMU31" s="73"/>
      <c r="FMV31" s="73"/>
      <c r="FMW31" s="73"/>
      <c r="FMX31" s="73"/>
      <c r="FMY31" s="73"/>
      <c r="FMZ31" s="73"/>
      <c r="FNA31" s="73"/>
      <c r="FNB31" s="73"/>
      <c r="FNC31" s="73"/>
      <c r="FND31" s="73"/>
      <c r="FNE31" s="73"/>
      <c r="FNF31" s="73"/>
      <c r="FNG31" s="73"/>
      <c r="FNH31" s="73"/>
      <c r="FNI31" s="73"/>
      <c r="FNJ31" s="73"/>
      <c r="FNK31" s="73"/>
      <c r="FNL31" s="73"/>
      <c r="FNM31" s="73"/>
      <c r="FNN31" s="73"/>
      <c r="FNO31" s="73"/>
      <c r="FNP31" s="73"/>
      <c r="FNQ31" s="73"/>
      <c r="FNR31" s="73"/>
      <c r="FNS31" s="73"/>
      <c r="FNT31" s="73"/>
      <c r="FNU31" s="73"/>
      <c r="FNV31" s="73"/>
      <c r="FNW31" s="73"/>
      <c r="FNX31" s="73"/>
      <c r="FNY31" s="73"/>
      <c r="FNZ31" s="73"/>
      <c r="FOA31" s="73"/>
      <c r="FOB31" s="73"/>
      <c r="FOC31" s="73"/>
      <c r="FOD31" s="73"/>
      <c r="FOE31" s="73"/>
      <c r="FOF31" s="73"/>
      <c r="FOG31" s="73"/>
      <c r="FOH31" s="73"/>
      <c r="FOI31" s="73"/>
      <c r="FOJ31" s="73"/>
      <c r="FOK31" s="73"/>
      <c r="FOL31" s="73"/>
      <c r="FOM31" s="73"/>
      <c r="FON31" s="73"/>
      <c r="FOO31" s="73"/>
      <c r="FOP31" s="73"/>
      <c r="FOQ31" s="73"/>
      <c r="FOR31" s="73"/>
      <c r="FOS31" s="73"/>
      <c r="FOT31" s="73"/>
      <c r="FOU31" s="73"/>
      <c r="FOV31" s="73"/>
      <c r="FOW31" s="73"/>
      <c r="FOX31" s="73"/>
      <c r="FOY31" s="73"/>
      <c r="FOZ31" s="73"/>
      <c r="FPA31" s="73"/>
      <c r="FPB31" s="73"/>
      <c r="FPC31" s="73"/>
      <c r="FPD31" s="73"/>
      <c r="FPE31" s="73"/>
      <c r="FPF31" s="73"/>
      <c r="FPG31" s="73"/>
      <c r="FPH31" s="73"/>
      <c r="FPI31" s="73"/>
      <c r="FPJ31" s="73"/>
      <c r="FPK31" s="73"/>
      <c r="FPL31" s="73"/>
      <c r="FPM31" s="73"/>
      <c r="FPN31" s="73"/>
      <c r="FPO31" s="73"/>
      <c r="FPP31" s="73"/>
      <c r="FPQ31" s="73"/>
      <c r="FPR31" s="73"/>
      <c r="FPS31" s="73"/>
      <c r="FPT31" s="73"/>
      <c r="FPU31" s="73"/>
      <c r="FPV31" s="73"/>
      <c r="FPW31" s="73"/>
      <c r="FPX31" s="73"/>
      <c r="FPY31" s="73"/>
      <c r="FPZ31" s="73"/>
      <c r="FQA31" s="73"/>
      <c r="FQB31" s="73"/>
      <c r="FQC31" s="73"/>
      <c r="FQD31" s="73"/>
      <c r="FQE31" s="73"/>
      <c r="FQF31" s="73"/>
      <c r="FQG31" s="73"/>
      <c r="FQH31" s="73"/>
      <c r="FQI31" s="73"/>
      <c r="FQJ31" s="73"/>
      <c r="FQK31" s="73"/>
      <c r="FQL31" s="73"/>
      <c r="FQM31" s="73"/>
      <c r="FQN31" s="73"/>
      <c r="FQO31" s="73"/>
      <c r="FQP31" s="73"/>
      <c r="FQQ31" s="73"/>
      <c r="FQR31" s="73"/>
      <c r="FQS31" s="73"/>
      <c r="FQT31" s="73"/>
      <c r="FQU31" s="73"/>
      <c r="FQV31" s="73"/>
      <c r="FQW31" s="73"/>
      <c r="FQX31" s="73"/>
      <c r="FQY31" s="73"/>
      <c r="FQZ31" s="73"/>
      <c r="FRA31" s="73"/>
      <c r="FRB31" s="73"/>
      <c r="FRC31" s="73"/>
      <c r="FRD31" s="73"/>
      <c r="FRE31" s="73"/>
      <c r="FRF31" s="73"/>
      <c r="FRG31" s="73"/>
      <c r="FRH31" s="73"/>
      <c r="FRI31" s="73"/>
      <c r="FRJ31" s="73"/>
      <c r="FRK31" s="73"/>
      <c r="FRL31" s="73"/>
      <c r="FRM31" s="73"/>
      <c r="FRN31" s="73"/>
      <c r="FRO31" s="73"/>
      <c r="FRP31" s="73"/>
      <c r="FRQ31" s="73"/>
      <c r="FRR31" s="73"/>
      <c r="FRS31" s="73"/>
      <c r="FRT31" s="73"/>
      <c r="FRU31" s="73"/>
      <c r="FRV31" s="73"/>
      <c r="FRW31" s="73"/>
      <c r="FRX31" s="73"/>
      <c r="FRY31" s="73"/>
      <c r="FRZ31" s="73"/>
      <c r="FSA31" s="73"/>
      <c r="FSB31" s="73"/>
      <c r="FSC31" s="73"/>
      <c r="FSD31" s="73"/>
      <c r="FSE31" s="73"/>
      <c r="FSF31" s="73"/>
      <c r="FSG31" s="73"/>
      <c r="FSH31" s="73"/>
      <c r="FSI31" s="73"/>
      <c r="FSJ31" s="73"/>
      <c r="FSK31" s="73"/>
      <c r="FSL31" s="73"/>
      <c r="FSM31" s="73"/>
      <c r="FSN31" s="73"/>
      <c r="FSO31" s="73"/>
      <c r="FSP31" s="73"/>
      <c r="FSQ31" s="73"/>
      <c r="FSR31" s="73"/>
      <c r="FSS31" s="73"/>
      <c r="FST31" s="73"/>
      <c r="FSU31" s="73"/>
      <c r="FSV31" s="73"/>
      <c r="FSW31" s="73"/>
      <c r="FSX31" s="73"/>
      <c r="FSY31" s="73"/>
      <c r="FSZ31" s="73"/>
      <c r="FTA31" s="73"/>
      <c r="FTB31" s="73"/>
      <c r="FTC31" s="73"/>
      <c r="FTD31" s="73"/>
      <c r="FTE31" s="73"/>
      <c r="FTF31" s="73"/>
      <c r="FTG31" s="73"/>
      <c r="FTH31" s="73"/>
      <c r="FTI31" s="73"/>
      <c r="FTJ31" s="73"/>
      <c r="FTK31" s="73"/>
      <c r="FTL31" s="73"/>
      <c r="FTM31" s="73"/>
      <c r="FTN31" s="73"/>
      <c r="FTO31" s="73"/>
      <c r="FTP31" s="73"/>
      <c r="FTQ31" s="73"/>
      <c r="FTR31" s="73"/>
      <c r="FTS31" s="73"/>
      <c r="FTT31" s="73"/>
      <c r="FTU31" s="73"/>
      <c r="FTV31" s="73"/>
      <c r="FTW31" s="73"/>
      <c r="FTX31" s="73"/>
      <c r="FTY31" s="73"/>
      <c r="FTZ31" s="73"/>
      <c r="FUA31" s="73"/>
      <c r="FUB31" s="73"/>
      <c r="FUC31" s="73"/>
      <c r="FUD31" s="73"/>
      <c r="FUE31" s="73"/>
      <c r="FUF31" s="73"/>
      <c r="FUG31" s="73"/>
      <c r="FUH31" s="73"/>
      <c r="FUI31" s="73"/>
      <c r="FUJ31" s="73"/>
      <c r="FUK31" s="73"/>
      <c r="FUL31" s="73"/>
      <c r="FUM31" s="73"/>
      <c r="FUN31" s="73"/>
      <c r="FUO31" s="73"/>
      <c r="FUP31" s="73"/>
      <c r="FUQ31" s="73"/>
      <c r="FUR31" s="73"/>
      <c r="FUS31" s="73"/>
      <c r="FUT31" s="73"/>
      <c r="FUU31" s="73"/>
      <c r="FUV31" s="73"/>
      <c r="FUW31" s="73"/>
      <c r="FUX31" s="73"/>
      <c r="FUY31" s="73"/>
      <c r="FUZ31" s="73"/>
      <c r="FVA31" s="73"/>
      <c r="FVB31" s="73"/>
      <c r="FVC31" s="73"/>
      <c r="FVD31" s="73"/>
      <c r="FVE31" s="73"/>
      <c r="FVF31" s="73"/>
      <c r="FVG31" s="73"/>
      <c r="FVH31" s="73"/>
      <c r="FVI31" s="73"/>
      <c r="FVJ31" s="73"/>
      <c r="FVK31" s="73"/>
      <c r="FVL31" s="73"/>
      <c r="FVM31" s="73"/>
      <c r="FVN31" s="73"/>
      <c r="FVO31" s="73"/>
      <c r="FVP31" s="73"/>
      <c r="FVQ31" s="73"/>
      <c r="FVR31" s="73"/>
      <c r="FVS31" s="73"/>
      <c r="FVT31" s="73"/>
      <c r="FVU31" s="73"/>
      <c r="FVV31" s="73"/>
      <c r="FVW31" s="73"/>
      <c r="FVX31" s="73"/>
      <c r="FVY31" s="73"/>
      <c r="FVZ31" s="73"/>
      <c r="FWA31" s="73"/>
      <c r="FWB31" s="73"/>
      <c r="FWC31" s="73"/>
      <c r="FWD31" s="73"/>
      <c r="FWE31" s="73"/>
      <c r="FWF31" s="73"/>
      <c r="FWG31" s="73"/>
      <c r="FWH31" s="73"/>
      <c r="FWI31" s="73"/>
      <c r="FWJ31" s="73"/>
      <c r="FWK31" s="73"/>
      <c r="FWL31" s="73"/>
      <c r="FWM31" s="73"/>
      <c r="FWN31" s="73"/>
      <c r="FWO31" s="73"/>
      <c r="FWP31" s="73"/>
      <c r="FWQ31" s="73"/>
      <c r="FWR31" s="73"/>
      <c r="FWS31" s="73"/>
      <c r="FWT31" s="73"/>
      <c r="FWU31" s="73"/>
      <c r="FWV31" s="73"/>
      <c r="FWW31" s="73"/>
      <c r="FWX31" s="73"/>
      <c r="FWY31" s="73"/>
      <c r="FWZ31" s="73"/>
      <c r="FXA31" s="73"/>
      <c r="FXB31" s="73"/>
      <c r="FXC31" s="73"/>
      <c r="FXD31" s="73"/>
      <c r="FXE31" s="73"/>
      <c r="FXF31" s="73"/>
      <c r="FXG31" s="73"/>
      <c r="FXH31" s="73"/>
      <c r="FXI31" s="73"/>
      <c r="FXJ31" s="73"/>
      <c r="FXK31" s="73"/>
      <c r="FXL31" s="73"/>
      <c r="FXM31" s="73"/>
      <c r="FXN31" s="73"/>
      <c r="FXO31" s="73"/>
      <c r="FXP31" s="73"/>
      <c r="FXQ31" s="73"/>
      <c r="FXR31" s="73"/>
      <c r="FXS31" s="73"/>
      <c r="FXT31" s="73"/>
      <c r="FXU31" s="73"/>
      <c r="FXV31" s="73"/>
      <c r="FXW31" s="73"/>
      <c r="FXX31" s="73"/>
      <c r="FXY31" s="73"/>
      <c r="FXZ31" s="73"/>
      <c r="FYA31" s="73"/>
      <c r="FYB31" s="73"/>
      <c r="FYC31" s="73"/>
      <c r="FYD31" s="73"/>
      <c r="FYE31" s="73"/>
      <c r="FYF31" s="73"/>
      <c r="FYG31" s="73"/>
      <c r="FYH31" s="73"/>
      <c r="FYI31" s="73"/>
      <c r="FYJ31" s="73"/>
      <c r="FYK31" s="73"/>
      <c r="FYL31" s="73"/>
      <c r="FYM31" s="73"/>
      <c r="FYN31" s="73"/>
      <c r="FYO31" s="73"/>
      <c r="FYP31" s="73"/>
      <c r="FYQ31" s="73"/>
      <c r="FYR31" s="73"/>
      <c r="FYS31" s="73"/>
      <c r="FYT31" s="73"/>
      <c r="FYU31" s="73"/>
      <c r="FYV31" s="73"/>
      <c r="FYW31" s="73"/>
      <c r="FYX31" s="73"/>
      <c r="FYY31" s="73"/>
      <c r="FYZ31" s="73"/>
      <c r="FZA31" s="73"/>
      <c r="FZB31" s="73"/>
      <c r="FZC31" s="73"/>
      <c r="FZD31" s="73"/>
      <c r="FZE31" s="73"/>
      <c r="FZF31" s="73"/>
      <c r="FZG31" s="73"/>
      <c r="FZH31" s="73"/>
      <c r="FZI31" s="73"/>
      <c r="FZJ31" s="73"/>
      <c r="FZK31" s="73"/>
      <c r="FZL31" s="73"/>
      <c r="FZM31" s="73"/>
      <c r="FZN31" s="73"/>
      <c r="FZO31" s="73"/>
      <c r="FZP31" s="73"/>
      <c r="FZQ31" s="73"/>
      <c r="FZR31" s="73"/>
      <c r="FZS31" s="73"/>
      <c r="FZT31" s="73"/>
      <c r="FZU31" s="73"/>
      <c r="FZV31" s="73"/>
      <c r="FZW31" s="73"/>
      <c r="FZX31" s="73"/>
      <c r="FZY31" s="73"/>
      <c r="FZZ31" s="73"/>
      <c r="GAA31" s="73"/>
      <c r="GAB31" s="73"/>
      <c r="GAC31" s="73"/>
      <c r="GAD31" s="73"/>
      <c r="GAE31" s="73"/>
      <c r="GAF31" s="73"/>
      <c r="GAG31" s="73"/>
      <c r="GAH31" s="73"/>
      <c r="GAI31" s="73"/>
      <c r="GAJ31" s="73"/>
      <c r="GAK31" s="73"/>
      <c r="GAL31" s="73"/>
      <c r="GAM31" s="73"/>
      <c r="GAN31" s="73"/>
      <c r="GAO31" s="73"/>
      <c r="GAP31" s="73"/>
      <c r="GAQ31" s="73"/>
      <c r="GAR31" s="73"/>
      <c r="GAS31" s="73"/>
      <c r="GAT31" s="73"/>
      <c r="GAU31" s="73"/>
      <c r="GAV31" s="73"/>
      <c r="GAW31" s="73"/>
      <c r="GAX31" s="73"/>
      <c r="GAY31" s="73"/>
      <c r="GAZ31" s="73"/>
      <c r="GBA31" s="73"/>
      <c r="GBB31" s="73"/>
      <c r="GBC31" s="73"/>
      <c r="GBD31" s="73"/>
      <c r="GBE31" s="73"/>
      <c r="GBF31" s="73"/>
      <c r="GBG31" s="73"/>
      <c r="GBH31" s="73"/>
      <c r="GBI31" s="73"/>
      <c r="GBJ31" s="73"/>
      <c r="GBK31" s="73"/>
      <c r="GBL31" s="73"/>
      <c r="GBM31" s="73"/>
      <c r="GBN31" s="73"/>
      <c r="GBO31" s="73"/>
      <c r="GBP31" s="73"/>
      <c r="GBQ31" s="73"/>
      <c r="GBR31" s="73"/>
      <c r="GBS31" s="73"/>
      <c r="GBT31" s="73"/>
      <c r="GBU31" s="73"/>
      <c r="GBV31" s="73"/>
      <c r="GBW31" s="73"/>
      <c r="GBX31" s="73"/>
      <c r="GBY31" s="73"/>
      <c r="GBZ31" s="73"/>
      <c r="GCA31" s="73"/>
      <c r="GCB31" s="73"/>
      <c r="GCC31" s="73"/>
      <c r="GCD31" s="73"/>
      <c r="GCE31" s="73"/>
      <c r="GCF31" s="73"/>
      <c r="GCG31" s="73"/>
      <c r="GCH31" s="73"/>
      <c r="GCI31" s="73"/>
      <c r="GCJ31" s="73"/>
      <c r="GCK31" s="73"/>
      <c r="GCL31" s="73"/>
      <c r="GCM31" s="73"/>
      <c r="GCN31" s="73"/>
      <c r="GCO31" s="73"/>
      <c r="GCP31" s="73"/>
      <c r="GCQ31" s="73"/>
      <c r="GCR31" s="73"/>
      <c r="GCS31" s="73"/>
      <c r="GCT31" s="73"/>
      <c r="GCU31" s="73"/>
      <c r="GCV31" s="73"/>
      <c r="GCW31" s="73"/>
      <c r="GCX31" s="73"/>
      <c r="GCY31" s="73"/>
      <c r="GCZ31" s="73"/>
      <c r="GDA31" s="73"/>
      <c r="GDB31" s="73"/>
      <c r="GDC31" s="73"/>
      <c r="GDD31" s="73"/>
      <c r="GDE31" s="73"/>
      <c r="GDF31" s="73"/>
      <c r="GDG31" s="73"/>
      <c r="GDH31" s="73"/>
      <c r="GDI31" s="73"/>
      <c r="GDJ31" s="73"/>
      <c r="GDK31" s="73"/>
      <c r="GDL31" s="73"/>
      <c r="GDM31" s="73"/>
      <c r="GDN31" s="73"/>
      <c r="GDO31" s="73"/>
      <c r="GDP31" s="73"/>
      <c r="GDQ31" s="73"/>
      <c r="GDR31" s="73"/>
      <c r="GDS31" s="73"/>
      <c r="GDT31" s="73"/>
      <c r="GDU31" s="73"/>
      <c r="GDV31" s="73"/>
      <c r="GDW31" s="73"/>
      <c r="GDX31" s="73"/>
      <c r="GDY31" s="73"/>
      <c r="GDZ31" s="73"/>
      <c r="GEA31" s="73"/>
      <c r="GEB31" s="73"/>
      <c r="GEC31" s="73"/>
      <c r="GED31" s="73"/>
      <c r="GEE31" s="73"/>
      <c r="GEF31" s="73"/>
      <c r="GEG31" s="73"/>
      <c r="GEH31" s="73"/>
      <c r="GEI31" s="73"/>
      <c r="GEJ31" s="73"/>
      <c r="GEK31" s="73"/>
      <c r="GEL31" s="73"/>
      <c r="GEM31" s="73"/>
      <c r="GEN31" s="73"/>
      <c r="GEO31" s="73"/>
      <c r="GEP31" s="73"/>
      <c r="GEQ31" s="73"/>
      <c r="GER31" s="73"/>
      <c r="GES31" s="73"/>
      <c r="GET31" s="73"/>
      <c r="GEU31" s="73"/>
      <c r="GEV31" s="73"/>
      <c r="GEW31" s="73"/>
      <c r="GEX31" s="73"/>
      <c r="GEY31" s="73"/>
      <c r="GEZ31" s="73"/>
      <c r="GFA31" s="73"/>
      <c r="GFB31" s="73"/>
      <c r="GFC31" s="73"/>
      <c r="GFD31" s="73"/>
      <c r="GFE31" s="73"/>
      <c r="GFF31" s="73"/>
      <c r="GFG31" s="73"/>
      <c r="GFH31" s="73"/>
      <c r="GFI31" s="73"/>
      <c r="GFJ31" s="73"/>
      <c r="GFK31" s="73"/>
      <c r="GFL31" s="73"/>
      <c r="GFM31" s="73"/>
      <c r="GFN31" s="73"/>
      <c r="GFO31" s="73"/>
      <c r="GFP31" s="73"/>
      <c r="GFQ31" s="73"/>
      <c r="GFR31" s="73"/>
      <c r="GFS31" s="73"/>
      <c r="GFT31" s="73"/>
      <c r="GFU31" s="73"/>
      <c r="GFV31" s="73"/>
      <c r="GFW31" s="73"/>
      <c r="GFX31" s="73"/>
      <c r="GFY31" s="73"/>
      <c r="GFZ31" s="73"/>
      <c r="GGA31" s="73"/>
      <c r="GGB31" s="73"/>
      <c r="GGC31" s="73"/>
      <c r="GGD31" s="73"/>
      <c r="GGE31" s="73"/>
      <c r="GGF31" s="73"/>
      <c r="GGG31" s="73"/>
      <c r="GGH31" s="73"/>
      <c r="GGI31" s="73"/>
      <c r="GGJ31" s="73"/>
      <c r="GGK31" s="73"/>
      <c r="GGL31" s="73"/>
      <c r="GGM31" s="73"/>
      <c r="GGN31" s="73"/>
      <c r="GGO31" s="73"/>
      <c r="GGP31" s="73"/>
      <c r="GGQ31" s="73"/>
      <c r="GGR31" s="73"/>
      <c r="GGS31" s="73"/>
      <c r="GGT31" s="73"/>
      <c r="GGU31" s="73"/>
      <c r="GGV31" s="73"/>
      <c r="GGW31" s="73"/>
      <c r="GGX31" s="73"/>
      <c r="GGY31" s="73"/>
      <c r="GGZ31" s="73"/>
      <c r="GHA31" s="73"/>
      <c r="GHB31" s="73"/>
      <c r="GHC31" s="73"/>
      <c r="GHD31" s="73"/>
      <c r="GHE31" s="73"/>
      <c r="GHF31" s="73"/>
      <c r="GHG31" s="73"/>
      <c r="GHH31" s="73"/>
      <c r="GHI31" s="73"/>
      <c r="GHJ31" s="73"/>
      <c r="GHK31" s="73"/>
      <c r="GHL31" s="73"/>
      <c r="GHM31" s="73"/>
      <c r="GHN31" s="73"/>
      <c r="GHO31" s="73"/>
      <c r="GHP31" s="73"/>
      <c r="GHQ31" s="73"/>
      <c r="GHR31" s="73"/>
      <c r="GHS31" s="73"/>
      <c r="GHT31" s="73"/>
      <c r="GHU31" s="73"/>
      <c r="GHV31" s="73"/>
      <c r="GHW31" s="73"/>
      <c r="GHX31" s="73"/>
      <c r="GHY31" s="73"/>
      <c r="GHZ31" s="73"/>
      <c r="GIA31" s="73"/>
      <c r="GIB31" s="73"/>
      <c r="GIC31" s="73"/>
      <c r="GID31" s="73"/>
      <c r="GIE31" s="73"/>
      <c r="GIF31" s="73"/>
      <c r="GIG31" s="73"/>
      <c r="GIH31" s="73"/>
      <c r="GII31" s="73"/>
      <c r="GIJ31" s="73"/>
      <c r="GIK31" s="73"/>
      <c r="GIL31" s="73"/>
      <c r="GIM31" s="73"/>
      <c r="GIN31" s="73"/>
      <c r="GIO31" s="73"/>
      <c r="GIP31" s="73"/>
      <c r="GIQ31" s="73"/>
      <c r="GIR31" s="73"/>
      <c r="GIS31" s="73"/>
      <c r="GIT31" s="73"/>
      <c r="GIU31" s="73"/>
      <c r="GIV31" s="73"/>
      <c r="GIW31" s="73"/>
      <c r="GIX31" s="73"/>
      <c r="GIY31" s="73"/>
      <c r="GIZ31" s="73"/>
      <c r="GJA31" s="73"/>
      <c r="GJB31" s="73"/>
      <c r="GJC31" s="73"/>
      <c r="GJD31" s="73"/>
      <c r="GJE31" s="73"/>
      <c r="GJF31" s="73"/>
      <c r="GJG31" s="73"/>
      <c r="GJH31" s="73"/>
      <c r="GJI31" s="73"/>
      <c r="GJJ31" s="73"/>
      <c r="GJK31" s="73"/>
      <c r="GJL31" s="73"/>
      <c r="GJM31" s="73"/>
      <c r="GJN31" s="73"/>
      <c r="GJO31" s="73"/>
      <c r="GJP31" s="73"/>
      <c r="GJQ31" s="73"/>
      <c r="GJR31" s="73"/>
      <c r="GJS31" s="73"/>
      <c r="GJT31" s="73"/>
      <c r="GJU31" s="73"/>
      <c r="GJV31" s="73"/>
      <c r="GJW31" s="73"/>
      <c r="GJX31" s="73"/>
      <c r="GJY31" s="73"/>
      <c r="GJZ31" s="73"/>
      <c r="GKA31" s="73"/>
      <c r="GKB31" s="73"/>
      <c r="GKC31" s="73"/>
      <c r="GKD31" s="73"/>
      <c r="GKE31" s="73"/>
      <c r="GKF31" s="73"/>
      <c r="GKG31" s="73"/>
      <c r="GKH31" s="73"/>
      <c r="GKI31" s="73"/>
      <c r="GKJ31" s="73"/>
      <c r="GKK31" s="73"/>
      <c r="GKL31" s="73"/>
      <c r="GKM31" s="73"/>
      <c r="GKN31" s="73"/>
      <c r="GKO31" s="73"/>
      <c r="GKP31" s="73"/>
      <c r="GKQ31" s="73"/>
      <c r="GKR31" s="73"/>
      <c r="GKS31" s="73"/>
      <c r="GKT31" s="73"/>
      <c r="GKU31" s="73"/>
      <c r="GKV31" s="73"/>
      <c r="GKW31" s="73"/>
      <c r="GKX31" s="73"/>
      <c r="GKY31" s="73"/>
      <c r="GKZ31" s="73"/>
      <c r="GLA31" s="73"/>
      <c r="GLB31" s="73"/>
      <c r="GLC31" s="73"/>
      <c r="GLD31" s="73"/>
      <c r="GLE31" s="73"/>
      <c r="GLF31" s="73"/>
      <c r="GLG31" s="73"/>
      <c r="GLH31" s="73"/>
      <c r="GLI31" s="73"/>
      <c r="GLJ31" s="73"/>
      <c r="GLK31" s="73"/>
      <c r="GLL31" s="73"/>
      <c r="GLM31" s="73"/>
      <c r="GLN31" s="73"/>
      <c r="GLO31" s="73"/>
      <c r="GLP31" s="73"/>
      <c r="GLQ31" s="73"/>
      <c r="GLR31" s="73"/>
      <c r="GLS31" s="73"/>
      <c r="GLT31" s="73"/>
      <c r="GLU31" s="73"/>
      <c r="GLV31" s="73"/>
      <c r="GLW31" s="73"/>
      <c r="GLX31" s="73"/>
      <c r="GLY31" s="73"/>
      <c r="GLZ31" s="73"/>
      <c r="GMA31" s="73"/>
      <c r="GMB31" s="73"/>
      <c r="GMC31" s="73"/>
      <c r="GMD31" s="73"/>
      <c r="GME31" s="73"/>
      <c r="GMF31" s="73"/>
      <c r="GMG31" s="73"/>
      <c r="GMH31" s="73"/>
      <c r="GMI31" s="73"/>
      <c r="GMJ31" s="73"/>
      <c r="GMK31" s="73"/>
      <c r="GML31" s="73"/>
      <c r="GMM31" s="73"/>
      <c r="GMN31" s="73"/>
      <c r="GMO31" s="73"/>
      <c r="GMP31" s="73"/>
      <c r="GMQ31" s="73"/>
      <c r="GMR31" s="73"/>
      <c r="GMS31" s="73"/>
      <c r="GMT31" s="73"/>
      <c r="GMU31" s="73"/>
      <c r="GMV31" s="73"/>
      <c r="GMW31" s="73"/>
      <c r="GMX31" s="73"/>
      <c r="GMY31" s="73"/>
      <c r="GMZ31" s="73"/>
      <c r="GNA31" s="73"/>
      <c r="GNB31" s="73"/>
      <c r="GNC31" s="73"/>
      <c r="GND31" s="73"/>
      <c r="GNE31" s="73"/>
      <c r="GNF31" s="73"/>
      <c r="GNG31" s="73"/>
      <c r="GNH31" s="73"/>
      <c r="GNI31" s="73"/>
      <c r="GNJ31" s="73"/>
      <c r="GNK31" s="73"/>
      <c r="GNL31" s="73"/>
      <c r="GNM31" s="73"/>
      <c r="GNN31" s="73"/>
      <c r="GNO31" s="73"/>
      <c r="GNP31" s="73"/>
      <c r="GNQ31" s="73"/>
      <c r="GNR31" s="73"/>
      <c r="GNS31" s="73"/>
      <c r="GNT31" s="73"/>
      <c r="GNU31" s="73"/>
      <c r="GNV31" s="73"/>
      <c r="GNW31" s="73"/>
      <c r="GNX31" s="73"/>
      <c r="GNY31" s="73"/>
      <c r="GNZ31" s="73"/>
      <c r="GOA31" s="73"/>
      <c r="GOB31" s="73"/>
      <c r="GOC31" s="73"/>
      <c r="GOD31" s="73"/>
      <c r="GOE31" s="73"/>
      <c r="GOF31" s="73"/>
      <c r="GOG31" s="73"/>
      <c r="GOH31" s="73"/>
      <c r="GOI31" s="73"/>
      <c r="GOJ31" s="73"/>
      <c r="GOK31" s="73"/>
      <c r="GOL31" s="73"/>
      <c r="GOM31" s="73"/>
      <c r="GON31" s="73"/>
      <c r="GOO31" s="73"/>
      <c r="GOP31" s="73"/>
      <c r="GOQ31" s="73"/>
      <c r="GOR31" s="73"/>
      <c r="GOS31" s="73"/>
      <c r="GOT31" s="73"/>
      <c r="GOU31" s="73"/>
      <c r="GOV31" s="73"/>
      <c r="GOW31" s="73"/>
      <c r="GOX31" s="73"/>
      <c r="GOY31" s="73"/>
      <c r="GOZ31" s="73"/>
      <c r="GPA31" s="73"/>
      <c r="GPB31" s="73"/>
      <c r="GPC31" s="73"/>
      <c r="GPD31" s="73"/>
      <c r="GPE31" s="73"/>
      <c r="GPF31" s="73"/>
      <c r="GPG31" s="73"/>
      <c r="GPH31" s="73"/>
      <c r="GPI31" s="73"/>
      <c r="GPJ31" s="73"/>
      <c r="GPK31" s="73"/>
      <c r="GPL31" s="73"/>
      <c r="GPM31" s="73"/>
      <c r="GPN31" s="73"/>
      <c r="GPO31" s="73"/>
      <c r="GPP31" s="73"/>
      <c r="GPQ31" s="73"/>
      <c r="GPR31" s="73"/>
      <c r="GPS31" s="73"/>
      <c r="GPT31" s="73"/>
      <c r="GPU31" s="73"/>
      <c r="GPV31" s="73"/>
      <c r="GPW31" s="73"/>
      <c r="GPX31" s="73"/>
      <c r="GPY31" s="73"/>
      <c r="GPZ31" s="73"/>
      <c r="GQA31" s="73"/>
      <c r="GQB31" s="73"/>
      <c r="GQC31" s="73"/>
      <c r="GQD31" s="73"/>
      <c r="GQE31" s="73"/>
      <c r="GQF31" s="73"/>
      <c r="GQG31" s="73"/>
      <c r="GQH31" s="73"/>
      <c r="GQI31" s="73"/>
      <c r="GQJ31" s="73"/>
      <c r="GQK31" s="73"/>
      <c r="GQL31" s="73"/>
      <c r="GQM31" s="73"/>
      <c r="GQN31" s="73"/>
      <c r="GQO31" s="73"/>
      <c r="GQP31" s="73"/>
      <c r="GQQ31" s="73"/>
      <c r="GQR31" s="73"/>
      <c r="GQS31" s="73"/>
      <c r="GQT31" s="73"/>
      <c r="GQU31" s="73"/>
      <c r="GQV31" s="73"/>
      <c r="GQW31" s="73"/>
      <c r="GQX31" s="73"/>
      <c r="GQY31" s="73"/>
      <c r="GQZ31" s="73"/>
      <c r="GRA31" s="73"/>
      <c r="GRB31" s="73"/>
      <c r="GRC31" s="73"/>
      <c r="GRD31" s="73"/>
      <c r="GRE31" s="73"/>
      <c r="GRF31" s="73"/>
      <c r="GRG31" s="73"/>
      <c r="GRH31" s="73"/>
      <c r="GRI31" s="73"/>
      <c r="GRJ31" s="73"/>
      <c r="GRK31" s="73"/>
      <c r="GRL31" s="73"/>
      <c r="GRM31" s="73"/>
      <c r="GRN31" s="73"/>
      <c r="GRO31" s="73"/>
      <c r="GRP31" s="73"/>
      <c r="GRQ31" s="73"/>
      <c r="GRR31" s="73"/>
      <c r="GRS31" s="73"/>
      <c r="GRT31" s="73"/>
      <c r="GRU31" s="73"/>
      <c r="GRV31" s="73"/>
      <c r="GRW31" s="73"/>
      <c r="GRX31" s="73"/>
      <c r="GRY31" s="73"/>
      <c r="GRZ31" s="73"/>
      <c r="GSA31" s="73"/>
      <c r="GSB31" s="73"/>
      <c r="GSC31" s="73"/>
      <c r="GSD31" s="73"/>
      <c r="GSE31" s="73"/>
      <c r="GSF31" s="73"/>
      <c r="GSG31" s="73"/>
      <c r="GSH31" s="73"/>
      <c r="GSI31" s="73"/>
      <c r="GSJ31" s="73"/>
      <c r="GSK31" s="73"/>
      <c r="GSL31" s="73"/>
      <c r="GSM31" s="73"/>
      <c r="GSN31" s="73"/>
      <c r="GSO31" s="73"/>
      <c r="GSP31" s="73"/>
      <c r="GSQ31" s="73"/>
      <c r="GSR31" s="73"/>
      <c r="GSS31" s="73"/>
      <c r="GST31" s="73"/>
      <c r="GSU31" s="73"/>
      <c r="GSV31" s="73"/>
      <c r="GSW31" s="73"/>
      <c r="GSX31" s="73"/>
      <c r="GSY31" s="73"/>
      <c r="GSZ31" s="73"/>
      <c r="GTA31" s="73"/>
      <c r="GTB31" s="73"/>
      <c r="GTC31" s="73"/>
      <c r="GTD31" s="73"/>
      <c r="GTE31" s="73"/>
      <c r="GTF31" s="73"/>
      <c r="GTG31" s="73"/>
      <c r="GTH31" s="73"/>
      <c r="GTI31" s="73"/>
      <c r="GTJ31" s="73"/>
      <c r="GTK31" s="73"/>
      <c r="GTL31" s="73"/>
      <c r="GTM31" s="73"/>
      <c r="GTN31" s="73"/>
      <c r="GTO31" s="73"/>
      <c r="GTP31" s="73"/>
      <c r="GTQ31" s="73"/>
      <c r="GTR31" s="73"/>
      <c r="GTS31" s="73"/>
      <c r="GTT31" s="73"/>
      <c r="GTU31" s="73"/>
      <c r="GTV31" s="73"/>
      <c r="GTW31" s="73"/>
      <c r="GTX31" s="73"/>
      <c r="GTY31" s="73"/>
      <c r="GTZ31" s="73"/>
      <c r="GUA31" s="73"/>
      <c r="GUB31" s="73"/>
      <c r="GUC31" s="73"/>
      <c r="GUD31" s="73"/>
      <c r="GUE31" s="73"/>
      <c r="GUF31" s="73"/>
      <c r="GUG31" s="73"/>
      <c r="GUH31" s="73"/>
      <c r="GUI31" s="73"/>
      <c r="GUJ31" s="73"/>
      <c r="GUK31" s="73"/>
      <c r="GUL31" s="73"/>
      <c r="GUM31" s="73"/>
      <c r="GUN31" s="73"/>
      <c r="GUO31" s="73"/>
      <c r="GUP31" s="73"/>
      <c r="GUQ31" s="73"/>
      <c r="GUR31" s="73"/>
      <c r="GUS31" s="73"/>
      <c r="GUT31" s="73"/>
      <c r="GUU31" s="73"/>
      <c r="GUV31" s="73"/>
      <c r="GUW31" s="73"/>
      <c r="GUX31" s="73"/>
      <c r="GUY31" s="73"/>
      <c r="GUZ31" s="73"/>
      <c r="GVA31" s="73"/>
      <c r="GVB31" s="73"/>
      <c r="GVC31" s="73"/>
      <c r="GVD31" s="73"/>
      <c r="GVE31" s="73"/>
      <c r="GVF31" s="73"/>
      <c r="GVG31" s="73"/>
      <c r="GVH31" s="73"/>
      <c r="GVI31" s="73"/>
      <c r="GVJ31" s="73"/>
      <c r="GVK31" s="73"/>
      <c r="GVL31" s="73"/>
      <c r="GVM31" s="73"/>
      <c r="GVN31" s="73"/>
      <c r="GVO31" s="73"/>
      <c r="GVP31" s="73"/>
      <c r="GVQ31" s="73"/>
      <c r="GVR31" s="73"/>
      <c r="GVS31" s="73"/>
      <c r="GVT31" s="73"/>
      <c r="GVU31" s="73"/>
      <c r="GVV31" s="73"/>
      <c r="GVW31" s="73"/>
      <c r="GVX31" s="73"/>
      <c r="GVY31" s="73"/>
      <c r="GVZ31" s="73"/>
      <c r="GWA31" s="73"/>
      <c r="GWB31" s="73"/>
      <c r="GWC31" s="73"/>
      <c r="GWD31" s="73"/>
      <c r="GWE31" s="73"/>
      <c r="GWF31" s="73"/>
      <c r="GWG31" s="73"/>
      <c r="GWH31" s="73"/>
      <c r="GWI31" s="73"/>
      <c r="GWJ31" s="73"/>
      <c r="GWK31" s="73"/>
      <c r="GWL31" s="73"/>
      <c r="GWM31" s="73"/>
      <c r="GWN31" s="73"/>
      <c r="GWO31" s="73"/>
      <c r="GWP31" s="73"/>
      <c r="GWQ31" s="73"/>
      <c r="GWR31" s="73"/>
      <c r="GWS31" s="73"/>
      <c r="GWT31" s="73"/>
      <c r="GWU31" s="73"/>
      <c r="GWV31" s="73"/>
      <c r="GWW31" s="73"/>
      <c r="GWX31" s="73"/>
      <c r="GWY31" s="73"/>
      <c r="GWZ31" s="73"/>
      <c r="GXA31" s="73"/>
      <c r="GXB31" s="73"/>
      <c r="GXC31" s="73"/>
      <c r="GXD31" s="73"/>
      <c r="GXE31" s="73"/>
      <c r="GXF31" s="73"/>
      <c r="GXG31" s="73"/>
      <c r="GXH31" s="73"/>
      <c r="GXI31" s="73"/>
      <c r="GXJ31" s="73"/>
      <c r="GXK31" s="73"/>
      <c r="GXL31" s="73"/>
      <c r="GXM31" s="73"/>
      <c r="GXN31" s="73"/>
      <c r="GXO31" s="73"/>
      <c r="GXP31" s="73"/>
      <c r="GXQ31" s="73"/>
      <c r="GXR31" s="73"/>
      <c r="GXS31" s="73"/>
      <c r="GXT31" s="73"/>
      <c r="GXU31" s="73"/>
      <c r="GXV31" s="73"/>
      <c r="GXW31" s="73"/>
      <c r="GXX31" s="73"/>
      <c r="GXY31" s="73"/>
      <c r="GXZ31" s="73"/>
      <c r="GYA31" s="73"/>
      <c r="GYB31" s="73"/>
      <c r="GYC31" s="73"/>
      <c r="GYD31" s="73"/>
      <c r="GYE31" s="73"/>
      <c r="GYF31" s="73"/>
      <c r="GYG31" s="73"/>
      <c r="GYH31" s="73"/>
      <c r="GYI31" s="73"/>
      <c r="GYJ31" s="73"/>
      <c r="GYK31" s="73"/>
      <c r="GYL31" s="73"/>
      <c r="GYM31" s="73"/>
      <c r="GYN31" s="73"/>
      <c r="GYO31" s="73"/>
      <c r="GYP31" s="73"/>
      <c r="GYQ31" s="73"/>
      <c r="GYR31" s="73"/>
      <c r="GYS31" s="73"/>
      <c r="GYT31" s="73"/>
      <c r="GYU31" s="73"/>
      <c r="GYV31" s="73"/>
      <c r="GYW31" s="73"/>
      <c r="GYX31" s="73"/>
      <c r="GYY31" s="73"/>
      <c r="GYZ31" s="73"/>
      <c r="GZA31" s="73"/>
      <c r="GZB31" s="73"/>
      <c r="GZC31" s="73"/>
      <c r="GZD31" s="73"/>
      <c r="GZE31" s="73"/>
      <c r="GZF31" s="73"/>
      <c r="GZG31" s="73"/>
      <c r="GZH31" s="73"/>
      <c r="GZI31" s="73"/>
      <c r="GZJ31" s="73"/>
      <c r="GZK31" s="73"/>
      <c r="GZL31" s="73"/>
      <c r="GZM31" s="73"/>
      <c r="GZN31" s="73"/>
      <c r="GZO31" s="73"/>
      <c r="GZP31" s="73"/>
      <c r="GZQ31" s="73"/>
      <c r="GZR31" s="73"/>
      <c r="GZS31" s="73"/>
      <c r="GZT31" s="73"/>
      <c r="GZU31" s="73"/>
      <c r="GZV31" s="73"/>
      <c r="GZW31" s="73"/>
      <c r="GZX31" s="73"/>
      <c r="GZY31" s="73"/>
      <c r="GZZ31" s="73"/>
      <c r="HAA31" s="73"/>
      <c r="HAB31" s="73"/>
      <c r="HAC31" s="73"/>
      <c r="HAD31" s="73"/>
      <c r="HAE31" s="73"/>
      <c r="HAF31" s="73"/>
      <c r="HAG31" s="73"/>
      <c r="HAH31" s="73"/>
      <c r="HAI31" s="73"/>
      <c r="HAJ31" s="73"/>
      <c r="HAK31" s="73"/>
      <c r="HAL31" s="73"/>
      <c r="HAM31" s="73"/>
      <c r="HAN31" s="73"/>
      <c r="HAO31" s="73"/>
      <c r="HAP31" s="73"/>
      <c r="HAQ31" s="73"/>
      <c r="HAR31" s="73"/>
      <c r="HAS31" s="73"/>
      <c r="HAT31" s="73"/>
      <c r="HAU31" s="73"/>
      <c r="HAV31" s="73"/>
      <c r="HAW31" s="73"/>
      <c r="HAX31" s="73"/>
      <c r="HAY31" s="73"/>
      <c r="HAZ31" s="73"/>
      <c r="HBA31" s="73"/>
      <c r="HBB31" s="73"/>
      <c r="HBC31" s="73"/>
      <c r="HBD31" s="73"/>
      <c r="HBE31" s="73"/>
      <c r="HBF31" s="73"/>
      <c r="HBG31" s="73"/>
      <c r="HBH31" s="73"/>
      <c r="HBI31" s="73"/>
      <c r="HBJ31" s="73"/>
      <c r="HBK31" s="73"/>
      <c r="HBL31" s="73"/>
      <c r="HBM31" s="73"/>
      <c r="HBN31" s="73"/>
      <c r="HBO31" s="73"/>
      <c r="HBP31" s="73"/>
      <c r="HBQ31" s="73"/>
      <c r="HBR31" s="73"/>
      <c r="HBS31" s="73"/>
      <c r="HBT31" s="73"/>
      <c r="HBU31" s="73"/>
      <c r="HBV31" s="73"/>
      <c r="HBW31" s="73"/>
      <c r="HBX31" s="73"/>
      <c r="HBY31" s="73"/>
      <c r="HBZ31" s="73"/>
      <c r="HCA31" s="73"/>
      <c r="HCB31" s="73"/>
      <c r="HCC31" s="73"/>
      <c r="HCD31" s="73"/>
      <c r="HCE31" s="73"/>
      <c r="HCF31" s="73"/>
      <c r="HCG31" s="73"/>
      <c r="HCH31" s="73"/>
      <c r="HCI31" s="73"/>
      <c r="HCJ31" s="73"/>
      <c r="HCK31" s="73"/>
      <c r="HCL31" s="73"/>
      <c r="HCM31" s="73"/>
      <c r="HCN31" s="73"/>
      <c r="HCO31" s="73"/>
      <c r="HCP31" s="73"/>
      <c r="HCQ31" s="73"/>
      <c r="HCR31" s="73"/>
      <c r="HCS31" s="73"/>
      <c r="HCT31" s="73"/>
      <c r="HCU31" s="73"/>
      <c r="HCV31" s="73"/>
      <c r="HCW31" s="73"/>
      <c r="HCX31" s="73"/>
      <c r="HCY31" s="73"/>
      <c r="HCZ31" s="73"/>
      <c r="HDA31" s="73"/>
      <c r="HDB31" s="73"/>
      <c r="HDC31" s="73"/>
      <c r="HDD31" s="73"/>
      <c r="HDE31" s="73"/>
      <c r="HDF31" s="73"/>
      <c r="HDG31" s="73"/>
      <c r="HDH31" s="73"/>
      <c r="HDI31" s="73"/>
      <c r="HDJ31" s="73"/>
      <c r="HDK31" s="73"/>
      <c r="HDL31" s="73"/>
      <c r="HDM31" s="73"/>
      <c r="HDN31" s="73"/>
      <c r="HDO31" s="73"/>
      <c r="HDP31" s="73"/>
      <c r="HDQ31" s="73"/>
      <c r="HDR31" s="73"/>
      <c r="HDS31" s="73"/>
      <c r="HDT31" s="73"/>
      <c r="HDU31" s="73"/>
      <c r="HDV31" s="73"/>
      <c r="HDW31" s="73"/>
      <c r="HDX31" s="73"/>
      <c r="HDY31" s="73"/>
      <c r="HDZ31" s="73"/>
      <c r="HEA31" s="73"/>
      <c r="HEB31" s="73"/>
      <c r="HEC31" s="73"/>
      <c r="HED31" s="73"/>
      <c r="HEE31" s="73"/>
      <c r="HEF31" s="73"/>
      <c r="HEG31" s="73"/>
      <c r="HEH31" s="73"/>
      <c r="HEI31" s="73"/>
      <c r="HEJ31" s="73"/>
      <c r="HEK31" s="73"/>
      <c r="HEL31" s="73"/>
      <c r="HEM31" s="73"/>
      <c r="HEN31" s="73"/>
      <c r="HEO31" s="73"/>
      <c r="HEP31" s="73"/>
      <c r="HEQ31" s="73"/>
      <c r="HER31" s="73"/>
      <c r="HES31" s="73"/>
      <c r="HET31" s="73"/>
      <c r="HEU31" s="73"/>
      <c r="HEV31" s="73"/>
      <c r="HEW31" s="73"/>
      <c r="HEX31" s="73"/>
      <c r="HEY31" s="73"/>
      <c r="HEZ31" s="73"/>
      <c r="HFA31" s="73"/>
      <c r="HFB31" s="73"/>
      <c r="HFC31" s="73"/>
      <c r="HFD31" s="73"/>
      <c r="HFE31" s="73"/>
      <c r="HFF31" s="73"/>
      <c r="HFG31" s="73"/>
      <c r="HFH31" s="73"/>
      <c r="HFI31" s="73"/>
      <c r="HFJ31" s="73"/>
      <c r="HFK31" s="73"/>
      <c r="HFL31" s="73"/>
      <c r="HFM31" s="73"/>
      <c r="HFN31" s="73"/>
      <c r="HFO31" s="73"/>
      <c r="HFP31" s="73"/>
      <c r="HFQ31" s="73"/>
      <c r="HFR31" s="73"/>
      <c r="HFS31" s="73"/>
      <c r="HFT31" s="73"/>
      <c r="HFU31" s="73"/>
      <c r="HFV31" s="73"/>
      <c r="HFW31" s="73"/>
      <c r="HFX31" s="73"/>
      <c r="HFY31" s="73"/>
      <c r="HFZ31" s="73"/>
      <c r="HGA31" s="73"/>
      <c r="HGB31" s="73"/>
      <c r="HGC31" s="73"/>
      <c r="HGD31" s="73"/>
      <c r="HGE31" s="73"/>
      <c r="HGF31" s="73"/>
      <c r="HGG31" s="73"/>
      <c r="HGH31" s="73"/>
      <c r="HGI31" s="73"/>
      <c r="HGJ31" s="73"/>
      <c r="HGK31" s="73"/>
      <c r="HGL31" s="73"/>
      <c r="HGM31" s="73"/>
      <c r="HGN31" s="73"/>
      <c r="HGO31" s="73"/>
      <c r="HGP31" s="73"/>
      <c r="HGQ31" s="73"/>
      <c r="HGR31" s="73"/>
      <c r="HGS31" s="73"/>
      <c r="HGT31" s="73"/>
      <c r="HGU31" s="73"/>
      <c r="HGV31" s="73"/>
      <c r="HGW31" s="73"/>
      <c r="HGX31" s="73"/>
      <c r="HGY31" s="73"/>
      <c r="HGZ31" s="73"/>
      <c r="HHA31" s="73"/>
      <c r="HHB31" s="73"/>
      <c r="HHC31" s="73"/>
      <c r="HHD31" s="73"/>
      <c r="HHE31" s="73"/>
      <c r="HHF31" s="73"/>
      <c r="HHG31" s="73"/>
      <c r="HHH31" s="73"/>
      <c r="HHI31" s="73"/>
      <c r="HHJ31" s="73"/>
      <c r="HHK31" s="73"/>
      <c r="HHL31" s="73"/>
      <c r="HHM31" s="73"/>
      <c r="HHN31" s="73"/>
      <c r="HHO31" s="73"/>
      <c r="HHP31" s="73"/>
      <c r="HHQ31" s="73"/>
      <c r="HHR31" s="73"/>
      <c r="HHS31" s="73"/>
      <c r="HHT31" s="73"/>
      <c r="HHU31" s="73"/>
      <c r="HHV31" s="73"/>
      <c r="HHW31" s="73"/>
      <c r="HHX31" s="73"/>
      <c r="HHY31" s="73"/>
      <c r="HHZ31" s="73"/>
      <c r="HIA31" s="73"/>
      <c r="HIB31" s="73"/>
      <c r="HIC31" s="73"/>
      <c r="HID31" s="73"/>
      <c r="HIE31" s="73"/>
      <c r="HIF31" s="73"/>
      <c r="HIG31" s="73"/>
      <c r="HIH31" s="73"/>
      <c r="HII31" s="73"/>
      <c r="HIJ31" s="73"/>
      <c r="HIK31" s="73"/>
      <c r="HIL31" s="73"/>
      <c r="HIM31" s="73"/>
      <c r="HIN31" s="73"/>
      <c r="HIO31" s="73"/>
      <c r="HIP31" s="73"/>
      <c r="HIQ31" s="73"/>
      <c r="HIR31" s="73"/>
      <c r="HIS31" s="73"/>
      <c r="HIT31" s="73"/>
      <c r="HIU31" s="73"/>
      <c r="HIV31" s="73"/>
      <c r="HIW31" s="73"/>
      <c r="HIX31" s="73"/>
      <c r="HIY31" s="73"/>
      <c r="HIZ31" s="73"/>
      <c r="HJA31" s="73"/>
      <c r="HJB31" s="73"/>
      <c r="HJC31" s="73"/>
      <c r="HJD31" s="73"/>
      <c r="HJE31" s="73"/>
      <c r="HJF31" s="73"/>
      <c r="HJG31" s="73"/>
      <c r="HJH31" s="73"/>
      <c r="HJI31" s="73"/>
      <c r="HJJ31" s="73"/>
      <c r="HJK31" s="73"/>
      <c r="HJL31" s="73"/>
      <c r="HJM31" s="73"/>
      <c r="HJN31" s="73"/>
      <c r="HJO31" s="73"/>
      <c r="HJP31" s="73"/>
      <c r="HJQ31" s="73"/>
      <c r="HJR31" s="73"/>
      <c r="HJS31" s="73"/>
      <c r="HJT31" s="73"/>
      <c r="HJU31" s="73"/>
      <c r="HJV31" s="73"/>
      <c r="HJW31" s="73"/>
      <c r="HJX31" s="73"/>
      <c r="HJY31" s="73"/>
      <c r="HJZ31" s="73"/>
      <c r="HKA31" s="73"/>
      <c r="HKB31" s="73"/>
      <c r="HKC31" s="73"/>
      <c r="HKD31" s="73"/>
      <c r="HKE31" s="73"/>
      <c r="HKF31" s="73"/>
      <c r="HKG31" s="73"/>
      <c r="HKH31" s="73"/>
      <c r="HKI31" s="73"/>
      <c r="HKJ31" s="73"/>
      <c r="HKK31" s="73"/>
      <c r="HKL31" s="73"/>
      <c r="HKM31" s="73"/>
      <c r="HKN31" s="73"/>
      <c r="HKO31" s="73"/>
      <c r="HKP31" s="73"/>
      <c r="HKQ31" s="73"/>
      <c r="HKR31" s="73"/>
      <c r="HKS31" s="73"/>
      <c r="HKT31" s="73"/>
      <c r="HKU31" s="73"/>
      <c r="HKV31" s="73"/>
      <c r="HKW31" s="73"/>
      <c r="HKX31" s="73"/>
      <c r="HKY31" s="73"/>
      <c r="HKZ31" s="73"/>
      <c r="HLA31" s="73"/>
      <c r="HLB31" s="73"/>
      <c r="HLC31" s="73"/>
      <c r="HLD31" s="73"/>
      <c r="HLE31" s="73"/>
      <c r="HLF31" s="73"/>
      <c r="HLG31" s="73"/>
      <c r="HLH31" s="73"/>
      <c r="HLI31" s="73"/>
      <c r="HLJ31" s="73"/>
      <c r="HLK31" s="73"/>
      <c r="HLL31" s="73"/>
      <c r="HLM31" s="73"/>
      <c r="HLN31" s="73"/>
      <c r="HLO31" s="73"/>
      <c r="HLP31" s="73"/>
      <c r="HLQ31" s="73"/>
      <c r="HLR31" s="73"/>
      <c r="HLS31" s="73"/>
      <c r="HLT31" s="73"/>
      <c r="HLU31" s="73"/>
      <c r="HLV31" s="73"/>
      <c r="HLW31" s="73"/>
      <c r="HLX31" s="73"/>
      <c r="HLY31" s="73"/>
      <c r="HLZ31" s="73"/>
      <c r="HMA31" s="73"/>
      <c r="HMB31" s="73"/>
      <c r="HMC31" s="73"/>
      <c r="HMD31" s="73"/>
      <c r="HME31" s="73"/>
      <c r="HMF31" s="73"/>
      <c r="HMG31" s="73"/>
      <c r="HMH31" s="73"/>
      <c r="HMI31" s="73"/>
      <c r="HMJ31" s="73"/>
      <c r="HMK31" s="73"/>
      <c r="HML31" s="73"/>
      <c r="HMM31" s="73"/>
      <c r="HMN31" s="73"/>
      <c r="HMO31" s="73"/>
      <c r="HMP31" s="73"/>
      <c r="HMQ31" s="73"/>
      <c r="HMR31" s="73"/>
      <c r="HMS31" s="73"/>
      <c r="HMT31" s="73"/>
      <c r="HMU31" s="73"/>
      <c r="HMV31" s="73"/>
      <c r="HMW31" s="73"/>
      <c r="HMX31" s="73"/>
      <c r="HMY31" s="73"/>
      <c r="HMZ31" s="73"/>
      <c r="HNA31" s="73"/>
      <c r="HNB31" s="73"/>
      <c r="HNC31" s="73"/>
      <c r="HND31" s="73"/>
      <c r="HNE31" s="73"/>
      <c r="HNF31" s="73"/>
      <c r="HNG31" s="73"/>
      <c r="HNH31" s="73"/>
      <c r="HNI31" s="73"/>
      <c r="HNJ31" s="73"/>
      <c r="HNK31" s="73"/>
      <c r="HNL31" s="73"/>
      <c r="HNM31" s="73"/>
      <c r="HNN31" s="73"/>
      <c r="HNO31" s="73"/>
      <c r="HNP31" s="73"/>
      <c r="HNQ31" s="73"/>
      <c r="HNR31" s="73"/>
      <c r="HNS31" s="73"/>
      <c r="HNT31" s="73"/>
      <c r="HNU31" s="73"/>
      <c r="HNV31" s="73"/>
      <c r="HNW31" s="73"/>
      <c r="HNX31" s="73"/>
      <c r="HNY31" s="73"/>
      <c r="HNZ31" s="73"/>
      <c r="HOA31" s="73"/>
      <c r="HOB31" s="73"/>
      <c r="HOC31" s="73"/>
      <c r="HOD31" s="73"/>
      <c r="HOE31" s="73"/>
      <c r="HOF31" s="73"/>
      <c r="HOG31" s="73"/>
      <c r="HOH31" s="73"/>
      <c r="HOI31" s="73"/>
      <c r="HOJ31" s="73"/>
      <c r="HOK31" s="73"/>
      <c r="HOL31" s="73"/>
      <c r="HOM31" s="73"/>
      <c r="HON31" s="73"/>
      <c r="HOO31" s="73"/>
      <c r="HOP31" s="73"/>
      <c r="HOQ31" s="73"/>
      <c r="HOR31" s="73"/>
      <c r="HOS31" s="73"/>
      <c r="HOT31" s="73"/>
      <c r="HOU31" s="73"/>
      <c r="HOV31" s="73"/>
      <c r="HOW31" s="73"/>
      <c r="HOX31" s="73"/>
      <c r="HOY31" s="73"/>
      <c r="HOZ31" s="73"/>
      <c r="HPA31" s="73"/>
      <c r="HPB31" s="73"/>
      <c r="HPC31" s="73"/>
      <c r="HPD31" s="73"/>
      <c r="HPE31" s="73"/>
      <c r="HPF31" s="73"/>
      <c r="HPG31" s="73"/>
      <c r="HPH31" s="73"/>
      <c r="HPI31" s="73"/>
      <c r="HPJ31" s="73"/>
      <c r="HPK31" s="73"/>
      <c r="HPL31" s="73"/>
      <c r="HPM31" s="73"/>
      <c r="HPN31" s="73"/>
      <c r="HPO31" s="73"/>
      <c r="HPP31" s="73"/>
      <c r="HPQ31" s="73"/>
      <c r="HPR31" s="73"/>
      <c r="HPS31" s="73"/>
      <c r="HPT31" s="73"/>
      <c r="HPU31" s="73"/>
      <c r="HPV31" s="73"/>
      <c r="HPW31" s="73"/>
      <c r="HPX31" s="73"/>
      <c r="HPY31" s="73"/>
      <c r="HPZ31" s="73"/>
      <c r="HQA31" s="73"/>
      <c r="HQB31" s="73"/>
      <c r="HQC31" s="73"/>
      <c r="HQD31" s="73"/>
      <c r="HQE31" s="73"/>
      <c r="HQF31" s="73"/>
      <c r="HQG31" s="73"/>
      <c r="HQH31" s="73"/>
      <c r="HQI31" s="73"/>
      <c r="HQJ31" s="73"/>
      <c r="HQK31" s="73"/>
      <c r="HQL31" s="73"/>
      <c r="HQM31" s="73"/>
      <c r="HQN31" s="73"/>
      <c r="HQO31" s="73"/>
      <c r="HQP31" s="73"/>
      <c r="HQQ31" s="73"/>
      <c r="HQR31" s="73"/>
      <c r="HQS31" s="73"/>
      <c r="HQT31" s="73"/>
      <c r="HQU31" s="73"/>
      <c r="HQV31" s="73"/>
      <c r="HQW31" s="73"/>
      <c r="HQX31" s="73"/>
      <c r="HQY31" s="73"/>
      <c r="HQZ31" s="73"/>
      <c r="HRA31" s="73"/>
      <c r="HRB31" s="73"/>
      <c r="HRC31" s="73"/>
      <c r="HRD31" s="73"/>
      <c r="HRE31" s="73"/>
      <c r="HRF31" s="73"/>
      <c r="HRG31" s="73"/>
      <c r="HRH31" s="73"/>
      <c r="HRI31" s="73"/>
      <c r="HRJ31" s="73"/>
      <c r="HRK31" s="73"/>
      <c r="HRL31" s="73"/>
      <c r="HRM31" s="73"/>
      <c r="HRN31" s="73"/>
      <c r="HRO31" s="73"/>
      <c r="HRP31" s="73"/>
      <c r="HRQ31" s="73"/>
      <c r="HRR31" s="73"/>
      <c r="HRS31" s="73"/>
      <c r="HRT31" s="73"/>
      <c r="HRU31" s="73"/>
      <c r="HRV31" s="73"/>
      <c r="HRW31" s="73"/>
      <c r="HRX31" s="73"/>
      <c r="HRY31" s="73"/>
      <c r="HRZ31" s="73"/>
      <c r="HSA31" s="73"/>
      <c r="HSB31" s="73"/>
      <c r="HSC31" s="73"/>
      <c r="HSD31" s="73"/>
      <c r="HSE31" s="73"/>
      <c r="HSF31" s="73"/>
      <c r="HSG31" s="73"/>
      <c r="HSH31" s="73"/>
      <c r="HSI31" s="73"/>
      <c r="HSJ31" s="73"/>
      <c r="HSK31" s="73"/>
      <c r="HSL31" s="73"/>
      <c r="HSM31" s="73"/>
      <c r="HSN31" s="73"/>
      <c r="HSO31" s="73"/>
      <c r="HSP31" s="73"/>
      <c r="HSQ31" s="73"/>
      <c r="HSR31" s="73"/>
      <c r="HSS31" s="73"/>
      <c r="HST31" s="73"/>
      <c r="HSU31" s="73"/>
      <c r="HSV31" s="73"/>
      <c r="HSW31" s="73"/>
      <c r="HSX31" s="73"/>
      <c r="HSY31" s="73"/>
      <c r="HSZ31" s="73"/>
      <c r="HTA31" s="73"/>
      <c r="HTB31" s="73"/>
      <c r="HTC31" s="73"/>
      <c r="HTD31" s="73"/>
      <c r="HTE31" s="73"/>
      <c r="HTF31" s="73"/>
      <c r="HTG31" s="73"/>
      <c r="HTH31" s="73"/>
      <c r="HTI31" s="73"/>
      <c r="HTJ31" s="73"/>
      <c r="HTK31" s="73"/>
      <c r="HTL31" s="73"/>
      <c r="HTM31" s="73"/>
      <c r="HTN31" s="73"/>
      <c r="HTO31" s="73"/>
      <c r="HTP31" s="73"/>
      <c r="HTQ31" s="73"/>
      <c r="HTR31" s="73"/>
      <c r="HTS31" s="73"/>
      <c r="HTT31" s="73"/>
      <c r="HTU31" s="73"/>
      <c r="HTV31" s="73"/>
      <c r="HTW31" s="73"/>
      <c r="HTX31" s="73"/>
      <c r="HTY31" s="73"/>
      <c r="HTZ31" s="73"/>
      <c r="HUA31" s="73"/>
      <c r="HUB31" s="73"/>
      <c r="HUC31" s="73"/>
      <c r="HUD31" s="73"/>
      <c r="HUE31" s="73"/>
      <c r="HUF31" s="73"/>
      <c r="HUG31" s="73"/>
      <c r="HUH31" s="73"/>
      <c r="HUI31" s="73"/>
      <c r="HUJ31" s="73"/>
      <c r="HUK31" s="73"/>
      <c r="HUL31" s="73"/>
      <c r="HUM31" s="73"/>
      <c r="HUN31" s="73"/>
      <c r="HUO31" s="73"/>
      <c r="HUP31" s="73"/>
      <c r="HUQ31" s="73"/>
      <c r="HUR31" s="73"/>
      <c r="HUS31" s="73"/>
      <c r="HUT31" s="73"/>
      <c r="HUU31" s="73"/>
      <c r="HUV31" s="73"/>
      <c r="HUW31" s="73"/>
      <c r="HUX31" s="73"/>
      <c r="HUY31" s="73"/>
      <c r="HUZ31" s="73"/>
      <c r="HVA31" s="73"/>
      <c r="HVB31" s="73"/>
      <c r="HVC31" s="73"/>
      <c r="HVD31" s="73"/>
      <c r="HVE31" s="73"/>
      <c r="HVF31" s="73"/>
      <c r="HVG31" s="73"/>
      <c r="HVH31" s="73"/>
      <c r="HVI31" s="73"/>
      <c r="HVJ31" s="73"/>
      <c r="HVK31" s="73"/>
      <c r="HVL31" s="73"/>
      <c r="HVM31" s="73"/>
      <c r="HVN31" s="73"/>
      <c r="HVO31" s="73"/>
      <c r="HVP31" s="73"/>
      <c r="HVQ31" s="73"/>
      <c r="HVR31" s="73"/>
      <c r="HVS31" s="73"/>
      <c r="HVT31" s="73"/>
      <c r="HVU31" s="73"/>
      <c r="HVV31" s="73"/>
      <c r="HVW31" s="73"/>
      <c r="HVX31" s="73"/>
      <c r="HVY31" s="73"/>
      <c r="HVZ31" s="73"/>
      <c r="HWA31" s="73"/>
      <c r="HWB31" s="73"/>
      <c r="HWC31" s="73"/>
      <c r="HWD31" s="73"/>
      <c r="HWE31" s="73"/>
      <c r="HWF31" s="73"/>
      <c r="HWG31" s="73"/>
      <c r="HWH31" s="73"/>
      <c r="HWI31" s="73"/>
      <c r="HWJ31" s="73"/>
      <c r="HWK31" s="73"/>
      <c r="HWL31" s="73"/>
      <c r="HWM31" s="73"/>
      <c r="HWN31" s="73"/>
      <c r="HWO31" s="73"/>
      <c r="HWP31" s="73"/>
      <c r="HWQ31" s="73"/>
      <c r="HWR31" s="73"/>
      <c r="HWS31" s="73"/>
      <c r="HWT31" s="73"/>
      <c r="HWU31" s="73"/>
      <c r="HWV31" s="73"/>
      <c r="HWW31" s="73"/>
      <c r="HWX31" s="73"/>
      <c r="HWY31" s="73"/>
      <c r="HWZ31" s="73"/>
      <c r="HXA31" s="73"/>
      <c r="HXB31" s="73"/>
      <c r="HXC31" s="73"/>
      <c r="HXD31" s="73"/>
      <c r="HXE31" s="73"/>
      <c r="HXF31" s="73"/>
      <c r="HXG31" s="73"/>
      <c r="HXH31" s="73"/>
      <c r="HXI31" s="73"/>
      <c r="HXJ31" s="73"/>
      <c r="HXK31" s="73"/>
      <c r="HXL31" s="73"/>
      <c r="HXM31" s="73"/>
      <c r="HXN31" s="73"/>
      <c r="HXO31" s="73"/>
      <c r="HXP31" s="73"/>
      <c r="HXQ31" s="73"/>
      <c r="HXR31" s="73"/>
      <c r="HXS31" s="73"/>
      <c r="HXT31" s="73"/>
      <c r="HXU31" s="73"/>
      <c r="HXV31" s="73"/>
      <c r="HXW31" s="73"/>
      <c r="HXX31" s="73"/>
      <c r="HXY31" s="73"/>
      <c r="HXZ31" s="73"/>
      <c r="HYA31" s="73"/>
      <c r="HYB31" s="73"/>
      <c r="HYC31" s="73"/>
      <c r="HYD31" s="73"/>
      <c r="HYE31" s="73"/>
      <c r="HYF31" s="73"/>
      <c r="HYG31" s="73"/>
      <c r="HYH31" s="73"/>
      <c r="HYI31" s="73"/>
      <c r="HYJ31" s="73"/>
      <c r="HYK31" s="73"/>
      <c r="HYL31" s="73"/>
      <c r="HYM31" s="73"/>
      <c r="HYN31" s="73"/>
      <c r="HYO31" s="73"/>
      <c r="HYP31" s="73"/>
      <c r="HYQ31" s="73"/>
      <c r="HYR31" s="73"/>
      <c r="HYS31" s="73"/>
      <c r="HYT31" s="73"/>
      <c r="HYU31" s="73"/>
      <c r="HYV31" s="73"/>
      <c r="HYW31" s="73"/>
      <c r="HYX31" s="73"/>
      <c r="HYY31" s="73"/>
      <c r="HYZ31" s="73"/>
      <c r="HZA31" s="73"/>
      <c r="HZB31" s="73"/>
      <c r="HZC31" s="73"/>
      <c r="HZD31" s="73"/>
      <c r="HZE31" s="73"/>
      <c r="HZF31" s="73"/>
      <c r="HZG31" s="73"/>
      <c r="HZH31" s="73"/>
      <c r="HZI31" s="73"/>
      <c r="HZJ31" s="73"/>
      <c r="HZK31" s="73"/>
      <c r="HZL31" s="73"/>
      <c r="HZM31" s="73"/>
      <c r="HZN31" s="73"/>
      <c r="HZO31" s="73"/>
      <c r="HZP31" s="73"/>
      <c r="HZQ31" s="73"/>
      <c r="HZR31" s="73"/>
      <c r="HZS31" s="73"/>
      <c r="HZT31" s="73"/>
      <c r="HZU31" s="73"/>
      <c r="HZV31" s="73"/>
      <c r="HZW31" s="73"/>
      <c r="HZX31" s="73"/>
      <c r="HZY31" s="73"/>
      <c r="HZZ31" s="73"/>
      <c r="IAA31" s="73"/>
      <c r="IAB31" s="73"/>
      <c r="IAC31" s="73"/>
      <c r="IAD31" s="73"/>
      <c r="IAE31" s="73"/>
      <c r="IAF31" s="73"/>
      <c r="IAG31" s="73"/>
      <c r="IAH31" s="73"/>
      <c r="IAI31" s="73"/>
      <c r="IAJ31" s="73"/>
      <c r="IAK31" s="73"/>
      <c r="IAL31" s="73"/>
      <c r="IAM31" s="73"/>
      <c r="IAN31" s="73"/>
      <c r="IAO31" s="73"/>
      <c r="IAP31" s="73"/>
      <c r="IAQ31" s="73"/>
      <c r="IAR31" s="73"/>
      <c r="IAS31" s="73"/>
      <c r="IAT31" s="73"/>
      <c r="IAU31" s="73"/>
      <c r="IAV31" s="73"/>
      <c r="IAW31" s="73"/>
      <c r="IAX31" s="73"/>
      <c r="IAY31" s="73"/>
      <c r="IAZ31" s="73"/>
      <c r="IBA31" s="73"/>
      <c r="IBB31" s="73"/>
      <c r="IBC31" s="73"/>
      <c r="IBD31" s="73"/>
      <c r="IBE31" s="73"/>
      <c r="IBF31" s="73"/>
      <c r="IBG31" s="73"/>
      <c r="IBH31" s="73"/>
      <c r="IBI31" s="73"/>
      <c r="IBJ31" s="73"/>
      <c r="IBK31" s="73"/>
      <c r="IBL31" s="73"/>
      <c r="IBM31" s="73"/>
      <c r="IBN31" s="73"/>
      <c r="IBO31" s="73"/>
      <c r="IBP31" s="73"/>
      <c r="IBQ31" s="73"/>
      <c r="IBR31" s="73"/>
      <c r="IBS31" s="73"/>
      <c r="IBT31" s="73"/>
      <c r="IBU31" s="73"/>
      <c r="IBV31" s="73"/>
      <c r="IBW31" s="73"/>
      <c r="IBX31" s="73"/>
      <c r="IBY31" s="73"/>
      <c r="IBZ31" s="73"/>
      <c r="ICA31" s="73"/>
      <c r="ICB31" s="73"/>
      <c r="ICC31" s="73"/>
      <c r="ICD31" s="73"/>
      <c r="ICE31" s="73"/>
      <c r="ICF31" s="73"/>
      <c r="ICG31" s="73"/>
      <c r="ICH31" s="73"/>
      <c r="ICI31" s="73"/>
      <c r="ICJ31" s="73"/>
      <c r="ICK31" s="73"/>
      <c r="ICL31" s="73"/>
      <c r="ICM31" s="73"/>
      <c r="ICN31" s="73"/>
      <c r="ICO31" s="73"/>
      <c r="ICP31" s="73"/>
      <c r="ICQ31" s="73"/>
      <c r="ICR31" s="73"/>
      <c r="ICS31" s="73"/>
      <c r="ICT31" s="73"/>
      <c r="ICU31" s="73"/>
      <c r="ICV31" s="73"/>
      <c r="ICW31" s="73"/>
      <c r="ICX31" s="73"/>
      <c r="ICY31" s="73"/>
      <c r="ICZ31" s="73"/>
      <c r="IDA31" s="73"/>
      <c r="IDB31" s="73"/>
      <c r="IDC31" s="73"/>
      <c r="IDD31" s="73"/>
      <c r="IDE31" s="73"/>
      <c r="IDF31" s="73"/>
      <c r="IDG31" s="73"/>
      <c r="IDH31" s="73"/>
      <c r="IDI31" s="73"/>
      <c r="IDJ31" s="73"/>
      <c r="IDK31" s="73"/>
      <c r="IDL31" s="73"/>
      <c r="IDM31" s="73"/>
      <c r="IDN31" s="73"/>
      <c r="IDO31" s="73"/>
      <c r="IDP31" s="73"/>
      <c r="IDQ31" s="73"/>
      <c r="IDR31" s="73"/>
      <c r="IDS31" s="73"/>
      <c r="IDT31" s="73"/>
      <c r="IDU31" s="73"/>
      <c r="IDV31" s="73"/>
      <c r="IDW31" s="73"/>
      <c r="IDX31" s="73"/>
      <c r="IDY31" s="73"/>
      <c r="IDZ31" s="73"/>
      <c r="IEA31" s="73"/>
      <c r="IEB31" s="73"/>
      <c r="IEC31" s="73"/>
      <c r="IED31" s="73"/>
      <c r="IEE31" s="73"/>
      <c r="IEF31" s="73"/>
      <c r="IEG31" s="73"/>
      <c r="IEH31" s="73"/>
      <c r="IEI31" s="73"/>
      <c r="IEJ31" s="73"/>
      <c r="IEK31" s="73"/>
      <c r="IEL31" s="73"/>
      <c r="IEM31" s="73"/>
      <c r="IEN31" s="73"/>
      <c r="IEO31" s="73"/>
      <c r="IEP31" s="73"/>
      <c r="IEQ31" s="73"/>
      <c r="IER31" s="73"/>
      <c r="IES31" s="73"/>
      <c r="IET31" s="73"/>
      <c r="IEU31" s="73"/>
      <c r="IEV31" s="73"/>
      <c r="IEW31" s="73"/>
      <c r="IEX31" s="73"/>
      <c r="IEY31" s="73"/>
      <c r="IEZ31" s="73"/>
      <c r="IFA31" s="73"/>
      <c r="IFB31" s="73"/>
      <c r="IFC31" s="73"/>
      <c r="IFD31" s="73"/>
      <c r="IFE31" s="73"/>
      <c r="IFF31" s="73"/>
      <c r="IFG31" s="73"/>
      <c r="IFH31" s="73"/>
      <c r="IFI31" s="73"/>
      <c r="IFJ31" s="73"/>
      <c r="IFK31" s="73"/>
      <c r="IFL31" s="73"/>
      <c r="IFM31" s="73"/>
      <c r="IFN31" s="73"/>
      <c r="IFO31" s="73"/>
      <c r="IFP31" s="73"/>
      <c r="IFQ31" s="73"/>
      <c r="IFR31" s="73"/>
      <c r="IFS31" s="73"/>
      <c r="IFT31" s="73"/>
      <c r="IFU31" s="73"/>
      <c r="IFV31" s="73"/>
      <c r="IFW31" s="73"/>
      <c r="IFX31" s="73"/>
      <c r="IFY31" s="73"/>
      <c r="IFZ31" s="73"/>
      <c r="IGA31" s="73"/>
      <c r="IGB31" s="73"/>
      <c r="IGC31" s="73"/>
      <c r="IGD31" s="73"/>
      <c r="IGE31" s="73"/>
      <c r="IGF31" s="73"/>
      <c r="IGG31" s="73"/>
      <c r="IGH31" s="73"/>
      <c r="IGI31" s="73"/>
      <c r="IGJ31" s="73"/>
      <c r="IGK31" s="73"/>
      <c r="IGL31" s="73"/>
      <c r="IGM31" s="73"/>
      <c r="IGN31" s="73"/>
      <c r="IGO31" s="73"/>
      <c r="IGP31" s="73"/>
      <c r="IGQ31" s="73"/>
      <c r="IGR31" s="73"/>
      <c r="IGS31" s="73"/>
      <c r="IGT31" s="73"/>
      <c r="IGU31" s="73"/>
      <c r="IGV31" s="73"/>
      <c r="IGW31" s="73"/>
      <c r="IGX31" s="73"/>
      <c r="IGY31" s="73"/>
      <c r="IGZ31" s="73"/>
      <c r="IHA31" s="73"/>
      <c r="IHB31" s="73"/>
      <c r="IHC31" s="73"/>
      <c r="IHD31" s="73"/>
      <c r="IHE31" s="73"/>
      <c r="IHF31" s="73"/>
      <c r="IHG31" s="73"/>
      <c r="IHH31" s="73"/>
      <c r="IHI31" s="73"/>
      <c r="IHJ31" s="73"/>
      <c r="IHK31" s="73"/>
      <c r="IHL31" s="73"/>
      <c r="IHM31" s="73"/>
      <c r="IHN31" s="73"/>
      <c r="IHO31" s="73"/>
      <c r="IHP31" s="73"/>
      <c r="IHQ31" s="73"/>
      <c r="IHR31" s="73"/>
      <c r="IHS31" s="73"/>
      <c r="IHT31" s="73"/>
      <c r="IHU31" s="73"/>
      <c r="IHV31" s="73"/>
      <c r="IHW31" s="73"/>
      <c r="IHX31" s="73"/>
      <c r="IHY31" s="73"/>
      <c r="IHZ31" s="73"/>
      <c r="IIA31" s="73"/>
      <c r="IIB31" s="73"/>
      <c r="IIC31" s="73"/>
      <c r="IID31" s="73"/>
      <c r="IIE31" s="73"/>
      <c r="IIF31" s="73"/>
      <c r="IIG31" s="73"/>
      <c r="IIH31" s="73"/>
      <c r="III31" s="73"/>
      <c r="IIJ31" s="73"/>
      <c r="IIK31" s="73"/>
      <c r="IIL31" s="73"/>
      <c r="IIM31" s="73"/>
      <c r="IIN31" s="73"/>
      <c r="IIO31" s="73"/>
      <c r="IIP31" s="73"/>
      <c r="IIQ31" s="73"/>
      <c r="IIR31" s="73"/>
      <c r="IIS31" s="73"/>
      <c r="IIT31" s="73"/>
      <c r="IIU31" s="73"/>
      <c r="IIV31" s="73"/>
      <c r="IIW31" s="73"/>
      <c r="IIX31" s="73"/>
      <c r="IIY31" s="73"/>
      <c r="IIZ31" s="73"/>
      <c r="IJA31" s="73"/>
      <c r="IJB31" s="73"/>
      <c r="IJC31" s="73"/>
      <c r="IJD31" s="73"/>
      <c r="IJE31" s="73"/>
      <c r="IJF31" s="73"/>
      <c r="IJG31" s="73"/>
      <c r="IJH31" s="73"/>
      <c r="IJI31" s="73"/>
      <c r="IJJ31" s="73"/>
      <c r="IJK31" s="73"/>
      <c r="IJL31" s="73"/>
      <c r="IJM31" s="73"/>
      <c r="IJN31" s="73"/>
      <c r="IJO31" s="73"/>
      <c r="IJP31" s="73"/>
      <c r="IJQ31" s="73"/>
      <c r="IJR31" s="73"/>
      <c r="IJS31" s="73"/>
      <c r="IJT31" s="73"/>
      <c r="IJU31" s="73"/>
      <c r="IJV31" s="73"/>
      <c r="IJW31" s="73"/>
      <c r="IJX31" s="73"/>
      <c r="IJY31" s="73"/>
      <c r="IJZ31" s="73"/>
      <c r="IKA31" s="73"/>
      <c r="IKB31" s="73"/>
      <c r="IKC31" s="73"/>
      <c r="IKD31" s="73"/>
      <c r="IKE31" s="73"/>
      <c r="IKF31" s="73"/>
      <c r="IKG31" s="73"/>
      <c r="IKH31" s="73"/>
      <c r="IKI31" s="73"/>
      <c r="IKJ31" s="73"/>
      <c r="IKK31" s="73"/>
      <c r="IKL31" s="73"/>
      <c r="IKM31" s="73"/>
      <c r="IKN31" s="73"/>
      <c r="IKO31" s="73"/>
      <c r="IKP31" s="73"/>
      <c r="IKQ31" s="73"/>
      <c r="IKR31" s="73"/>
      <c r="IKS31" s="73"/>
      <c r="IKT31" s="73"/>
      <c r="IKU31" s="73"/>
      <c r="IKV31" s="73"/>
      <c r="IKW31" s="73"/>
      <c r="IKX31" s="73"/>
      <c r="IKY31" s="73"/>
      <c r="IKZ31" s="73"/>
      <c r="ILA31" s="73"/>
      <c r="ILB31" s="73"/>
      <c r="ILC31" s="73"/>
      <c r="ILD31" s="73"/>
      <c r="ILE31" s="73"/>
      <c r="ILF31" s="73"/>
      <c r="ILG31" s="73"/>
      <c r="ILH31" s="73"/>
      <c r="ILI31" s="73"/>
      <c r="ILJ31" s="73"/>
      <c r="ILK31" s="73"/>
      <c r="ILL31" s="73"/>
      <c r="ILM31" s="73"/>
      <c r="ILN31" s="73"/>
      <c r="ILO31" s="73"/>
      <c r="ILP31" s="73"/>
      <c r="ILQ31" s="73"/>
      <c r="ILR31" s="73"/>
      <c r="ILS31" s="73"/>
      <c r="ILT31" s="73"/>
      <c r="ILU31" s="73"/>
      <c r="ILV31" s="73"/>
      <c r="ILW31" s="73"/>
      <c r="ILX31" s="73"/>
      <c r="ILY31" s="73"/>
      <c r="ILZ31" s="73"/>
      <c r="IMA31" s="73"/>
      <c r="IMB31" s="73"/>
      <c r="IMC31" s="73"/>
      <c r="IMD31" s="73"/>
      <c r="IME31" s="73"/>
      <c r="IMF31" s="73"/>
      <c r="IMG31" s="73"/>
      <c r="IMH31" s="73"/>
      <c r="IMI31" s="73"/>
      <c r="IMJ31" s="73"/>
      <c r="IMK31" s="73"/>
      <c r="IML31" s="73"/>
      <c r="IMM31" s="73"/>
      <c r="IMN31" s="73"/>
      <c r="IMO31" s="73"/>
      <c r="IMP31" s="73"/>
      <c r="IMQ31" s="73"/>
      <c r="IMR31" s="73"/>
      <c r="IMS31" s="73"/>
      <c r="IMT31" s="73"/>
      <c r="IMU31" s="73"/>
      <c r="IMV31" s="73"/>
      <c r="IMW31" s="73"/>
      <c r="IMX31" s="73"/>
      <c r="IMY31" s="73"/>
      <c r="IMZ31" s="73"/>
      <c r="INA31" s="73"/>
      <c r="INB31" s="73"/>
      <c r="INC31" s="73"/>
      <c r="IND31" s="73"/>
      <c r="INE31" s="73"/>
      <c r="INF31" s="73"/>
      <c r="ING31" s="73"/>
      <c r="INH31" s="73"/>
      <c r="INI31" s="73"/>
      <c r="INJ31" s="73"/>
      <c r="INK31" s="73"/>
      <c r="INL31" s="73"/>
      <c r="INM31" s="73"/>
      <c r="INN31" s="73"/>
      <c r="INO31" s="73"/>
      <c r="INP31" s="73"/>
      <c r="INQ31" s="73"/>
      <c r="INR31" s="73"/>
      <c r="INS31" s="73"/>
      <c r="INT31" s="73"/>
      <c r="INU31" s="73"/>
      <c r="INV31" s="73"/>
      <c r="INW31" s="73"/>
      <c r="INX31" s="73"/>
      <c r="INY31" s="73"/>
      <c r="INZ31" s="73"/>
      <c r="IOA31" s="73"/>
      <c r="IOB31" s="73"/>
      <c r="IOC31" s="73"/>
      <c r="IOD31" s="73"/>
      <c r="IOE31" s="73"/>
      <c r="IOF31" s="73"/>
      <c r="IOG31" s="73"/>
      <c r="IOH31" s="73"/>
      <c r="IOI31" s="73"/>
      <c r="IOJ31" s="73"/>
      <c r="IOK31" s="73"/>
      <c r="IOL31" s="73"/>
      <c r="IOM31" s="73"/>
      <c r="ION31" s="73"/>
      <c r="IOO31" s="73"/>
      <c r="IOP31" s="73"/>
      <c r="IOQ31" s="73"/>
      <c r="IOR31" s="73"/>
      <c r="IOS31" s="73"/>
      <c r="IOT31" s="73"/>
      <c r="IOU31" s="73"/>
      <c r="IOV31" s="73"/>
      <c r="IOW31" s="73"/>
      <c r="IOX31" s="73"/>
      <c r="IOY31" s="73"/>
      <c r="IOZ31" s="73"/>
      <c r="IPA31" s="73"/>
      <c r="IPB31" s="73"/>
      <c r="IPC31" s="73"/>
      <c r="IPD31" s="73"/>
      <c r="IPE31" s="73"/>
      <c r="IPF31" s="73"/>
      <c r="IPG31" s="73"/>
      <c r="IPH31" s="73"/>
      <c r="IPI31" s="73"/>
      <c r="IPJ31" s="73"/>
      <c r="IPK31" s="73"/>
      <c r="IPL31" s="73"/>
      <c r="IPM31" s="73"/>
      <c r="IPN31" s="73"/>
      <c r="IPO31" s="73"/>
      <c r="IPP31" s="73"/>
      <c r="IPQ31" s="73"/>
      <c r="IPR31" s="73"/>
      <c r="IPS31" s="73"/>
      <c r="IPT31" s="73"/>
      <c r="IPU31" s="73"/>
      <c r="IPV31" s="73"/>
      <c r="IPW31" s="73"/>
      <c r="IPX31" s="73"/>
      <c r="IPY31" s="73"/>
      <c r="IPZ31" s="73"/>
      <c r="IQA31" s="73"/>
      <c r="IQB31" s="73"/>
      <c r="IQC31" s="73"/>
      <c r="IQD31" s="73"/>
      <c r="IQE31" s="73"/>
      <c r="IQF31" s="73"/>
      <c r="IQG31" s="73"/>
      <c r="IQH31" s="73"/>
      <c r="IQI31" s="73"/>
      <c r="IQJ31" s="73"/>
      <c r="IQK31" s="73"/>
      <c r="IQL31" s="73"/>
      <c r="IQM31" s="73"/>
      <c r="IQN31" s="73"/>
      <c r="IQO31" s="73"/>
      <c r="IQP31" s="73"/>
      <c r="IQQ31" s="73"/>
      <c r="IQR31" s="73"/>
      <c r="IQS31" s="73"/>
      <c r="IQT31" s="73"/>
      <c r="IQU31" s="73"/>
      <c r="IQV31" s="73"/>
      <c r="IQW31" s="73"/>
      <c r="IQX31" s="73"/>
      <c r="IQY31" s="73"/>
      <c r="IQZ31" s="73"/>
      <c r="IRA31" s="73"/>
      <c r="IRB31" s="73"/>
      <c r="IRC31" s="73"/>
      <c r="IRD31" s="73"/>
      <c r="IRE31" s="73"/>
      <c r="IRF31" s="73"/>
      <c r="IRG31" s="73"/>
      <c r="IRH31" s="73"/>
      <c r="IRI31" s="73"/>
      <c r="IRJ31" s="73"/>
      <c r="IRK31" s="73"/>
      <c r="IRL31" s="73"/>
      <c r="IRM31" s="73"/>
      <c r="IRN31" s="73"/>
      <c r="IRO31" s="73"/>
      <c r="IRP31" s="73"/>
      <c r="IRQ31" s="73"/>
      <c r="IRR31" s="73"/>
      <c r="IRS31" s="73"/>
      <c r="IRT31" s="73"/>
      <c r="IRU31" s="73"/>
      <c r="IRV31" s="73"/>
      <c r="IRW31" s="73"/>
      <c r="IRX31" s="73"/>
      <c r="IRY31" s="73"/>
      <c r="IRZ31" s="73"/>
      <c r="ISA31" s="73"/>
      <c r="ISB31" s="73"/>
      <c r="ISC31" s="73"/>
      <c r="ISD31" s="73"/>
      <c r="ISE31" s="73"/>
      <c r="ISF31" s="73"/>
      <c r="ISG31" s="73"/>
      <c r="ISH31" s="73"/>
      <c r="ISI31" s="73"/>
      <c r="ISJ31" s="73"/>
      <c r="ISK31" s="73"/>
      <c r="ISL31" s="73"/>
      <c r="ISM31" s="73"/>
      <c r="ISN31" s="73"/>
      <c r="ISO31" s="73"/>
      <c r="ISP31" s="73"/>
      <c r="ISQ31" s="73"/>
      <c r="ISR31" s="73"/>
      <c r="ISS31" s="73"/>
      <c r="IST31" s="73"/>
      <c r="ISU31" s="73"/>
      <c r="ISV31" s="73"/>
      <c r="ISW31" s="73"/>
      <c r="ISX31" s="73"/>
      <c r="ISY31" s="73"/>
      <c r="ISZ31" s="73"/>
      <c r="ITA31" s="73"/>
      <c r="ITB31" s="73"/>
      <c r="ITC31" s="73"/>
      <c r="ITD31" s="73"/>
      <c r="ITE31" s="73"/>
      <c r="ITF31" s="73"/>
      <c r="ITG31" s="73"/>
      <c r="ITH31" s="73"/>
      <c r="ITI31" s="73"/>
      <c r="ITJ31" s="73"/>
      <c r="ITK31" s="73"/>
      <c r="ITL31" s="73"/>
      <c r="ITM31" s="73"/>
      <c r="ITN31" s="73"/>
      <c r="ITO31" s="73"/>
      <c r="ITP31" s="73"/>
      <c r="ITQ31" s="73"/>
      <c r="ITR31" s="73"/>
      <c r="ITS31" s="73"/>
      <c r="ITT31" s="73"/>
      <c r="ITU31" s="73"/>
      <c r="ITV31" s="73"/>
      <c r="ITW31" s="73"/>
      <c r="ITX31" s="73"/>
      <c r="ITY31" s="73"/>
      <c r="ITZ31" s="73"/>
      <c r="IUA31" s="73"/>
      <c r="IUB31" s="73"/>
      <c r="IUC31" s="73"/>
      <c r="IUD31" s="73"/>
      <c r="IUE31" s="73"/>
      <c r="IUF31" s="73"/>
      <c r="IUG31" s="73"/>
      <c r="IUH31" s="73"/>
      <c r="IUI31" s="73"/>
      <c r="IUJ31" s="73"/>
      <c r="IUK31" s="73"/>
      <c r="IUL31" s="73"/>
      <c r="IUM31" s="73"/>
      <c r="IUN31" s="73"/>
      <c r="IUO31" s="73"/>
      <c r="IUP31" s="73"/>
      <c r="IUQ31" s="73"/>
      <c r="IUR31" s="73"/>
      <c r="IUS31" s="73"/>
      <c r="IUT31" s="73"/>
      <c r="IUU31" s="73"/>
      <c r="IUV31" s="73"/>
      <c r="IUW31" s="73"/>
      <c r="IUX31" s="73"/>
      <c r="IUY31" s="73"/>
      <c r="IUZ31" s="73"/>
      <c r="IVA31" s="73"/>
      <c r="IVB31" s="73"/>
      <c r="IVC31" s="73"/>
      <c r="IVD31" s="73"/>
      <c r="IVE31" s="73"/>
      <c r="IVF31" s="73"/>
      <c r="IVG31" s="73"/>
      <c r="IVH31" s="73"/>
      <c r="IVI31" s="73"/>
      <c r="IVJ31" s="73"/>
      <c r="IVK31" s="73"/>
      <c r="IVL31" s="73"/>
      <c r="IVM31" s="73"/>
      <c r="IVN31" s="73"/>
      <c r="IVO31" s="73"/>
      <c r="IVP31" s="73"/>
      <c r="IVQ31" s="73"/>
      <c r="IVR31" s="73"/>
      <c r="IVS31" s="73"/>
      <c r="IVT31" s="73"/>
      <c r="IVU31" s="73"/>
      <c r="IVV31" s="73"/>
      <c r="IVW31" s="73"/>
      <c r="IVX31" s="73"/>
      <c r="IVY31" s="73"/>
      <c r="IVZ31" s="73"/>
      <c r="IWA31" s="73"/>
      <c r="IWB31" s="73"/>
      <c r="IWC31" s="73"/>
      <c r="IWD31" s="73"/>
      <c r="IWE31" s="73"/>
      <c r="IWF31" s="73"/>
      <c r="IWG31" s="73"/>
      <c r="IWH31" s="73"/>
      <c r="IWI31" s="73"/>
      <c r="IWJ31" s="73"/>
      <c r="IWK31" s="73"/>
      <c r="IWL31" s="73"/>
      <c r="IWM31" s="73"/>
      <c r="IWN31" s="73"/>
      <c r="IWO31" s="73"/>
      <c r="IWP31" s="73"/>
      <c r="IWQ31" s="73"/>
      <c r="IWR31" s="73"/>
      <c r="IWS31" s="73"/>
      <c r="IWT31" s="73"/>
      <c r="IWU31" s="73"/>
      <c r="IWV31" s="73"/>
      <c r="IWW31" s="73"/>
      <c r="IWX31" s="73"/>
      <c r="IWY31" s="73"/>
      <c r="IWZ31" s="73"/>
      <c r="IXA31" s="73"/>
      <c r="IXB31" s="73"/>
      <c r="IXC31" s="73"/>
      <c r="IXD31" s="73"/>
      <c r="IXE31" s="73"/>
      <c r="IXF31" s="73"/>
      <c r="IXG31" s="73"/>
      <c r="IXH31" s="73"/>
      <c r="IXI31" s="73"/>
      <c r="IXJ31" s="73"/>
      <c r="IXK31" s="73"/>
      <c r="IXL31" s="73"/>
      <c r="IXM31" s="73"/>
      <c r="IXN31" s="73"/>
      <c r="IXO31" s="73"/>
      <c r="IXP31" s="73"/>
      <c r="IXQ31" s="73"/>
      <c r="IXR31" s="73"/>
      <c r="IXS31" s="73"/>
      <c r="IXT31" s="73"/>
      <c r="IXU31" s="73"/>
      <c r="IXV31" s="73"/>
      <c r="IXW31" s="73"/>
      <c r="IXX31" s="73"/>
      <c r="IXY31" s="73"/>
      <c r="IXZ31" s="73"/>
      <c r="IYA31" s="73"/>
      <c r="IYB31" s="73"/>
      <c r="IYC31" s="73"/>
      <c r="IYD31" s="73"/>
      <c r="IYE31" s="73"/>
      <c r="IYF31" s="73"/>
      <c r="IYG31" s="73"/>
      <c r="IYH31" s="73"/>
      <c r="IYI31" s="73"/>
      <c r="IYJ31" s="73"/>
      <c r="IYK31" s="73"/>
      <c r="IYL31" s="73"/>
      <c r="IYM31" s="73"/>
      <c r="IYN31" s="73"/>
      <c r="IYO31" s="73"/>
      <c r="IYP31" s="73"/>
      <c r="IYQ31" s="73"/>
      <c r="IYR31" s="73"/>
      <c r="IYS31" s="73"/>
      <c r="IYT31" s="73"/>
      <c r="IYU31" s="73"/>
      <c r="IYV31" s="73"/>
      <c r="IYW31" s="73"/>
      <c r="IYX31" s="73"/>
      <c r="IYY31" s="73"/>
      <c r="IYZ31" s="73"/>
      <c r="IZA31" s="73"/>
      <c r="IZB31" s="73"/>
      <c r="IZC31" s="73"/>
      <c r="IZD31" s="73"/>
      <c r="IZE31" s="73"/>
      <c r="IZF31" s="73"/>
      <c r="IZG31" s="73"/>
      <c r="IZH31" s="73"/>
      <c r="IZI31" s="73"/>
      <c r="IZJ31" s="73"/>
      <c r="IZK31" s="73"/>
      <c r="IZL31" s="73"/>
      <c r="IZM31" s="73"/>
      <c r="IZN31" s="73"/>
      <c r="IZO31" s="73"/>
      <c r="IZP31" s="73"/>
      <c r="IZQ31" s="73"/>
      <c r="IZR31" s="73"/>
      <c r="IZS31" s="73"/>
      <c r="IZT31" s="73"/>
      <c r="IZU31" s="73"/>
      <c r="IZV31" s="73"/>
      <c r="IZW31" s="73"/>
      <c r="IZX31" s="73"/>
      <c r="IZY31" s="73"/>
      <c r="IZZ31" s="73"/>
      <c r="JAA31" s="73"/>
      <c r="JAB31" s="73"/>
      <c r="JAC31" s="73"/>
      <c r="JAD31" s="73"/>
      <c r="JAE31" s="73"/>
      <c r="JAF31" s="73"/>
      <c r="JAG31" s="73"/>
      <c r="JAH31" s="73"/>
      <c r="JAI31" s="73"/>
      <c r="JAJ31" s="73"/>
      <c r="JAK31" s="73"/>
      <c r="JAL31" s="73"/>
      <c r="JAM31" s="73"/>
      <c r="JAN31" s="73"/>
      <c r="JAO31" s="73"/>
      <c r="JAP31" s="73"/>
      <c r="JAQ31" s="73"/>
      <c r="JAR31" s="73"/>
      <c r="JAS31" s="73"/>
      <c r="JAT31" s="73"/>
      <c r="JAU31" s="73"/>
      <c r="JAV31" s="73"/>
      <c r="JAW31" s="73"/>
      <c r="JAX31" s="73"/>
      <c r="JAY31" s="73"/>
      <c r="JAZ31" s="73"/>
      <c r="JBA31" s="73"/>
      <c r="JBB31" s="73"/>
      <c r="JBC31" s="73"/>
      <c r="JBD31" s="73"/>
      <c r="JBE31" s="73"/>
      <c r="JBF31" s="73"/>
      <c r="JBG31" s="73"/>
      <c r="JBH31" s="73"/>
      <c r="JBI31" s="73"/>
      <c r="JBJ31" s="73"/>
      <c r="JBK31" s="73"/>
      <c r="JBL31" s="73"/>
      <c r="JBM31" s="73"/>
      <c r="JBN31" s="73"/>
      <c r="JBO31" s="73"/>
      <c r="JBP31" s="73"/>
      <c r="JBQ31" s="73"/>
      <c r="JBR31" s="73"/>
      <c r="JBS31" s="73"/>
      <c r="JBT31" s="73"/>
      <c r="JBU31" s="73"/>
      <c r="JBV31" s="73"/>
      <c r="JBW31" s="73"/>
      <c r="JBX31" s="73"/>
      <c r="JBY31" s="73"/>
      <c r="JBZ31" s="73"/>
      <c r="JCA31" s="73"/>
      <c r="JCB31" s="73"/>
      <c r="JCC31" s="73"/>
      <c r="JCD31" s="73"/>
      <c r="JCE31" s="73"/>
      <c r="JCF31" s="73"/>
      <c r="JCG31" s="73"/>
      <c r="JCH31" s="73"/>
      <c r="JCI31" s="73"/>
      <c r="JCJ31" s="73"/>
      <c r="JCK31" s="73"/>
      <c r="JCL31" s="73"/>
      <c r="JCM31" s="73"/>
      <c r="JCN31" s="73"/>
      <c r="JCO31" s="73"/>
      <c r="JCP31" s="73"/>
      <c r="JCQ31" s="73"/>
      <c r="JCR31" s="73"/>
      <c r="JCS31" s="73"/>
      <c r="JCT31" s="73"/>
      <c r="JCU31" s="73"/>
      <c r="JCV31" s="73"/>
      <c r="JCW31" s="73"/>
      <c r="JCX31" s="73"/>
      <c r="JCY31" s="73"/>
      <c r="JCZ31" s="73"/>
      <c r="JDA31" s="73"/>
      <c r="JDB31" s="73"/>
      <c r="JDC31" s="73"/>
      <c r="JDD31" s="73"/>
      <c r="JDE31" s="73"/>
      <c r="JDF31" s="73"/>
      <c r="JDG31" s="73"/>
      <c r="JDH31" s="73"/>
      <c r="JDI31" s="73"/>
      <c r="JDJ31" s="73"/>
      <c r="JDK31" s="73"/>
      <c r="JDL31" s="73"/>
      <c r="JDM31" s="73"/>
      <c r="JDN31" s="73"/>
      <c r="JDO31" s="73"/>
      <c r="JDP31" s="73"/>
      <c r="JDQ31" s="73"/>
      <c r="JDR31" s="73"/>
      <c r="JDS31" s="73"/>
      <c r="JDT31" s="73"/>
      <c r="JDU31" s="73"/>
      <c r="JDV31" s="73"/>
      <c r="JDW31" s="73"/>
      <c r="JDX31" s="73"/>
      <c r="JDY31" s="73"/>
      <c r="JDZ31" s="73"/>
      <c r="JEA31" s="73"/>
      <c r="JEB31" s="73"/>
      <c r="JEC31" s="73"/>
      <c r="JED31" s="73"/>
      <c r="JEE31" s="73"/>
      <c r="JEF31" s="73"/>
      <c r="JEG31" s="73"/>
      <c r="JEH31" s="73"/>
      <c r="JEI31" s="73"/>
      <c r="JEJ31" s="73"/>
      <c r="JEK31" s="73"/>
      <c r="JEL31" s="73"/>
      <c r="JEM31" s="73"/>
      <c r="JEN31" s="73"/>
      <c r="JEO31" s="73"/>
      <c r="JEP31" s="73"/>
      <c r="JEQ31" s="73"/>
      <c r="JER31" s="73"/>
      <c r="JES31" s="73"/>
      <c r="JET31" s="73"/>
      <c r="JEU31" s="73"/>
      <c r="JEV31" s="73"/>
      <c r="JEW31" s="73"/>
      <c r="JEX31" s="73"/>
      <c r="JEY31" s="73"/>
      <c r="JEZ31" s="73"/>
      <c r="JFA31" s="73"/>
      <c r="JFB31" s="73"/>
      <c r="JFC31" s="73"/>
      <c r="JFD31" s="73"/>
      <c r="JFE31" s="73"/>
      <c r="JFF31" s="73"/>
      <c r="JFG31" s="73"/>
      <c r="JFH31" s="73"/>
      <c r="JFI31" s="73"/>
      <c r="JFJ31" s="73"/>
      <c r="JFK31" s="73"/>
      <c r="JFL31" s="73"/>
      <c r="JFM31" s="73"/>
      <c r="JFN31" s="73"/>
      <c r="JFO31" s="73"/>
      <c r="JFP31" s="73"/>
      <c r="JFQ31" s="73"/>
      <c r="JFR31" s="73"/>
      <c r="JFS31" s="73"/>
      <c r="JFT31" s="73"/>
      <c r="JFU31" s="73"/>
      <c r="JFV31" s="73"/>
      <c r="JFW31" s="73"/>
      <c r="JFX31" s="73"/>
      <c r="JFY31" s="73"/>
      <c r="JFZ31" s="73"/>
      <c r="JGA31" s="73"/>
      <c r="JGB31" s="73"/>
      <c r="JGC31" s="73"/>
      <c r="JGD31" s="73"/>
      <c r="JGE31" s="73"/>
      <c r="JGF31" s="73"/>
      <c r="JGG31" s="73"/>
      <c r="JGH31" s="73"/>
      <c r="JGI31" s="73"/>
      <c r="JGJ31" s="73"/>
      <c r="JGK31" s="73"/>
      <c r="JGL31" s="73"/>
      <c r="JGM31" s="73"/>
      <c r="JGN31" s="73"/>
      <c r="JGO31" s="73"/>
      <c r="JGP31" s="73"/>
      <c r="JGQ31" s="73"/>
      <c r="JGR31" s="73"/>
      <c r="JGS31" s="73"/>
      <c r="JGT31" s="73"/>
      <c r="JGU31" s="73"/>
      <c r="JGV31" s="73"/>
      <c r="JGW31" s="73"/>
      <c r="JGX31" s="73"/>
      <c r="JGY31" s="73"/>
      <c r="JGZ31" s="73"/>
      <c r="JHA31" s="73"/>
      <c r="JHB31" s="73"/>
      <c r="JHC31" s="73"/>
      <c r="JHD31" s="73"/>
      <c r="JHE31" s="73"/>
      <c r="JHF31" s="73"/>
      <c r="JHG31" s="73"/>
      <c r="JHH31" s="73"/>
      <c r="JHI31" s="73"/>
      <c r="JHJ31" s="73"/>
      <c r="JHK31" s="73"/>
      <c r="JHL31" s="73"/>
      <c r="JHM31" s="73"/>
      <c r="JHN31" s="73"/>
      <c r="JHO31" s="73"/>
      <c r="JHP31" s="73"/>
      <c r="JHQ31" s="73"/>
      <c r="JHR31" s="73"/>
      <c r="JHS31" s="73"/>
      <c r="JHT31" s="73"/>
      <c r="JHU31" s="73"/>
      <c r="JHV31" s="73"/>
      <c r="JHW31" s="73"/>
      <c r="JHX31" s="73"/>
      <c r="JHY31" s="73"/>
      <c r="JHZ31" s="73"/>
      <c r="JIA31" s="73"/>
      <c r="JIB31" s="73"/>
      <c r="JIC31" s="73"/>
      <c r="JID31" s="73"/>
      <c r="JIE31" s="73"/>
      <c r="JIF31" s="73"/>
      <c r="JIG31" s="73"/>
      <c r="JIH31" s="73"/>
      <c r="JII31" s="73"/>
      <c r="JIJ31" s="73"/>
      <c r="JIK31" s="73"/>
      <c r="JIL31" s="73"/>
      <c r="JIM31" s="73"/>
      <c r="JIN31" s="73"/>
      <c r="JIO31" s="73"/>
      <c r="JIP31" s="73"/>
      <c r="JIQ31" s="73"/>
      <c r="JIR31" s="73"/>
      <c r="JIS31" s="73"/>
      <c r="JIT31" s="73"/>
      <c r="JIU31" s="73"/>
      <c r="JIV31" s="73"/>
      <c r="JIW31" s="73"/>
      <c r="JIX31" s="73"/>
      <c r="JIY31" s="73"/>
      <c r="JIZ31" s="73"/>
      <c r="JJA31" s="73"/>
      <c r="JJB31" s="73"/>
      <c r="JJC31" s="73"/>
      <c r="JJD31" s="73"/>
      <c r="JJE31" s="73"/>
      <c r="JJF31" s="73"/>
      <c r="JJG31" s="73"/>
      <c r="JJH31" s="73"/>
      <c r="JJI31" s="73"/>
      <c r="JJJ31" s="73"/>
      <c r="JJK31" s="73"/>
      <c r="JJL31" s="73"/>
      <c r="JJM31" s="73"/>
      <c r="JJN31" s="73"/>
      <c r="JJO31" s="73"/>
      <c r="JJP31" s="73"/>
      <c r="JJQ31" s="73"/>
      <c r="JJR31" s="73"/>
      <c r="JJS31" s="73"/>
      <c r="JJT31" s="73"/>
      <c r="JJU31" s="73"/>
      <c r="JJV31" s="73"/>
      <c r="JJW31" s="73"/>
      <c r="JJX31" s="73"/>
      <c r="JJY31" s="73"/>
      <c r="JJZ31" s="73"/>
      <c r="JKA31" s="73"/>
      <c r="JKB31" s="73"/>
      <c r="JKC31" s="73"/>
      <c r="JKD31" s="73"/>
      <c r="JKE31" s="73"/>
      <c r="JKF31" s="73"/>
      <c r="JKG31" s="73"/>
      <c r="JKH31" s="73"/>
      <c r="JKI31" s="73"/>
      <c r="JKJ31" s="73"/>
      <c r="JKK31" s="73"/>
      <c r="JKL31" s="73"/>
      <c r="JKM31" s="73"/>
      <c r="JKN31" s="73"/>
      <c r="JKO31" s="73"/>
      <c r="JKP31" s="73"/>
      <c r="JKQ31" s="73"/>
      <c r="JKR31" s="73"/>
      <c r="JKS31" s="73"/>
      <c r="JKT31" s="73"/>
      <c r="JKU31" s="73"/>
      <c r="JKV31" s="73"/>
      <c r="JKW31" s="73"/>
      <c r="JKX31" s="73"/>
      <c r="JKY31" s="73"/>
      <c r="JKZ31" s="73"/>
      <c r="JLA31" s="73"/>
      <c r="JLB31" s="73"/>
      <c r="JLC31" s="73"/>
      <c r="JLD31" s="73"/>
      <c r="JLE31" s="73"/>
      <c r="JLF31" s="73"/>
      <c r="JLG31" s="73"/>
      <c r="JLH31" s="73"/>
      <c r="JLI31" s="73"/>
      <c r="JLJ31" s="73"/>
      <c r="JLK31" s="73"/>
      <c r="JLL31" s="73"/>
      <c r="JLM31" s="73"/>
      <c r="JLN31" s="73"/>
      <c r="JLO31" s="73"/>
      <c r="JLP31" s="73"/>
      <c r="JLQ31" s="73"/>
      <c r="JLR31" s="73"/>
      <c r="JLS31" s="73"/>
      <c r="JLT31" s="73"/>
      <c r="JLU31" s="73"/>
      <c r="JLV31" s="73"/>
      <c r="JLW31" s="73"/>
      <c r="JLX31" s="73"/>
      <c r="JLY31" s="73"/>
      <c r="JLZ31" s="73"/>
      <c r="JMA31" s="73"/>
      <c r="JMB31" s="73"/>
      <c r="JMC31" s="73"/>
      <c r="JMD31" s="73"/>
      <c r="JME31" s="73"/>
      <c r="JMF31" s="73"/>
      <c r="JMG31" s="73"/>
      <c r="JMH31" s="73"/>
      <c r="JMI31" s="73"/>
      <c r="JMJ31" s="73"/>
      <c r="JMK31" s="73"/>
      <c r="JML31" s="73"/>
      <c r="JMM31" s="73"/>
      <c r="JMN31" s="73"/>
      <c r="JMO31" s="73"/>
      <c r="JMP31" s="73"/>
      <c r="JMQ31" s="73"/>
      <c r="JMR31" s="73"/>
      <c r="JMS31" s="73"/>
      <c r="JMT31" s="73"/>
      <c r="JMU31" s="73"/>
      <c r="JMV31" s="73"/>
      <c r="JMW31" s="73"/>
      <c r="JMX31" s="73"/>
      <c r="JMY31" s="73"/>
      <c r="JMZ31" s="73"/>
      <c r="JNA31" s="73"/>
      <c r="JNB31" s="73"/>
      <c r="JNC31" s="73"/>
      <c r="JND31" s="73"/>
      <c r="JNE31" s="73"/>
      <c r="JNF31" s="73"/>
      <c r="JNG31" s="73"/>
      <c r="JNH31" s="73"/>
      <c r="JNI31" s="73"/>
      <c r="JNJ31" s="73"/>
      <c r="JNK31" s="73"/>
      <c r="JNL31" s="73"/>
      <c r="JNM31" s="73"/>
      <c r="JNN31" s="73"/>
      <c r="JNO31" s="73"/>
      <c r="JNP31" s="73"/>
      <c r="JNQ31" s="73"/>
      <c r="JNR31" s="73"/>
      <c r="JNS31" s="73"/>
      <c r="JNT31" s="73"/>
      <c r="JNU31" s="73"/>
      <c r="JNV31" s="73"/>
      <c r="JNW31" s="73"/>
      <c r="JNX31" s="73"/>
      <c r="JNY31" s="73"/>
      <c r="JNZ31" s="73"/>
      <c r="JOA31" s="73"/>
      <c r="JOB31" s="73"/>
      <c r="JOC31" s="73"/>
      <c r="JOD31" s="73"/>
      <c r="JOE31" s="73"/>
      <c r="JOF31" s="73"/>
      <c r="JOG31" s="73"/>
      <c r="JOH31" s="73"/>
      <c r="JOI31" s="73"/>
      <c r="JOJ31" s="73"/>
      <c r="JOK31" s="73"/>
      <c r="JOL31" s="73"/>
      <c r="JOM31" s="73"/>
      <c r="JON31" s="73"/>
      <c r="JOO31" s="73"/>
      <c r="JOP31" s="73"/>
      <c r="JOQ31" s="73"/>
      <c r="JOR31" s="73"/>
      <c r="JOS31" s="73"/>
      <c r="JOT31" s="73"/>
      <c r="JOU31" s="73"/>
      <c r="JOV31" s="73"/>
      <c r="JOW31" s="73"/>
      <c r="JOX31" s="73"/>
      <c r="JOY31" s="73"/>
      <c r="JOZ31" s="73"/>
      <c r="JPA31" s="73"/>
      <c r="JPB31" s="73"/>
      <c r="JPC31" s="73"/>
      <c r="JPD31" s="73"/>
      <c r="JPE31" s="73"/>
      <c r="JPF31" s="73"/>
      <c r="JPG31" s="73"/>
      <c r="JPH31" s="73"/>
      <c r="JPI31" s="73"/>
      <c r="JPJ31" s="73"/>
      <c r="JPK31" s="73"/>
      <c r="JPL31" s="73"/>
      <c r="JPM31" s="73"/>
      <c r="JPN31" s="73"/>
      <c r="JPO31" s="73"/>
      <c r="JPP31" s="73"/>
      <c r="JPQ31" s="73"/>
      <c r="JPR31" s="73"/>
      <c r="JPS31" s="73"/>
      <c r="JPT31" s="73"/>
      <c r="JPU31" s="73"/>
      <c r="JPV31" s="73"/>
      <c r="JPW31" s="73"/>
      <c r="JPX31" s="73"/>
      <c r="JPY31" s="73"/>
      <c r="JPZ31" s="73"/>
      <c r="JQA31" s="73"/>
      <c r="JQB31" s="73"/>
      <c r="JQC31" s="73"/>
      <c r="JQD31" s="73"/>
      <c r="JQE31" s="73"/>
      <c r="JQF31" s="73"/>
      <c r="JQG31" s="73"/>
      <c r="JQH31" s="73"/>
      <c r="JQI31" s="73"/>
      <c r="JQJ31" s="73"/>
      <c r="JQK31" s="73"/>
      <c r="JQL31" s="73"/>
      <c r="JQM31" s="73"/>
      <c r="JQN31" s="73"/>
      <c r="JQO31" s="73"/>
      <c r="JQP31" s="73"/>
      <c r="JQQ31" s="73"/>
      <c r="JQR31" s="73"/>
      <c r="JQS31" s="73"/>
      <c r="JQT31" s="73"/>
      <c r="JQU31" s="73"/>
      <c r="JQV31" s="73"/>
      <c r="JQW31" s="73"/>
      <c r="JQX31" s="73"/>
      <c r="JQY31" s="73"/>
      <c r="JQZ31" s="73"/>
      <c r="JRA31" s="73"/>
      <c r="JRB31" s="73"/>
      <c r="JRC31" s="73"/>
      <c r="JRD31" s="73"/>
      <c r="JRE31" s="73"/>
      <c r="JRF31" s="73"/>
      <c r="JRG31" s="73"/>
      <c r="JRH31" s="73"/>
      <c r="JRI31" s="73"/>
      <c r="JRJ31" s="73"/>
      <c r="JRK31" s="73"/>
      <c r="JRL31" s="73"/>
      <c r="JRM31" s="73"/>
      <c r="JRN31" s="73"/>
      <c r="JRO31" s="73"/>
      <c r="JRP31" s="73"/>
      <c r="JRQ31" s="73"/>
      <c r="JRR31" s="73"/>
      <c r="JRS31" s="73"/>
      <c r="JRT31" s="73"/>
      <c r="JRU31" s="73"/>
      <c r="JRV31" s="73"/>
      <c r="JRW31" s="73"/>
      <c r="JRX31" s="73"/>
      <c r="JRY31" s="73"/>
      <c r="JRZ31" s="73"/>
      <c r="JSA31" s="73"/>
      <c r="JSB31" s="73"/>
      <c r="JSC31" s="73"/>
      <c r="JSD31" s="73"/>
      <c r="JSE31" s="73"/>
      <c r="JSF31" s="73"/>
      <c r="JSG31" s="73"/>
      <c r="JSH31" s="73"/>
      <c r="JSI31" s="73"/>
      <c r="JSJ31" s="73"/>
      <c r="JSK31" s="73"/>
      <c r="JSL31" s="73"/>
      <c r="JSM31" s="73"/>
      <c r="JSN31" s="73"/>
      <c r="JSO31" s="73"/>
      <c r="JSP31" s="73"/>
      <c r="JSQ31" s="73"/>
      <c r="JSR31" s="73"/>
      <c r="JSS31" s="73"/>
      <c r="JST31" s="73"/>
      <c r="JSU31" s="73"/>
      <c r="JSV31" s="73"/>
      <c r="JSW31" s="73"/>
      <c r="JSX31" s="73"/>
      <c r="JSY31" s="73"/>
      <c r="JSZ31" s="73"/>
      <c r="JTA31" s="73"/>
      <c r="JTB31" s="73"/>
      <c r="JTC31" s="73"/>
      <c r="JTD31" s="73"/>
      <c r="JTE31" s="73"/>
      <c r="JTF31" s="73"/>
      <c r="JTG31" s="73"/>
      <c r="JTH31" s="73"/>
      <c r="JTI31" s="73"/>
      <c r="JTJ31" s="73"/>
      <c r="JTK31" s="73"/>
      <c r="JTL31" s="73"/>
      <c r="JTM31" s="73"/>
      <c r="JTN31" s="73"/>
      <c r="JTO31" s="73"/>
      <c r="JTP31" s="73"/>
      <c r="JTQ31" s="73"/>
      <c r="JTR31" s="73"/>
      <c r="JTS31" s="73"/>
      <c r="JTT31" s="73"/>
      <c r="JTU31" s="73"/>
      <c r="JTV31" s="73"/>
      <c r="JTW31" s="73"/>
      <c r="JTX31" s="73"/>
      <c r="JTY31" s="73"/>
      <c r="JTZ31" s="73"/>
      <c r="JUA31" s="73"/>
      <c r="JUB31" s="73"/>
      <c r="JUC31" s="73"/>
      <c r="JUD31" s="73"/>
      <c r="JUE31" s="73"/>
      <c r="JUF31" s="73"/>
      <c r="JUG31" s="73"/>
      <c r="JUH31" s="73"/>
      <c r="JUI31" s="73"/>
      <c r="JUJ31" s="73"/>
      <c r="JUK31" s="73"/>
      <c r="JUL31" s="73"/>
      <c r="JUM31" s="73"/>
      <c r="JUN31" s="73"/>
      <c r="JUO31" s="73"/>
      <c r="JUP31" s="73"/>
      <c r="JUQ31" s="73"/>
      <c r="JUR31" s="73"/>
      <c r="JUS31" s="73"/>
      <c r="JUT31" s="73"/>
      <c r="JUU31" s="73"/>
      <c r="JUV31" s="73"/>
      <c r="JUW31" s="73"/>
      <c r="JUX31" s="73"/>
      <c r="JUY31" s="73"/>
      <c r="JUZ31" s="73"/>
      <c r="JVA31" s="73"/>
      <c r="JVB31" s="73"/>
      <c r="JVC31" s="73"/>
      <c r="JVD31" s="73"/>
      <c r="JVE31" s="73"/>
      <c r="JVF31" s="73"/>
      <c r="JVG31" s="73"/>
      <c r="JVH31" s="73"/>
      <c r="JVI31" s="73"/>
      <c r="JVJ31" s="73"/>
      <c r="JVK31" s="73"/>
      <c r="JVL31" s="73"/>
      <c r="JVM31" s="73"/>
      <c r="JVN31" s="73"/>
      <c r="JVO31" s="73"/>
      <c r="JVP31" s="73"/>
      <c r="JVQ31" s="73"/>
      <c r="JVR31" s="73"/>
      <c r="JVS31" s="73"/>
      <c r="JVT31" s="73"/>
      <c r="JVU31" s="73"/>
      <c r="JVV31" s="73"/>
      <c r="JVW31" s="73"/>
      <c r="JVX31" s="73"/>
      <c r="JVY31" s="73"/>
      <c r="JVZ31" s="73"/>
      <c r="JWA31" s="73"/>
      <c r="JWB31" s="73"/>
      <c r="JWC31" s="73"/>
      <c r="JWD31" s="73"/>
      <c r="JWE31" s="73"/>
      <c r="JWF31" s="73"/>
      <c r="JWG31" s="73"/>
      <c r="JWH31" s="73"/>
      <c r="JWI31" s="73"/>
      <c r="JWJ31" s="73"/>
      <c r="JWK31" s="73"/>
      <c r="JWL31" s="73"/>
      <c r="JWM31" s="73"/>
      <c r="JWN31" s="73"/>
      <c r="JWO31" s="73"/>
      <c r="JWP31" s="73"/>
      <c r="JWQ31" s="73"/>
      <c r="JWR31" s="73"/>
      <c r="JWS31" s="73"/>
      <c r="JWT31" s="73"/>
      <c r="JWU31" s="73"/>
      <c r="JWV31" s="73"/>
      <c r="JWW31" s="73"/>
      <c r="JWX31" s="73"/>
      <c r="JWY31" s="73"/>
      <c r="JWZ31" s="73"/>
      <c r="JXA31" s="73"/>
      <c r="JXB31" s="73"/>
      <c r="JXC31" s="73"/>
      <c r="JXD31" s="73"/>
      <c r="JXE31" s="73"/>
      <c r="JXF31" s="73"/>
      <c r="JXG31" s="73"/>
      <c r="JXH31" s="73"/>
      <c r="JXI31" s="73"/>
      <c r="JXJ31" s="73"/>
      <c r="JXK31" s="73"/>
      <c r="JXL31" s="73"/>
      <c r="JXM31" s="73"/>
      <c r="JXN31" s="73"/>
      <c r="JXO31" s="73"/>
      <c r="JXP31" s="73"/>
      <c r="JXQ31" s="73"/>
      <c r="JXR31" s="73"/>
      <c r="JXS31" s="73"/>
      <c r="JXT31" s="73"/>
      <c r="JXU31" s="73"/>
      <c r="JXV31" s="73"/>
      <c r="JXW31" s="73"/>
      <c r="JXX31" s="73"/>
      <c r="JXY31" s="73"/>
      <c r="JXZ31" s="73"/>
      <c r="JYA31" s="73"/>
      <c r="JYB31" s="73"/>
      <c r="JYC31" s="73"/>
      <c r="JYD31" s="73"/>
      <c r="JYE31" s="73"/>
      <c r="JYF31" s="73"/>
      <c r="JYG31" s="73"/>
      <c r="JYH31" s="73"/>
      <c r="JYI31" s="73"/>
      <c r="JYJ31" s="73"/>
      <c r="JYK31" s="73"/>
      <c r="JYL31" s="73"/>
      <c r="JYM31" s="73"/>
      <c r="JYN31" s="73"/>
      <c r="JYO31" s="73"/>
      <c r="JYP31" s="73"/>
      <c r="JYQ31" s="73"/>
      <c r="JYR31" s="73"/>
      <c r="JYS31" s="73"/>
      <c r="JYT31" s="73"/>
      <c r="JYU31" s="73"/>
      <c r="JYV31" s="73"/>
      <c r="JYW31" s="73"/>
      <c r="JYX31" s="73"/>
      <c r="JYY31" s="73"/>
      <c r="JYZ31" s="73"/>
      <c r="JZA31" s="73"/>
      <c r="JZB31" s="73"/>
      <c r="JZC31" s="73"/>
      <c r="JZD31" s="73"/>
      <c r="JZE31" s="73"/>
      <c r="JZF31" s="73"/>
      <c r="JZG31" s="73"/>
      <c r="JZH31" s="73"/>
      <c r="JZI31" s="73"/>
      <c r="JZJ31" s="73"/>
      <c r="JZK31" s="73"/>
      <c r="JZL31" s="73"/>
      <c r="JZM31" s="73"/>
      <c r="JZN31" s="73"/>
      <c r="JZO31" s="73"/>
      <c r="JZP31" s="73"/>
      <c r="JZQ31" s="73"/>
      <c r="JZR31" s="73"/>
      <c r="JZS31" s="73"/>
      <c r="JZT31" s="73"/>
      <c r="JZU31" s="73"/>
      <c r="JZV31" s="73"/>
      <c r="JZW31" s="73"/>
      <c r="JZX31" s="73"/>
      <c r="JZY31" s="73"/>
      <c r="JZZ31" s="73"/>
      <c r="KAA31" s="73"/>
      <c r="KAB31" s="73"/>
      <c r="KAC31" s="73"/>
      <c r="KAD31" s="73"/>
      <c r="KAE31" s="73"/>
      <c r="KAF31" s="73"/>
      <c r="KAG31" s="73"/>
      <c r="KAH31" s="73"/>
      <c r="KAI31" s="73"/>
      <c r="KAJ31" s="73"/>
      <c r="KAK31" s="73"/>
      <c r="KAL31" s="73"/>
      <c r="KAM31" s="73"/>
      <c r="KAN31" s="73"/>
      <c r="KAO31" s="73"/>
      <c r="KAP31" s="73"/>
      <c r="KAQ31" s="73"/>
      <c r="KAR31" s="73"/>
      <c r="KAS31" s="73"/>
      <c r="KAT31" s="73"/>
      <c r="KAU31" s="73"/>
      <c r="KAV31" s="73"/>
      <c r="KAW31" s="73"/>
      <c r="KAX31" s="73"/>
      <c r="KAY31" s="73"/>
      <c r="KAZ31" s="73"/>
      <c r="KBA31" s="73"/>
      <c r="KBB31" s="73"/>
      <c r="KBC31" s="73"/>
      <c r="KBD31" s="73"/>
      <c r="KBE31" s="73"/>
      <c r="KBF31" s="73"/>
      <c r="KBG31" s="73"/>
      <c r="KBH31" s="73"/>
      <c r="KBI31" s="73"/>
      <c r="KBJ31" s="73"/>
      <c r="KBK31" s="73"/>
      <c r="KBL31" s="73"/>
      <c r="KBM31" s="73"/>
      <c r="KBN31" s="73"/>
      <c r="KBO31" s="73"/>
      <c r="KBP31" s="73"/>
      <c r="KBQ31" s="73"/>
      <c r="KBR31" s="73"/>
      <c r="KBS31" s="73"/>
      <c r="KBT31" s="73"/>
      <c r="KBU31" s="73"/>
      <c r="KBV31" s="73"/>
      <c r="KBW31" s="73"/>
      <c r="KBX31" s="73"/>
      <c r="KBY31" s="73"/>
      <c r="KBZ31" s="73"/>
      <c r="KCA31" s="73"/>
      <c r="KCB31" s="73"/>
      <c r="KCC31" s="73"/>
      <c r="KCD31" s="73"/>
      <c r="KCE31" s="73"/>
      <c r="KCF31" s="73"/>
      <c r="KCG31" s="73"/>
      <c r="KCH31" s="73"/>
      <c r="KCI31" s="73"/>
      <c r="KCJ31" s="73"/>
      <c r="KCK31" s="73"/>
      <c r="KCL31" s="73"/>
      <c r="KCM31" s="73"/>
      <c r="KCN31" s="73"/>
      <c r="KCO31" s="73"/>
      <c r="KCP31" s="73"/>
      <c r="KCQ31" s="73"/>
      <c r="KCR31" s="73"/>
      <c r="KCS31" s="73"/>
      <c r="KCT31" s="73"/>
      <c r="KCU31" s="73"/>
      <c r="KCV31" s="73"/>
      <c r="KCW31" s="73"/>
      <c r="KCX31" s="73"/>
      <c r="KCY31" s="73"/>
      <c r="KCZ31" s="73"/>
      <c r="KDA31" s="73"/>
      <c r="KDB31" s="73"/>
      <c r="KDC31" s="73"/>
      <c r="KDD31" s="73"/>
      <c r="KDE31" s="73"/>
      <c r="KDF31" s="73"/>
      <c r="KDG31" s="73"/>
      <c r="KDH31" s="73"/>
      <c r="KDI31" s="73"/>
      <c r="KDJ31" s="73"/>
      <c r="KDK31" s="73"/>
      <c r="KDL31" s="73"/>
      <c r="KDM31" s="73"/>
      <c r="KDN31" s="73"/>
      <c r="KDO31" s="73"/>
      <c r="KDP31" s="73"/>
      <c r="KDQ31" s="73"/>
      <c r="KDR31" s="73"/>
      <c r="KDS31" s="73"/>
      <c r="KDT31" s="73"/>
      <c r="KDU31" s="73"/>
      <c r="KDV31" s="73"/>
      <c r="KDW31" s="73"/>
      <c r="KDX31" s="73"/>
      <c r="KDY31" s="73"/>
      <c r="KDZ31" s="73"/>
      <c r="KEA31" s="73"/>
      <c r="KEB31" s="73"/>
      <c r="KEC31" s="73"/>
      <c r="KED31" s="73"/>
      <c r="KEE31" s="73"/>
      <c r="KEF31" s="73"/>
      <c r="KEG31" s="73"/>
      <c r="KEH31" s="73"/>
      <c r="KEI31" s="73"/>
      <c r="KEJ31" s="73"/>
      <c r="KEK31" s="73"/>
      <c r="KEL31" s="73"/>
      <c r="KEM31" s="73"/>
      <c r="KEN31" s="73"/>
      <c r="KEO31" s="73"/>
      <c r="KEP31" s="73"/>
      <c r="KEQ31" s="73"/>
      <c r="KER31" s="73"/>
      <c r="KES31" s="73"/>
      <c r="KET31" s="73"/>
      <c r="KEU31" s="73"/>
      <c r="KEV31" s="73"/>
      <c r="KEW31" s="73"/>
      <c r="KEX31" s="73"/>
      <c r="KEY31" s="73"/>
      <c r="KEZ31" s="73"/>
      <c r="KFA31" s="73"/>
      <c r="KFB31" s="73"/>
      <c r="KFC31" s="73"/>
      <c r="KFD31" s="73"/>
      <c r="KFE31" s="73"/>
      <c r="KFF31" s="73"/>
      <c r="KFG31" s="73"/>
      <c r="KFH31" s="73"/>
      <c r="KFI31" s="73"/>
      <c r="KFJ31" s="73"/>
      <c r="KFK31" s="73"/>
      <c r="KFL31" s="73"/>
      <c r="KFM31" s="73"/>
      <c r="KFN31" s="73"/>
      <c r="KFO31" s="73"/>
      <c r="KFP31" s="73"/>
      <c r="KFQ31" s="73"/>
      <c r="KFR31" s="73"/>
      <c r="KFS31" s="73"/>
      <c r="KFT31" s="73"/>
      <c r="KFU31" s="73"/>
      <c r="KFV31" s="73"/>
      <c r="KFW31" s="73"/>
      <c r="KFX31" s="73"/>
      <c r="KFY31" s="73"/>
      <c r="KFZ31" s="73"/>
      <c r="KGA31" s="73"/>
      <c r="KGB31" s="73"/>
      <c r="KGC31" s="73"/>
      <c r="KGD31" s="73"/>
      <c r="KGE31" s="73"/>
      <c r="KGF31" s="73"/>
      <c r="KGG31" s="73"/>
      <c r="KGH31" s="73"/>
      <c r="KGI31" s="73"/>
      <c r="KGJ31" s="73"/>
      <c r="KGK31" s="73"/>
      <c r="KGL31" s="73"/>
      <c r="KGM31" s="73"/>
      <c r="KGN31" s="73"/>
      <c r="KGO31" s="73"/>
      <c r="KGP31" s="73"/>
      <c r="KGQ31" s="73"/>
      <c r="KGR31" s="73"/>
      <c r="KGS31" s="73"/>
      <c r="KGT31" s="73"/>
      <c r="KGU31" s="73"/>
      <c r="KGV31" s="73"/>
      <c r="KGW31" s="73"/>
      <c r="KGX31" s="73"/>
      <c r="KGY31" s="73"/>
      <c r="KGZ31" s="73"/>
      <c r="KHA31" s="73"/>
      <c r="KHB31" s="73"/>
      <c r="KHC31" s="73"/>
      <c r="KHD31" s="73"/>
      <c r="KHE31" s="73"/>
      <c r="KHF31" s="73"/>
      <c r="KHG31" s="73"/>
      <c r="KHH31" s="73"/>
      <c r="KHI31" s="73"/>
      <c r="KHJ31" s="73"/>
      <c r="KHK31" s="73"/>
      <c r="KHL31" s="73"/>
      <c r="KHM31" s="73"/>
      <c r="KHN31" s="73"/>
      <c r="KHO31" s="73"/>
      <c r="KHP31" s="73"/>
      <c r="KHQ31" s="73"/>
      <c r="KHR31" s="73"/>
      <c r="KHS31" s="73"/>
      <c r="KHT31" s="73"/>
      <c r="KHU31" s="73"/>
      <c r="KHV31" s="73"/>
      <c r="KHW31" s="73"/>
      <c r="KHX31" s="73"/>
      <c r="KHY31" s="73"/>
      <c r="KHZ31" s="73"/>
      <c r="KIA31" s="73"/>
      <c r="KIB31" s="73"/>
      <c r="KIC31" s="73"/>
      <c r="KID31" s="73"/>
      <c r="KIE31" s="73"/>
      <c r="KIF31" s="73"/>
      <c r="KIG31" s="73"/>
      <c r="KIH31" s="73"/>
      <c r="KII31" s="73"/>
      <c r="KIJ31" s="73"/>
      <c r="KIK31" s="73"/>
      <c r="KIL31" s="73"/>
      <c r="KIM31" s="73"/>
      <c r="KIN31" s="73"/>
      <c r="KIO31" s="73"/>
      <c r="KIP31" s="73"/>
      <c r="KIQ31" s="73"/>
      <c r="KIR31" s="73"/>
      <c r="KIS31" s="73"/>
      <c r="KIT31" s="73"/>
      <c r="KIU31" s="73"/>
      <c r="KIV31" s="73"/>
      <c r="KIW31" s="73"/>
      <c r="KIX31" s="73"/>
      <c r="KIY31" s="73"/>
      <c r="KIZ31" s="73"/>
      <c r="KJA31" s="73"/>
      <c r="KJB31" s="73"/>
      <c r="KJC31" s="73"/>
      <c r="KJD31" s="73"/>
      <c r="KJE31" s="73"/>
      <c r="KJF31" s="73"/>
      <c r="KJG31" s="73"/>
      <c r="KJH31" s="73"/>
      <c r="KJI31" s="73"/>
      <c r="KJJ31" s="73"/>
      <c r="KJK31" s="73"/>
      <c r="KJL31" s="73"/>
      <c r="KJM31" s="73"/>
      <c r="KJN31" s="73"/>
      <c r="KJO31" s="73"/>
      <c r="KJP31" s="73"/>
      <c r="KJQ31" s="73"/>
      <c r="KJR31" s="73"/>
      <c r="KJS31" s="73"/>
      <c r="KJT31" s="73"/>
      <c r="KJU31" s="73"/>
      <c r="KJV31" s="73"/>
      <c r="KJW31" s="73"/>
      <c r="KJX31" s="73"/>
      <c r="KJY31" s="73"/>
      <c r="KJZ31" s="73"/>
      <c r="KKA31" s="73"/>
      <c r="KKB31" s="73"/>
      <c r="KKC31" s="73"/>
      <c r="KKD31" s="73"/>
      <c r="KKE31" s="73"/>
      <c r="KKF31" s="73"/>
      <c r="KKG31" s="73"/>
      <c r="KKH31" s="73"/>
      <c r="KKI31" s="73"/>
      <c r="KKJ31" s="73"/>
      <c r="KKK31" s="73"/>
      <c r="KKL31" s="73"/>
      <c r="KKM31" s="73"/>
      <c r="KKN31" s="73"/>
      <c r="KKO31" s="73"/>
      <c r="KKP31" s="73"/>
      <c r="KKQ31" s="73"/>
      <c r="KKR31" s="73"/>
      <c r="KKS31" s="73"/>
      <c r="KKT31" s="73"/>
      <c r="KKU31" s="73"/>
      <c r="KKV31" s="73"/>
      <c r="KKW31" s="73"/>
      <c r="KKX31" s="73"/>
      <c r="KKY31" s="73"/>
      <c r="KKZ31" s="73"/>
      <c r="KLA31" s="73"/>
      <c r="KLB31" s="73"/>
      <c r="KLC31" s="73"/>
      <c r="KLD31" s="73"/>
      <c r="KLE31" s="73"/>
      <c r="KLF31" s="73"/>
      <c r="KLG31" s="73"/>
      <c r="KLH31" s="73"/>
      <c r="KLI31" s="73"/>
      <c r="KLJ31" s="73"/>
      <c r="KLK31" s="73"/>
      <c r="KLL31" s="73"/>
      <c r="KLM31" s="73"/>
      <c r="KLN31" s="73"/>
      <c r="KLO31" s="73"/>
      <c r="KLP31" s="73"/>
      <c r="KLQ31" s="73"/>
      <c r="KLR31" s="73"/>
      <c r="KLS31" s="73"/>
      <c r="KLT31" s="73"/>
      <c r="KLU31" s="73"/>
      <c r="KLV31" s="73"/>
      <c r="KLW31" s="73"/>
      <c r="KLX31" s="73"/>
      <c r="KLY31" s="73"/>
      <c r="KLZ31" s="73"/>
      <c r="KMA31" s="73"/>
      <c r="KMB31" s="73"/>
      <c r="KMC31" s="73"/>
      <c r="KMD31" s="73"/>
      <c r="KME31" s="73"/>
      <c r="KMF31" s="73"/>
      <c r="KMG31" s="73"/>
      <c r="KMH31" s="73"/>
      <c r="KMI31" s="73"/>
      <c r="KMJ31" s="73"/>
      <c r="KMK31" s="73"/>
      <c r="KML31" s="73"/>
      <c r="KMM31" s="73"/>
      <c r="KMN31" s="73"/>
      <c r="KMO31" s="73"/>
      <c r="KMP31" s="73"/>
      <c r="KMQ31" s="73"/>
      <c r="KMR31" s="73"/>
      <c r="KMS31" s="73"/>
      <c r="KMT31" s="73"/>
      <c r="KMU31" s="73"/>
      <c r="KMV31" s="73"/>
      <c r="KMW31" s="73"/>
      <c r="KMX31" s="73"/>
      <c r="KMY31" s="73"/>
      <c r="KMZ31" s="73"/>
      <c r="KNA31" s="73"/>
      <c r="KNB31" s="73"/>
      <c r="KNC31" s="73"/>
      <c r="KND31" s="73"/>
      <c r="KNE31" s="73"/>
      <c r="KNF31" s="73"/>
      <c r="KNG31" s="73"/>
      <c r="KNH31" s="73"/>
      <c r="KNI31" s="73"/>
      <c r="KNJ31" s="73"/>
      <c r="KNK31" s="73"/>
      <c r="KNL31" s="73"/>
      <c r="KNM31" s="73"/>
      <c r="KNN31" s="73"/>
      <c r="KNO31" s="73"/>
      <c r="KNP31" s="73"/>
      <c r="KNQ31" s="73"/>
      <c r="KNR31" s="73"/>
      <c r="KNS31" s="73"/>
      <c r="KNT31" s="73"/>
      <c r="KNU31" s="73"/>
      <c r="KNV31" s="73"/>
      <c r="KNW31" s="73"/>
      <c r="KNX31" s="73"/>
      <c r="KNY31" s="73"/>
      <c r="KNZ31" s="73"/>
      <c r="KOA31" s="73"/>
      <c r="KOB31" s="73"/>
      <c r="KOC31" s="73"/>
      <c r="KOD31" s="73"/>
      <c r="KOE31" s="73"/>
      <c r="KOF31" s="73"/>
      <c r="KOG31" s="73"/>
      <c r="KOH31" s="73"/>
      <c r="KOI31" s="73"/>
      <c r="KOJ31" s="73"/>
      <c r="KOK31" s="73"/>
      <c r="KOL31" s="73"/>
      <c r="KOM31" s="73"/>
      <c r="KON31" s="73"/>
      <c r="KOO31" s="73"/>
      <c r="KOP31" s="73"/>
      <c r="KOQ31" s="73"/>
      <c r="KOR31" s="73"/>
      <c r="KOS31" s="73"/>
      <c r="KOT31" s="73"/>
      <c r="KOU31" s="73"/>
      <c r="KOV31" s="73"/>
      <c r="KOW31" s="73"/>
      <c r="KOX31" s="73"/>
      <c r="KOY31" s="73"/>
      <c r="KOZ31" s="73"/>
      <c r="KPA31" s="73"/>
      <c r="KPB31" s="73"/>
      <c r="KPC31" s="73"/>
      <c r="KPD31" s="73"/>
      <c r="KPE31" s="73"/>
      <c r="KPF31" s="73"/>
      <c r="KPG31" s="73"/>
      <c r="KPH31" s="73"/>
      <c r="KPI31" s="73"/>
      <c r="KPJ31" s="73"/>
      <c r="KPK31" s="73"/>
      <c r="KPL31" s="73"/>
      <c r="KPM31" s="73"/>
      <c r="KPN31" s="73"/>
      <c r="KPO31" s="73"/>
      <c r="KPP31" s="73"/>
      <c r="KPQ31" s="73"/>
      <c r="KPR31" s="73"/>
      <c r="KPS31" s="73"/>
      <c r="KPT31" s="73"/>
      <c r="KPU31" s="73"/>
      <c r="KPV31" s="73"/>
      <c r="KPW31" s="73"/>
      <c r="KPX31" s="73"/>
      <c r="KPY31" s="73"/>
      <c r="KPZ31" s="73"/>
      <c r="KQA31" s="73"/>
      <c r="KQB31" s="73"/>
      <c r="KQC31" s="73"/>
      <c r="KQD31" s="73"/>
      <c r="KQE31" s="73"/>
      <c r="KQF31" s="73"/>
      <c r="KQG31" s="73"/>
      <c r="KQH31" s="73"/>
      <c r="KQI31" s="73"/>
      <c r="KQJ31" s="73"/>
      <c r="KQK31" s="73"/>
      <c r="KQL31" s="73"/>
      <c r="KQM31" s="73"/>
      <c r="KQN31" s="73"/>
      <c r="KQO31" s="73"/>
      <c r="KQP31" s="73"/>
      <c r="KQQ31" s="73"/>
      <c r="KQR31" s="73"/>
      <c r="KQS31" s="73"/>
      <c r="KQT31" s="73"/>
      <c r="KQU31" s="73"/>
      <c r="KQV31" s="73"/>
      <c r="KQW31" s="73"/>
      <c r="KQX31" s="73"/>
      <c r="KQY31" s="73"/>
      <c r="KQZ31" s="73"/>
      <c r="KRA31" s="73"/>
      <c r="KRB31" s="73"/>
      <c r="KRC31" s="73"/>
      <c r="KRD31" s="73"/>
      <c r="KRE31" s="73"/>
      <c r="KRF31" s="73"/>
      <c r="KRG31" s="73"/>
      <c r="KRH31" s="73"/>
      <c r="KRI31" s="73"/>
      <c r="KRJ31" s="73"/>
      <c r="KRK31" s="73"/>
      <c r="KRL31" s="73"/>
      <c r="KRM31" s="73"/>
      <c r="KRN31" s="73"/>
      <c r="KRO31" s="73"/>
      <c r="KRP31" s="73"/>
      <c r="KRQ31" s="73"/>
      <c r="KRR31" s="73"/>
      <c r="KRS31" s="73"/>
      <c r="KRT31" s="73"/>
      <c r="KRU31" s="73"/>
      <c r="KRV31" s="73"/>
      <c r="KRW31" s="73"/>
      <c r="KRX31" s="73"/>
      <c r="KRY31" s="73"/>
      <c r="KRZ31" s="73"/>
      <c r="KSA31" s="73"/>
      <c r="KSB31" s="73"/>
      <c r="KSC31" s="73"/>
      <c r="KSD31" s="73"/>
      <c r="KSE31" s="73"/>
      <c r="KSF31" s="73"/>
      <c r="KSG31" s="73"/>
      <c r="KSH31" s="73"/>
      <c r="KSI31" s="73"/>
      <c r="KSJ31" s="73"/>
      <c r="KSK31" s="73"/>
      <c r="KSL31" s="73"/>
      <c r="KSM31" s="73"/>
      <c r="KSN31" s="73"/>
      <c r="KSO31" s="73"/>
      <c r="KSP31" s="73"/>
      <c r="KSQ31" s="73"/>
      <c r="KSR31" s="73"/>
      <c r="KSS31" s="73"/>
      <c r="KST31" s="73"/>
      <c r="KSU31" s="73"/>
      <c r="KSV31" s="73"/>
      <c r="KSW31" s="73"/>
      <c r="KSX31" s="73"/>
      <c r="KSY31" s="73"/>
      <c r="KSZ31" s="73"/>
      <c r="KTA31" s="73"/>
      <c r="KTB31" s="73"/>
      <c r="KTC31" s="73"/>
      <c r="KTD31" s="73"/>
      <c r="KTE31" s="73"/>
      <c r="KTF31" s="73"/>
      <c r="KTG31" s="73"/>
      <c r="KTH31" s="73"/>
      <c r="KTI31" s="73"/>
      <c r="KTJ31" s="73"/>
      <c r="KTK31" s="73"/>
      <c r="KTL31" s="73"/>
      <c r="KTM31" s="73"/>
      <c r="KTN31" s="73"/>
      <c r="KTO31" s="73"/>
      <c r="KTP31" s="73"/>
      <c r="KTQ31" s="73"/>
      <c r="KTR31" s="73"/>
      <c r="KTS31" s="73"/>
      <c r="KTT31" s="73"/>
      <c r="KTU31" s="73"/>
      <c r="KTV31" s="73"/>
      <c r="KTW31" s="73"/>
      <c r="KTX31" s="73"/>
      <c r="KTY31" s="73"/>
      <c r="KTZ31" s="73"/>
      <c r="KUA31" s="73"/>
      <c r="KUB31" s="73"/>
      <c r="KUC31" s="73"/>
      <c r="KUD31" s="73"/>
      <c r="KUE31" s="73"/>
      <c r="KUF31" s="73"/>
      <c r="KUG31" s="73"/>
      <c r="KUH31" s="73"/>
      <c r="KUI31" s="73"/>
      <c r="KUJ31" s="73"/>
      <c r="KUK31" s="73"/>
      <c r="KUL31" s="73"/>
      <c r="KUM31" s="73"/>
      <c r="KUN31" s="73"/>
      <c r="KUO31" s="73"/>
      <c r="KUP31" s="73"/>
      <c r="KUQ31" s="73"/>
      <c r="KUR31" s="73"/>
      <c r="KUS31" s="73"/>
      <c r="KUT31" s="73"/>
      <c r="KUU31" s="73"/>
      <c r="KUV31" s="73"/>
      <c r="KUW31" s="73"/>
      <c r="KUX31" s="73"/>
      <c r="KUY31" s="73"/>
      <c r="KUZ31" s="73"/>
      <c r="KVA31" s="73"/>
      <c r="KVB31" s="73"/>
      <c r="KVC31" s="73"/>
      <c r="KVD31" s="73"/>
      <c r="KVE31" s="73"/>
      <c r="KVF31" s="73"/>
      <c r="KVG31" s="73"/>
      <c r="KVH31" s="73"/>
      <c r="KVI31" s="73"/>
      <c r="KVJ31" s="73"/>
      <c r="KVK31" s="73"/>
      <c r="KVL31" s="73"/>
      <c r="KVM31" s="73"/>
      <c r="KVN31" s="73"/>
      <c r="KVO31" s="73"/>
      <c r="KVP31" s="73"/>
      <c r="KVQ31" s="73"/>
      <c r="KVR31" s="73"/>
      <c r="KVS31" s="73"/>
      <c r="KVT31" s="73"/>
      <c r="KVU31" s="73"/>
      <c r="KVV31" s="73"/>
      <c r="KVW31" s="73"/>
      <c r="KVX31" s="73"/>
      <c r="KVY31" s="73"/>
      <c r="KVZ31" s="73"/>
      <c r="KWA31" s="73"/>
      <c r="KWB31" s="73"/>
      <c r="KWC31" s="73"/>
      <c r="KWD31" s="73"/>
      <c r="KWE31" s="73"/>
      <c r="KWF31" s="73"/>
      <c r="KWG31" s="73"/>
      <c r="KWH31" s="73"/>
      <c r="KWI31" s="73"/>
      <c r="KWJ31" s="73"/>
      <c r="KWK31" s="73"/>
      <c r="KWL31" s="73"/>
      <c r="KWM31" s="73"/>
      <c r="KWN31" s="73"/>
      <c r="KWO31" s="73"/>
      <c r="KWP31" s="73"/>
      <c r="KWQ31" s="73"/>
      <c r="KWR31" s="73"/>
      <c r="KWS31" s="73"/>
      <c r="KWT31" s="73"/>
      <c r="KWU31" s="73"/>
      <c r="KWV31" s="73"/>
      <c r="KWW31" s="73"/>
      <c r="KWX31" s="73"/>
      <c r="KWY31" s="73"/>
      <c r="KWZ31" s="73"/>
      <c r="KXA31" s="73"/>
      <c r="KXB31" s="73"/>
      <c r="KXC31" s="73"/>
      <c r="KXD31" s="73"/>
      <c r="KXE31" s="73"/>
      <c r="KXF31" s="73"/>
      <c r="KXG31" s="73"/>
      <c r="KXH31" s="73"/>
      <c r="KXI31" s="73"/>
      <c r="KXJ31" s="73"/>
      <c r="KXK31" s="73"/>
      <c r="KXL31" s="73"/>
      <c r="KXM31" s="73"/>
      <c r="KXN31" s="73"/>
      <c r="KXO31" s="73"/>
      <c r="KXP31" s="73"/>
      <c r="KXQ31" s="73"/>
      <c r="KXR31" s="73"/>
      <c r="KXS31" s="73"/>
      <c r="KXT31" s="73"/>
      <c r="KXU31" s="73"/>
      <c r="KXV31" s="73"/>
      <c r="KXW31" s="73"/>
      <c r="KXX31" s="73"/>
      <c r="KXY31" s="73"/>
      <c r="KXZ31" s="73"/>
      <c r="KYA31" s="73"/>
      <c r="KYB31" s="73"/>
      <c r="KYC31" s="73"/>
      <c r="KYD31" s="73"/>
      <c r="KYE31" s="73"/>
      <c r="KYF31" s="73"/>
      <c r="KYG31" s="73"/>
      <c r="KYH31" s="73"/>
      <c r="KYI31" s="73"/>
      <c r="KYJ31" s="73"/>
      <c r="KYK31" s="73"/>
      <c r="KYL31" s="73"/>
      <c r="KYM31" s="73"/>
      <c r="KYN31" s="73"/>
      <c r="KYO31" s="73"/>
      <c r="KYP31" s="73"/>
      <c r="KYQ31" s="73"/>
      <c r="KYR31" s="73"/>
      <c r="KYS31" s="73"/>
      <c r="KYT31" s="73"/>
      <c r="KYU31" s="73"/>
      <c r="KYV31" s="73"/>
      <c r="KYW31" s="73"/>
      <c r="KYX31" s="73"/>
      <c r="KYY31" s="73"/>
      <c r="KYZ31" s="73"/>
      <c r="KZA31" s="73"/>
      <c r="KZB31" s="73"/>
      <c r="KZC31" s="73"/>
      <c r="KZD31" s="73"/>
      <c r="KZE31" s="73"/>
      <c r="KZF31" s="73"/>
      <c r="KZG31" s="73"/>
      <c r="KZH31" s="73"/>
      <c r="KZI31" s="73"/>
      <c r="KZJ31" s="73"/>
      <c r="KZK31" s="73"/>
      <c r="KZL31" s="73"/>
      <c r="KZM31" s="73"/>
      <c r="KZN31" s="73"/>
      <c r="KZO31" s="73"/>
      <c r="KZP31" s="73"/>
      <c r="KZQ31" s="73"/>
      <c r="KZR31" s="73"/>
      <c r="KZS31" s="73"/>
      <c r="KZT31" s="73"/>
      <c r="KZU31" s="73"/>
      <c r="KZV31" s="73"/>
      <c r="KZW31" s="73"/>
      <c r="KZX31" s="73"/>
      <c r="KZY31" s="73"/>
      <c r="KZZ31" s="73"/>
      <c r="LAA31" s="73"/>
      <c r="LAB31" s="73"/>
      <c r="LAC31" s="73"/>
      <c r="LAD31" s="73"/>
      <c r="LAE31" s="73"/>
      <c r="LAF31" s="73"/>
      <c r="LAG31" s="73"/>
      <c r="LAH31" s="73"/>
      <c r="LAI31" s="73"/>
      <c r="LAJ31" s="73"/>
      <c r="LAK31" s="73"/>
      <c r="LAL31" s="73"/>
      <c r="LAM31" s="73"/>
      <c r="LAN31" s="73"/>
      <c r="LAO31" s="73"/>
      <c r="LAP31" s="73"/>
      <c r="LAQ31" s="73"/>
      <c r="LAR31" s="73"/>
      <c r="LAS31" s="73"/>
      <c r="LAT31" s="73"/>
      <c r="LAU31" s="73"/>
      <c r="LAV31" s="73"/>
      <c r="LAW31" s="73"/>
      <c r="LAX31" s="73"/>
      <c r="LAY31" s="73"/>
      <c r="LAZ31" s="73"/>
      <c r="LBA31" s="73"/>
      <c r="LBB31" s="73"/>
      <c r="LBC31" s="73"/>
      <c r="LBD31" s="73"/>
      <c r="LBE31" s="73"/>
      <c r="LBF31" s="73"/>
      <c r="LBG31" s="73"/>
      <c r="LBH31" s="73"/>
      <c r="LBI31" s="73"/>
      <c r="LBJ31" s="73"/>
      <c r="LBK31" s="73"/>
      <c r="LBL31" s="73"/>
      <c r="LBM31" s="73"/>
      <c r="LBN31" s="73"/>
      <c r="LBO31" s="73"/>
      <c r="LBP31" s="73"/>
      <c r="LBQ31" s="73"/>
      <c r="LBR31" s="73"/>
      <c r="LBS31" s="73"/>
      <c r="LBT31" s="73"/>
      <c r="LBU31" s="73"/>
      <c r="LBV31" s="73"/>
      <c r="LBW31" s="73"/>
      <c r="LBX31" s="73"/>
      <c r="LBY31" s="73"/>
      <c r="LBZ31" s="73"/>
      <c r="LCA31" s="73"/>
      <c r="LCB31" s="73"/>
      <c r="LCC31" s="73"/>
      <c r="LCD31" s="73"/>
      <c r="LCE31" s="73"/>
      <c r="LCF31" s="73"/>
      <c r="LCG31" s="73"/>
      <c r="LCH31" s="73"/>
      <c r="LCI31" s="73"/>
      <c r="LCJ31" s="73"/>
      <c r="LCK31" s="73"/>
      <c r="LCL31" s="73"/>
      <c r="LCM31" s="73"/>
      <c r="LCN31" s="73"/>
      <c r="LCO31" s="73"/>
      <c r="LCP31" s="73"/>
      <c r="LCQ31" s="73"/>
      <c r="LCR31" s="73"/>
      <c r="LCS31" s="73"/>
      <c r="LCT31" s="73"/>
      <c r="LCU31" s="73"/>
      <c r="LCV31" s="73"/>
      <c r="LCW31" s="73"/>
      <c r="LCX31" s="73"/>
      <c r="LCY31" s="73"/>
      <c r="LCZ31" s="73"/>
      <c r="LDA31" s="73"/>
      <c r="LDB31" s="73"/>
      <c r="LDC31" s="73"/>
      <c r="LDD31" s="73"/>
      <c r="LDE31" s="73"/>
      <c r="LDF31" s="73"/>
      <c r="LDG31" s="73"/>
      <c r="LDH31" s="73"/>
      <c r="LDI31" s="73"/>
      <c r="LDJ31" s="73"/>
      <c r="LDK31" s="73"/>
      <c r="LDL31" s="73"/>
      <c r="LDM31" s="73"/>
      <c r="LDN31" s="73"/>
      <c r="LDO31" s="73"/>
      <c r="LDP31" s="73"/>
      <c r="LDQ31" s="73"/>
      <c r="LDR31" s="73"/>
      <c r="LDS31" s="73"/>
      <c r="LDT31" s="73"/>
      <c r="LDU31" s="73"/>
      <c r="LDV31" s="73"/>
      <c r="LDW31" s="73"/>
      <c r="LDX31" s="73"/>
      <c r="LDY31" s="73"/>
      <c r="LDZ31" s="73"/>
      <c r="LEA31" s="73"/>
      <c r="LEB31" s="73"/>
      <c r="LEC31" s="73"/>
      <c r="LED31" s="73"/>
      <c r="LEE31" s="73"/>
      <c r="LEF31" s="73"/>
      <c r="LEG31" s="73"/>
      <c r="LEH31" s="73"/>
      <c r="LEI31" s="73"/>
      <c r="LEJ31" s="73"/>
      <c r="LEK31" s="73"/>
      <c r="LEL31" s="73"/>
      <c r="LEM31" s="73"/>
      <c r="LEN31" s="73"/>
      <c r="LEO31" s="73"/>
      <c r="LEP31" s="73"/>
      <c r="LEQ31" s="73"/>
      <c r="LER31" s="73"/>
      <c r="LES31" s="73"/>
      <c r="LET31" s="73"/>
      <c r="LEU31" s="73"/>
      <c r="LEV31" s="73"/>
      <c r="LEW31" s="73"/>
      <c r="LEX31" s="73"/>
      <c r="LEY31" s="73"/>
      <c r="LEZ31" s="73"/>
      <c r="LFA31" s="73"/>
      <c r="LFB31" s="73"/>
      <c r="LFC31" s="73"/>
      <c r="LFD31" s="73"/>
      <c r="LFE31" s="73"/>
      <c r="LFF31" s="73"/>
      <c r="LFG31" s="73"/>
      <c r="LFH31" s="73"/>
      <c r="LFI31" s="73"/>
      <c r="LFJ31" s="73"/>
      <c r="LFK31" s="73"/>
      <c r="LFL31" s="73"/>
      <c r="LFM31" s="73"/>
      <c r="LFN31" s="73"/>
      <c r="LFO31" s="73"/>
      <c r="LFP31" s="73"/>
      <c r="LFQ31" s="73"/>
      <c r="LFR31" s="73"/>
      <c r="LFS31" s="73"/>
      <c r="LFT31" s="73"/>
      <c r="LFU31" s="73"/>
      <c r="LFV31" s="73"/>
      <c r="LFW31" s="73"/>
      <c r="LFX31" s="73"/>
      <c r="LFY31" s="73"/>
      <c r="LFZ31" s="73"/>
      <c r="LGA31" s="73"/>
      <c r="LGB31" s="73"/>
      <c r="LGC31" s="73"/>
      <c r="LGD31" s="73"/>
      <c r="LGE31" s="73"/>
      <c r="LGF31" s="73"/>
      <c r="LGG31" s="73"/>
      <c r="LGH31" s="73"/>
      <c r="LGI31" s="73"/>
      <c r="LGJ31" s="73"/>
      <c r="LGK31" s="73"/>
      <c r="LGL31" s="73"/>
      <c r="LGM31" s="73"/>
      <c r="LGN31" s="73"/>
      <c r="LGO31" s="73"/>
      <c r="LGP31" s="73"/>
      <c r="LGQ31" s="73"/>
      <c r="LGR31" s="73"/>
      <c r="LGS31" s="73"/>
      <c r="LGT31" s="73"/>
      <c r="LGU31" s="73"/>
      <c r="LGV31" s="73"/>
      <c r="LGW31" s="73"/>
      <c r="LGX31" s="73"/>
      <c r="LGY31" s="73"/>
      <c r="LGZ31" s="73"/>
      <c r="LHA31" s="73"/>
      <c r="LHB31" s="73"/>
      <c r="LHC31" s="73"/>
      <c r="LHD31" s="73"/>
      <c r="LHE31" s="73"/>
      <c r="LHF31" s="73"/>
      <c r="LHG31" s="73"/>
      <c r="LHH31" s="73"/>
      <c r="LHI31" s="73"/>
      <c r="LHJ31" s="73"/>
      <c r="LHK31" s="73"/>
      <c r="LHL31" s="73"/>
      <c r="LHM31" s="73"/>
      <c r="LHN31" s="73"/>
      <c r="LHO31" s="73"/>
      <c r="LHP31" s="73"/>
      <c r="LHQ31" s="73"/>
      <c r="LHR31" s="73"/>
      <c r="LHS31" s="73"/>
      <c r="LHT31" s="73"/>
      <c r="LHU31" s="73"/>
      <c r="LHV31" s="73"/>
      <c r="LHW31" s="73"/>
      <c r="LHX31" s="73"/>
      <c r="LHY31" s="73"/>
      <c r="LHZ31" s="73"/>
      <c r="LIA31" s="73"/>
      <c r="LIB31" s="73"/>
      <c r="LIC31" s="73"/>
      <c r="LID31" s="73"/>
      <c r="LIE31" s="73"/>
      <c r="LIF31" s="73"/>
      <c r="LIG31" s="73"/>
      <c r="LIH31" s="73"/>
      <c r="LII31" s="73"/>
      <c r="LIJ31" s="73"/>
      <c r="LIK31" s="73"/>
      <c r="LIL31" s="73"/>
      <c r="LIM31" s="73"/>
      <c r="LIN31" s="73"/>
      <c r="LIO31" s="73"/>
      <c r="LIP31" s="73"/>
      <c r="LIQ31" s="73"/>
      <c r="LIR31" s="73"/>
      <c r="LIS31" s="73"/>
      <c r="LIT31" s="73"/>
      <c r="LIU31" s="73"/>
      <c r="LIV31" s="73"/>
      <c r="LIW31" s="73"/>
      <c r="LIX31" s="73"/>
      <c r="LIY31" s="73"/>
      <c r="LIZ31" s="73"/>
      <c r="LJA31" s="73"/>
      <c r="LJB31" s="73"/>
      <c r="LJC31" s="73"/>
      <c r="LJD31" s="73"/>
      <c r="LJE31" s="73"/>
      <c r="LJF31" s="73"/>
      <c r="LJG31" s="73"/>
      <c r="LJH31" s="73"/>
      <c r="LJI31" s="73"/>
      <c r="LJJ31" s="73"/>
      <c r="LJK31" s="73"/>
      <c r="LJL31" s="73"/>
      <c r="LJM31" s="73"/>
      <c r="LJN31" s="73"/>
      <c r="LJO31" s="73"/>
      <c r="LJP31" s="73"/>
      <c r="LJQ31" s="73"/>
      <c r="LJR31" s="73"/>
      <c r="LJS31" s="73"/>
      <c r="LJT31" s="73"/>
      <c r="LJU31" s="73"/>
      <c r="LJV31" s="73"/>
      <c r="LJW31" s="73"/>
      <c r="LJX31" s="73"/>
      <c r="LJY31" s="73"/>
      <c r="LJZ31" s="73"/>
      <c r="LKA31" s="73"/>
      <c r="LKB31" s="73"/>
      <c r="LKC31" s="73"/>
      <c r="LKD31" s="73"/>
      <c r="LKE31" s="73"/>
      <c r="LKF31" s="73"/>
      <c r="LKG31" s="73"/>
      <c r="LKH31" s="73"/>
      <c r="LKI31" s="73"/>
      <c r="LKJ31" s="73"/>
      <c r="LKK31" s="73"/>
      <c r="LKL31" s="73"/>
      <c r="LKM31" s="73"/>
      <c r="LKN31" s="73"/>
      <c r="LKO31" s="73"/>
      <c r="LKP31" s="73"/>
      <c r="LKQ31" s="73"/>
      <c r="LKR31" s="73"/>
      <c r="LKS31" s="73"/>
      <c r="LKT31" s="73"/>
      <c r="LKU31" s="73"/>
      <c r="LKV31" s="73"/>
      <c r="LKW31" s="73"/>
      <c r="LKX31" s="73"/>
      <c r="LKY31" s="73"/>
      <c r="LKZ31" s="73"/>
      <c r="LLA31" s="73"/>
      <c r="LLB31" s="73"/>
      <c r="LLC31" s="73"/>
      <c r="LLD31" s="73"/>
      <c r="LLE31" s="73"/>
      <c r="LLF31" s="73"/>
      <c r="LLG31" s="73"/>
      <c r="LLH31" s="73"/>
      <c r="LLI31" s="73"/>
      <c r="LLJ31" s="73"/>
      <c r="LLK31" s="73"/>
      <c r="LLL31" s="73"/>
      <c r="LLM31" s="73"/>
      <c r="LLN31" s="73"/>
      <c r="LLO31" s="73"/>
      <c r="LLP31" s="73"/>
      <c r="LLQ31" s="73"/>
      <c r="LLR31" s="73"/>
      <c r="LLS31" s="73"/>
      <c r="LLT31" s="73"/>
      <c r="LLU31" s="73"/>
      <c r="LLV31" s="73"/>
      <c r="LLW31" s="73"/>
      <c r="LLX31" s="73"/>
      <c r="LLY31" s="73"/>
      <c r="LLZ31" s="73"/>
      <c r="LMA31" s="73"/>
      <c r="LMB31" s="73"/>
      <c r="LMC31" s="73"/>
      <c r="LMD31" s="73"/>
      <c r="LME31" s="73"/>
      <c r="LMF31" s="73"/>
      <c r="LMG31" s="73"/>
      <c r="LMH31" s="73"/>
      <c r="LMI31" s="73"/>
      <c r="LMJ31" s="73"/>
      <c r="LMK31" s="73"/>
      <c r="LML31" s="73"/>
      <c r="LMM31" s="73"/>
      <c r="LMN31" s="73"/>
      <c r="LMO31" s="73"/>
      <c r="LMP31" s="73"/>
      <c r="LMQ31" s="73"/>
      <c r="LMR31" s="73"/>
      <c r="LMS31" s="73"/>
      <c r="LMT31" s="73"/>
      <c r="LMU31" s="73"/>
      <c r="LMV31" s="73"/>
      <c r="LMW31" s="73"/>
      <c r="LMX31" s="73"/>
      <c r="LMY31" s="73"/>
      <c r="LMZ31" s="73"/>
      <c r="LNA31" s="73"/>
      <c r="LNB31" s="73"/>
      <c r="LNC31" s="73"/>
      <c r="LND31" s="73"/>
      <c r="LNE31" s="73"/>
      <c r="LNF31" s="73"/>
      <c r="LNG31" s="73"/>
      <c r="LNH31" s="73"/>
      <c r="LNI31" s="73"/>
      <c r="LNJ31" s="73"/>
      <c r="LNK31" s="73"/>
      <c r="LNL31" s="73"/>
      <c r="LNM31" s="73"/>
      <c r="LNN31" s="73"/>
      <c r="LNO31" s="73"/>
      <c r="LNP31" s="73"/>
      <c r="LNQ31" s="73"/>
      <c r="LNR31" s="73"/>
      <c r="LNS31" s="73"/>
      <c r="LNT31" s="73"/>
      <c r="LNU31" s="73"/>
      <c r="LNV31" s="73"/>
      <c r="LNW31" s="73"/>
      <c r="LNX31" s="73"/>
      <c r="LNY31" s="73"/>
      <c r="LNZ31" s="73"/>
      <c r="LOA31" s="73"/>
      <c r="LOB31" s="73"/>
      <c r="LOC31" s="73"/>
      <c r="LOD31" s="73"/>
      <c r="LOE31" s="73"/>
      <c r="LOF31" s="73"/>
      <c r="LOG31" s="73"/>
      <c r="LOH31" s="73"/>
      <c r="LOI31" s="73"/>
      <c r="LOJ31" s="73"/>
      <c r="LOK31" s="73"/>
      <c r="LOL31" s="73"/>
      <c r="LOM31" s="73"/>
      <c r="LON31" s="73"/>
      <c r="LOO31" s="73"/>
      <c r="LOP31" s="73"/>
      <c r="LOQ31" s="73"/>
      <c r="LOR31" s="73"/>
      <c r="LOS31" s="73"/>
      <c r="LOT31" s="73"/>
      <c r="LOU31" s="73"/>
      <c r="LOV31" s="73"/>
      <c r="LOW31" s="73"/>
      <c r="LOX31" s="73"/>
      <c r="LOY31" s="73"/>
      <c r="LOZ31" s="73"/>
      <c r="LPA31" s="73"/>
      <c r="LPB31" s="73"/>
      <c r="LPC31" s="73"/>
      <c r="LPD31" s="73"/>
      <c r="LPE31" s="73"/>
      <c r="LPF31" s="73"/>
      <c r="LPG31" s="73"/>
      <c r="LPH31" s="73"/>
      <c r="LPI31" s="73"/>
      <c r="LPJ31" s="73"/>
      <c r="LPK31" s="73"/>
      <c r="LPL31" s="73"/>
      <c r="LPM31" s="73"/>
      <c r="LPN31" s="73"/>
      <c r="LPO31" s="73"/>
      <c r="LPP31" s="73"/>
      <c r="LPQ31" s="73"/>
      <c r="LPR31" s="73"/>
      <c r="LPS31" s="73"/>
      <c r="LPT31" s="73"/>
      <c r="LPU31" s="73"/>
      <c r="LPV31" s="73"/>
      <c r="LPW31" s="73"/>
      <c r="LPX31" s="73"/>
      <c r="LPY31" s="73"/>
      <c r="LPZ31" s="73"/>
      <c r="LQA31" s="73"/>
      <c r="LQB31" s="73"/>
      <c r="LQC31" s="73"/>
      <c r="LQD31" s="73"/>
      <c r="LQE31" s="73"/>
      <c r="LQF31" s="73"/>
      <c r="LQG31" s="73"/>
      <c r="LQH31" s="73"/>
      <c r="LQI31" s="73"/>
      <c r="LQJ31" s="73"/>
      <c r="LQK31" s="73"/>
      <c r="LQL31" s="73"/>
      <c r="LQM31" s="73"/>
      <c r="LQN31" s="73"/>
      <c r="LQO31" s="73"/>
      <c r="LQP31" s="73"/>
      <c r="LQQ31" s="73"/>
      <c r="LQR31" s="73"/>
      <c r="LQS31" s="73"/>
      <c r="LQT31" s="73"/>
      <c r="LQU31" s="73"/>
      <c r="LQV31" s="73"/>
      <c r="LQW31" s="73"/>
      <c r="LQX31" s="73"/>
      <c r="LQY31" s="73"/>
      <c r="LQZ31" s="73"/>
      <c r="LRA31" s="73"/>
      <c r="LRB31" s="73"/>
      <c r="LRC31" s="73"/>
      <c r="LRD31" s="73"/>
      <c r="LRE31" s="73"/>
      <c r="LRF31" s="73"/>
      <c r="LRG31" s="73"/>
      <c r="LRH31" s="73"/>
      <c r="LRI31" s="73"/>
      <c r="LRJ31" s="73"/>
      <c r="LRK31" s="73"/>
      <c r="LRL31" s="73"/>
      <c r="LRM31" s="73"/>
      <c r="LRN31" s="73"/>
      <c r="LRO31" s="73"/>
      <c r="LRP31" s="73"/>
      <c r="LRQ31" s="73"/>
      <c r="LRR31" s="73"/>
      <c r="LRS31" s="73"/>
      <c r="LRT31" s="73"/>
      <c r="LRU31" s="73"/>
      <c r="LRV31" s="73"/>
      <c r="LRW31" s="73"/>
      <c r="LRX31" s="73"/>
      <c r="LRY31" s="73"/>
      <c r="LRZ31" s="73"/>
      <c r="LSA31" s="73"/>
      <c r="LSB31" s="73"/>
      <c r="LSC31" s="73"/>
      <c r="LSD31" s="73"/>
      <c r="LSE31" s="73"/>
      <c r="LSF31" s="73"/>
      <c r="LSG31" s="73"/>
      <c r="LSH31" s="73"/>
      <c r="LSI31" s="73"/>
      <c r="LSJ31" s="73"/>
      <c r="LSK31" s="73"/>
      <c r="LSL31" s="73"/>
      <c r="LSM31" s="73"/>
      <c r="LSN31" s="73"/>
      <c r="LSO31" s="73"/>
      <c r="LSP31" s="73"/>
      <c r="LSQ31" s="73"/>
      <c r="LSR31" s="73"/>
      <c r="LSS31" s="73"/>
      <c r="LST31" s="73"/>
      <c r="LSU31" s="73"/>
      <c r="LSV31" s="73"/>
      <c r="LSW31" s="73"/>
      <c r="LSX31" s="73"/>
      <c r="LSY31" s="73"/>
      <c r="LSZ31" s="73"/>
      <c r="LTA31" s="73"/>
      <c r="LTB31" s="73"/>
      <c r="LTC31" s="73"/>
      <c r="LTD31" s="73"/>
      <c r="LTE31" s="73"/>
      <c r="LTF31" s="73"/>
      <c r="LTG31" s="73"/>
      <c r="LTH31" s="73"/>
      <c r="LTI31" s="73"/>
      <c r="LTJ31" s="73"/>
      <c r="LTK31" s="73"/>
      <c r="LTL31" s="73"/>
      <c r="LTM31" s="73"/>
      <c r="LTN31" s="73"/>
      <c r="LTO31" s="73"/>
      <c r="LTP31" s="73"/>
      <c r="LTQ31" s="73"/>
      <c r="LTR31" s="73"/>
      <c r="LTS31" s="73"/>
      <c r="LTT31" s="73"/>
      <c r="LTU31" s="73"/>
      <c r="LTV31" s="73"/>
      <c r="LTW31" s="73"/>
      <c r="LTX31" s="73"/>
      <c r="LTY31" s="73"/>
      <c r="LTZ31" s="73"/>
      <c r="LUA31" s="73"/>
      <c r="LUB31" s="73"/>
      <c r="LUC31" s="73"/>
      <c r="LUD31" s="73"/>
      <c r="LUE31" s="73"/>
      <c r="LUF31" s="73"/>
      <c r="LUG31" s="73"/>
      <c r="LUH31" s="73"/>
      <c r="LUI31" s="73"/>
      <c r="LUJ31" s="73"/>
      <c r="LUK31" s="73"/>
      <c r="LUL31" s="73"/>
      <c r="LUM31" s="73"/>
      <c r="LUN31" s="73"/>
      <c r="LUO31" s="73"/>
      <c r="LUP31" s="73"/>
      <c r="LUQ31" s="73"/>
      <c r="LUR31" s="73"/>
      <c r="LUS31" s="73"/>
      <c r="LUT31" s="73"/>
      <c r="LUU31" s="73"/>
      <c r="LUV31" s="73"/>
      <c r="LUW31" s="73"/>
      <c r="LUX31" s="73"/>
      <c r="LUY31" s="73"/>
      <c r="LUZ31" s="73"/>
      <c r="LVA31" s="73"/>
      <c r="LVB31" s="73"/>
      <c r="LVC31" s="73"/>
      <c r="LVD31" s="73"/>
      <c r="LVE31" s="73"/>
      <c r="LVF31" s="73"/>
      <c r="LVG31" s="73"/>
      <c r="LVH31" s="73"/>
      <c r="LVI31" s="73"/>
      <c r="LVJ31" s="73"/>
      <c r="LVK31" s="73"/>
      <c r="LVL31" s="73"/>
      <c r="LVM31" s="73"/>
      <c r="LVN31" s="73"/>
      <c r="LVO31" s="73"/>
      <c r="LVP31" s="73"/>
      <c r="LVQ31" s="73"/>
      <c r="LVR31" s="73"/>
      <c r="LVS31" s="73"/>
      <c r="LVT31" s="73"/>
      <c r="LVU31" s="73"/>
      <c r="LVV31" s="73"/>
      <c r="LVW31" s="73"/>
      <c r="LVX31" s="73"/>
      <c r="LVY31" s="73"/>
      <c r="LVZ31" s="73"/>
      <c r="LWA31" s="73"/>
      <c r="LWB31" s="73"/>
      <c r="LWC31" s="73"/>
      <c r="LWD31" s="73"/>
      <c r="LWE31" s="73"/>
      <c r="LWF31" s="73"/>
      <c r="LWG31" s="73"/>
      <c r="LWH31" s="73"/>
      <c r="LWI31" s="73"/>
      <c r="LWJ31" s="73"/>
      <c r="LWK31" s="73"/>
      <c r="LWL31" s="73"/>
      <c r="LWM31" s="73"/>
      <c r="LWN31" s="73"/>
      <c r="LWO31" s="73"/>
      <c r="LWP31" s="73"/>
      <c r="LWQ31" s="73"/>
      <c r="LWR31" s="73"/>
      <c r="LWS31" s="73"/>
      <c r="LWT31" s="73"/>
      <c r="LWU31" s="73"/>
      <c r="LWV31" s="73"/>
      <c r="LWW31" s="73"/>
      <c r="LWX31" s="73"/>
      <c r="LWY31" s="73"/>
      <c r="LWZ31" s="73"/>
      <c r="LXA31" s="73"/>
      <c r="LXB31" s="73"/>
      <c r="LXC31" s="73"/>
      <c r="LXD31" s="73"/>
      <c r="LXE31" s="73"/>
      <c r="LXF31" s="73"/>
      <c r="LXG31" s="73"/>
      <c r="LXH31" s="73"/>
      <c r="LXI31" s="73"/>
      <c r="LXJ31" s="73"/>
      <c r="LXK31" s="73"/>
      <c r="LXL31" s="73"/>
      <c r="LXM31" s="73"/>
      <c r="LXN31" s="73"/>
      <c r="LXO31" s="73"/>
      <c r="LXP31" s="73"/>
      <c r="LXQ31" s="73"/>
      <c r="LXR31" s="73"/>
      <c r="LXS31" s="73"/>
      <c r="LXT31" s="73"/>
      <c r="LXU31" s="73"/>
      <c r="LXV31" s="73"/>
      <c r="LXW31" s="73"/>
      <c r="LXX31" s="73"/>
      <c r="LXY31" s="73"/>
      <c r="LXZ31" s="73"/>
      <c r="LYA31" s="73"/>
      <c r="LYB31" s="73"/>
      <c r="LYC31" s="73"/>
      <c r="LYD31" s="73"/>
      <c r="LYE31" s="73"/>
      <c r="LYF31" s="73"/>
      <c r="LYG31" s="73"/>
      <c r="LYH31" s="73"/>
      <c r="LYI31" s="73"/>
      <c r="LYJ31" s="73"/>
      <c r="LYK31" s="73"/>
      <c r="LYL31" s="73"/>
      <c r="LYM31" s="73"/>
      <c r="LYN31" s="73"/>
      <c r="LYO31" s="73"/>
      <c r="LYP31" s="73"/>
      <c r="LYQ31" s="73"/>
      <c r="LYR31" s="73"/>
      <c r="LYS31" s="73"/>
      <c r="LYT31" s="73"/>
      <c r="LYU31" s="73"/>
      <c r="LYV31" s="73"/>
      <c r="LYW31" s="73"/>
      <c r="LYX31" s="73"/>
      <c r="LYY31" s="73"/>
      <c r="LYZ31" s="73"/>
      <c r="LZA31" s="73"/>
      <c r="LZB31" s="73"/>
      <c r="LZC31" s="73"/>
      <c r="LZD31" s="73"/>
      <c r="LZE31" s="73"/>
      <c r="LZF31" s="73"/>
      <c r="LZG31" s="73"/>
      <c r="LZH31" s="73"/>
      <c r="LZI31" s="73"/>
      <c r="LZJ31" s="73"/>
      <c r="LZK31" s="73"/>
      <c r="LZL31" s="73"/>
      <c r="LZM31" s="73"/>
      <c r="LZN31" s="73"/>
      <c r="LZO31" s="73"/>
      <c r="LZP31" s="73"/>
      <c r="LZQ31" s="73"/>
      <c r="LZR31" s="73"/>
      <c r="LZS31" s="73"/>
      <c r="LZT31" s="73"/>
      <c r="LZU31" s="73"/>
      <c r="LZV31" s="73"/>
      <c r="LZW31" s="73"/>
      <c r="LZX31" s="73"/>
      <c r="LZY31" s="73"/>
      <c r="LZZ31" s="73"/>
      <c r="MAA31" s="73"/>
      <c r="MAB31" s="73"/>
      <c r="MAC31" s="73"/>
      <c r="MAD31" s="73"/>
      <c r="MAE31" s="73"/>
      <c r="MAF31" s="73"/>
      <c r="MAG31" s="73"/>
      <c r="MAH31" s="73"/>
      <c r="MAI31" s="73"/>
      <c r="MAJ31" s="73"/>
      <c r="MAK31" s="73"/>
      <c r="MAL31" s="73"/>
      <c r="MAM31" s="73"/>
      <c r="MAN31" s="73"/>
      <c r="MAO31" s="73"/>
      <c r="MAP31" s="73"/>
      <c r="MAQ31" s="73"/>
      <c r="MAR31" s="73"/>
      <c r="MAS31" s="73"/>
      <c r="MAT31" s="73"/>
      <c r="MAU31" s="73"/>
      <c r="MAV31" s="73"/>
      <c r="MAW31" s="73"/>
      <c r="MAX31" s="73"/>
      <c r="MAY31" s="73"/>
      <c r="MAZ31" s="73"/>
      <c r="MBA31" s="73"/>
      <c r="MBB31" s="73"/>
      <c r="MBC31" s="73"/>
      <c r="MBD31" s="73"/>
      <c r="MBE31" s="73"/>
      <c r="MBF31" s="73"/>
      <c r="MBG31" s="73"/>
      <c r="MBH31" s="73"/>
      <c r="MBI31" s="73"/>
      <c r="MBJ31" s="73"/>
      <c r="MBK31" s="73"/>
      <c r="MBL31" s="73"/>
      <c r="MBM31" s="73"/>
      <c r="MBN31" s="73"/>
      <c r="MBO31" s="73"/>
      <c r="MBP31" s="73"/>
      <c r="MBQ31" s="73"/>
      <c r="MBR31" s="73"/>
      <c r="MBS31" s="73"/>
      <c r="MBT31" s="73"/>
      <c r="MBU31" s="73"/>
      <c r="MBV31" s="73"/>
      <c r="MBW31" s="73"/>
      <c r="MBX31" s="73"/>
      <c r="MBY31" s="73"/>
      <c r="MBZ31" s="73"/>
      <c r="MCA31" s="73"/>
      <c r="MCB31" s="73"/>
      <c r="MCC31" s="73"/>
      <c r="MCD31" s="73"/>
      <c r="MCE31" s="73"/>
      <c r="MCF31" s="73"/>
      <c r="MCG31" s="73"/>
      <c r="MCH31" s="73"/>
      <c r="MCI31" s="73"/>
      <c r="MCJ31" s="73"/>
      <c r="MCK31" s="73"/>
      <c r="MCL31" s="73"/>
      <c r="MCM31" s="73"/>
      <c r="MCN31" s="73"/>
      <c r="MCO31" s="73"/>
      <c r="MCP31" s="73"/>
      <c r="MCQ31" s="73"/>
      <c r="MCR31" s="73"/>
      <c r="MCS31" s="73"/>
      <c r="MCT31" s="73"/>
      <c r="MCU31" s="73"/>
      <c r="MCV31" s="73"/>
      <c r="MCW31" s="73"/>
      <c r="MCX31" s="73"/>
      <c r="MCY31" s="73"/>
      <c r="MCZ31" s="73"/>
      <c r="MDA31" s="73"/>
      <c r="MDB31" s="73"/>
      <c r="MDC31" s="73"/>
      <c r="MDD31" s="73"/>
      <c r="MDE31" s="73"/>
      <c r="MDF31" s="73"/>
      <c r="MDG31" s="73"/>
      <c r="MDH31" s="73"/>
      <c r="MDI31" s="73"/>
      <c r="MDJ31" s="73"/>
      <c r="MDK31" s="73"/>
      <c r="MDL31" s="73"/>
      <c r="MDM31" s="73"/>
      <c r="MDN31" s="73"/>
      <c r="MDO31" s="73"/>
      <c r="MDP31" s="73"/>
      <c r="MDQ31" s="73"/>
      <c r="MDR31" s="73"/>
      <c r="MDS31" s="73"/>
      <c r="MDT31" s="73"/>
      <c r="MDU31" s="73"/>
      <c r="MDV31" s="73"/>
      <c r="MDW31" s="73"/>
      <c r="MDX31" s="73"/>
      <c r="MDY31" s="73"/>
      <c r="MDZ31" s="73"/>
      <c r="MEA31" s="73"/>
      <c r="MEB31" s="73"/>
      <c r="MEC31" s="73"/>
      <c r="MED31" s="73"/>
      <c r="MEE31" s="73"/>
      <c r="MEF31" s="73"/>
      <c r="MEG31" s="73"/>
      <c r="MEH31" s="73"/>
      <c r="MEI31" s="73"/>
      <c r="MEJ31" s="73"/>
      <c r="MEK31" s="73"/>
      <c r="MEL31" s="73"/>
      <c r="MEM31" s="73"/>
      <c r="MEN31" s="73"/>
      <c r="MEO31" s="73"/>
      <c r="MEP31" s="73"/>
      <c r="MEQ31" s="73"/>
      <c r="MER31" s="73"/>
      <c r="MES31" s="73"/>
      <c r="MET31" s="73"/>
      <c r="MEU31" s="73"/>
      <c r="MEV31" s="73"/>
      <c r="MEW31" s="73"/>
      <c r="MEX31" s="73"/>
      <c r="MEY31" s="73"/>
      <c r="MEZ31" s="73"/>
      <c r="MFA31" s="73"/>
      <c r="MFB31" s="73"/>
      <c r="MFC31" s="73"/>
      <c r="MFD31" s="73"/>
      <c r="MFE31" s="73"/>
      <c r="MFF31" s="73"/>
      <c r="MFG31" s="73"/>
      <c r="MFH31" s="73"/>
      <c r="MFI31" s="73"/>
      <c r="MFJ31" s="73"/>
      <c r="MFK31" s="73"/>
      <c r="MFL31" s="73"/>
      <c r="MFM31" s="73"/>
      <c r="MFN31" s="73"/>
      <c r="MFO31" s="73"/>
      <c r="MFP31" s="73"/>
      <c r="MFQ31" s="73"/>
      <c r="MFR31" s="73"/>
      <c r="MFS31" s="73"/>
      <c r="MFT31" s="73"/>
      <c r="MFU31" s="73"/>
      <c r="MFV31" s="73"/>
      <c r="MFW31" s="73"/>
      <c r="MFX31" s="73"/>
      <c r="MFY31" s="73"/>
      <c r="MFZ31" s="73"/>
      <c r="MGA31" s="73"/>
      <c r="MGB31" s="73"/>
      <c r="MGC31" s="73"/>
      <c r="MGD31" s="73"/>
      <c r="MGE31" s="73"/>
      <c r="MGF31" s="73"/>
      <c r="MGG31" s="73"/>
      <c r="MGH31" s="73"/>
      <c r="MGI31" s="73"/>
      <c r="MGJ31" s="73"/>
      <c r="MGK31" s="73"/>
      <c r="MGL31" s="73"/>
      <c r="MGM31" s="73"/>
      <c r="MGN31" s="73"/>
      <c r="MGO31" s="73"/>
      <c r="MGP31" s="73"/>
      <c r="MGQ31" s="73"/>
      <c r="MGR31" s="73"/>
      <c r="MGS31" s="73"/>
      <c r="MGT31" s="73"/>
      <c r="MGU31" s="73"/>
      <c r="MGV31" s="73"/>
      <c r="MGW31" s="73"/>
      <c r="MGX31" s="73"/>
      <c r="MGY31" s="73"/>
      <c r="MGZ31" s="73"/>
      <c r="MHA31" s="73"/>
      <c r="MHB31" s="73"/>
      <c r="MHC31" s="73"/>
      <c r="MHD31" s="73"/>
      <c r="MHE31" s="73"/>
      <c r="MHF31" s="73"/>
      <c r="MHG31" s="73"/>
      <c r="MHH31" s="73"/>
      <c r="MHI31" s="73"/>
      <c r="MHJ31" s="73"/>
      <c r="MHK31" s="73"/>
      <c r="MHL31" s="73"/>
      <c r="MHM31" s="73"/>
      <c r="MHN31" s="73"/>
      <c r="MHO31" s="73"/>
      <c r="MHP31" s="73"/>
      <c r="MHQ31" s="73"/>
      <c r="MHR31" s="73"/>
      <c r="MHS31" s="73"/>
      <c r="MHT31" s="73"/>
      <c r="MHU31" s="73"/>
      <c r="MHV31" s="73"/>
      <c r="MHW31" s="73"/>
      <c r="MHX31" s="73"/>
      <c r="MHY31" s="73"/>
      <c r="MHZ31" s="73"/>
      <c r="MIA31" s="73"/>
      <c r="MIB31" s="73"/>
      <c r="MIC31" s="73"/>
      <c r="MID31" s="73"/>
      <c r="MIE31" s="73"/>
      <c r="MIF31" s="73"/>
      <c r="MIG31" s="73"/>
      <c r="MIH31" s="73"/>
      <c r="MII31" s="73"/>
      <c r="MIJ31" s="73"/>
      <c r="MIK31" s="73"/>
      <c r="MIL31" s="73"/>
      <c r="MIM31" s="73"/>
      <c r="MIN31" s="73"/>
      <c r="MIO31" s="73"/>
      <c r="MIP31" s="73"/>
      <c r="MIQ31" s="73"/>
      <c r="MIR31" s="73"/>
      <c r="MIS31" s="73"/>
      <c r="MIT31" s="73"/>
      <c r="MIU31" s="73"/>
      <c r="MIV31" s="73"/>
      <c r="MIW31" s="73"/>
      <c r="MIX31" s="73"/>
      <c r="MIY31" s="73"/>
      <c r="MIZ31" s="73"/>
      <c r="MJA31" s="73"/>
      <c r="MJB31" s="73"/>
      <c r="MJC31" s="73"/>
      <c r="MJD31" s="73"/>
      <c r="MJE31" s="73"/>
      <c r="MJF31" s="73"/>
      <c r="MJG31" s="73"/>
      <c r="MJH31" s="73"/>
      <c r="MJI31" s="73"/>
      <c r="MJJ31" s="73"/>
      <c r="MJK31" s="73"/>
      <c r="MJL31" s="73"/>
      <c r="MJM31" s="73"/>
      <c r="MJN31" s="73"/>
      <c r="MJO31" s="73"/>
      <c r="MJP31" s="73"/>
      <c r="MJQ31" s="73"/>
      <c r="MJR31" s="73"/>
      <c r="MJS31" s="73"/>
      <c r="MJT31" s="73"/>
      <c r="MJU31" s="73"/>
      <c r="MJV31" s="73"/>
      <c r="MJW31" s="73"/>
      <c r="MJX31" s="73"/>
      <c r="MJY31" s="73"/>
      <c r="MJZ31" s="73"/>
      <c r="MKA31" s="73"/>
      <c r="MKB31" s="73"/>
      <c r="MKC31" s="73"/>
      <c r="MKD31" s="73"/>
      <c r="MKE31" s="73"/>
      <c r="MKF31" s="73"/>
      <c r="MKG31" s="73"/>
      <c r="MKH31" s="73"/>
      <c r="MKI31" s="73"/>
      <c r="MKJ31" s="73"/>
      <c r="MKK31" s="73"/>
      <c r="MKL31" s="73"/>
      <c r="MKM31" s="73"/>
      <c r="MKN31" s="73"/>
      <c r="MKO31" s="73"/>
      <c r="MKP31" s="73"/>
      <c r="MKQ31" s="73"/>
      <c r="MKR31" s="73"/>
      <c r="MKS31" s="73"/>
      <c r="MKT31" s="73"/>
      <c r="MKU31" s="73"/>
      <c r="MKV31" s="73"/>
      <c r="MKW31" s="73"/>
      <c r="MKX31" s="73"/>
      <c r="MKY31" s="73"/>
      <c r="MKZ31" s="73"/>
      <c r="MLA31" s="73"/>
      <c r="MLB31" s="73"/>
      <c r="MLC31" s="73"/>
      <c r="MLD31" s="73"/>
      <c r="MLE31" s="73"/>
      <c r="MLF31" s="73"/>
      <c r="MLG31" s="73"/>
      <c r="MLH31" s="73"/>
      <c r="MLI31" s="73"/>
      <c r="MLJ31" s="73"/>
      <c r="MLK31" s="73"/>
      <c r="MLL31" s="73"/>
      <c r="MLM31" s="73"/>
      <c r="MLN31" s="73"/>
      <c r="MLO31" s="73"/>
      <c r="MLP31" s="73"/>
      <c r="MLQ31" s="73"/>
      <c r="MLR31" s="73"/>
      <c r="MLS31" s="73"/>
      <c r="MLT31" s="73"/>
      <c r="MLU31" s="73"/>
      <c r="MLV31" s="73"/>
      <c r="MLW31" s="73"/>
      <c r="MLX31" s="73"/>
      <c r="MLY31" s="73"/>
      <c r="MLZ31" s="73"/>
      <c r="MMA31" s="73"/>
      <c r="MMB31" s="73"/>
      <c r="MMC31" s="73"/>
      <c r="MMD31" s="73"/>
      <c r="MME31" s="73"/>
      <c r="MMF31" s="73"/>
      <c r="MMG31" s="73"/>
      <c r="MMH31" s="73"/>
      <c r="MMI31" s="73"/>
      <c r="MMJ31" s="73"/>
      <c r="MMK31" s="73"/>
      <c r="MML31" s="73"/>
      <c r="MMM31" s="73"/>
      <c r="MMN31" s="73"/>
      <c r="MMO31" s="73"/>
      <c r="MMP31" s="73"/>
      <c r="MMQ31" s="73"/>
      <c r="MMR31" s="73"/>
      <c r="MMS31" s="73"/>
      <c r="MMT31" s="73"/>
      <c r="MMU31" s="73"/>
      <c r="MMV31" s="73"/>
      <c r="MMW31" s="73"/>
      <c r="MMX31" s="73"/>
      <c r="MMY31" s="73"/>
      <c r="MMZ31" s="73"/>
      <c r="MNA31" s="73"/>
      <c r="MNB31" s="73"/>
      <c r="MNC31" s="73"/>
      <c r="MND31" s="73"/>
      <c r="MNE31" s="73"/>
      <c r="MNF31" s="73"/>
      <c r="MNG31" s="73"/>
      <c r="MNH31" s="73"/>
      <c r="MNI31" s="73"/>
      <c r="MNJ31" s="73"/>
      <c r="MNK31" s="73"/>
      <c r="MNL31" s="73"/>
      <c r="MNM31" s="73"/>
      <c r="MNN31" s="73"/>
      <c r="MNO31" s="73"/>
      <c r="MNP31" s="73"/>
      <c r="MNQ31" s="73"/>
      <c r="MNR31" s="73"/>
      <c r="MNS31" s="73"/>
      <c r="MNT31" s="73"/>
      <c r="MNU31" s="73"/>
      <c r="MNV31" s="73"/>
      <c r="MNW31" s="73"/>
      <c r="MNX31" s="73"/>
      <c r="MNY31" s="73"/>
      <c r="MNZ31" s="73"/>
      <c r="MOA31" s="73"/>
      <c r="MOB31" s="73"/>
      <c r="MOC31" s="73"/>
      <c r="MOD31" s="73"/>
      <c r="MOE31" s="73"/>
      <c r="MOF31" s="73"/>
      <c r="MOG31" s="73"/>
      <c r="MOH31" s="73"/>
      <c r="MOI31" s="73"/>
      <c r="MOJ31" s="73"/>
      <c r="MOK31" s="73"/>
      <c r="MOL31" s="73"/>
      <c r="MOM31" s="73"/>
      <c r="MON31" s="73"/>
      <c r="MOO31" s="73"/>
      <c r="MOP31" s="73"/>
      <c r="MOQ31" s="73"/>
      <c r="MOR31" s="73"/>
      <c r="MOS31" s="73"/>
      <c r="MOT31" s="73"/>
      <c r="MOU31" s="73"/>
      <c r="MOV31" s="73"/>
      <c r="MOW31" s="73"/>
      <c r="MOX31" s="73"/>
      <c r="MOY31" s="73"/>
      <c r="MOZ31" s="73"/>
      <c r="MPA31" s="73"/>
      <c r="MPB31" s="73"/>
      <c r="MPC31" s="73"/>
      <c r="MPD31" s="73"/>
      <c r="MPE31" s="73"/>
      <c r="MPF31" s="73"/>
      <c r="MPG31" s="73"/>
      <c r="MPH31" s="73"/>
      <c r="MPI31" s="73"/>
      <c r="MPJ31" s="73"/>
      <c r="MPK31" s="73"/>
      <c r="MPL31" s="73"/>
      <c r="MPM31" s="73"/>
      <c r="MPN31" s="73"/>
      <c r="MPO31" s="73"/>
      <c r="MPP31" s="73"/>
      <c r="MPQ31" s="73"/>
      <c r="MPR31" s="73"/>
      <c r="MPS31" s="73"/>
      <c r="MPT31" s="73"/>
      <c r="MPU31" s="73"/>
      <c r="MPV31" s="73"/>
      <c r="MPW31" s="73"/>
      <c r="MPX31" s="73"/>
      <c r="MPY31" s="73"/>
      <c r="MPZ31" s="73"/>
      <c r="MQA31" s="73"/>
      <c r="MQB31" s="73"/>
      <c r="MQC31" s="73"/>
      <c r="MQD31" s="73"/>
      <c r="MQE31" s="73"/>
      <c r="MQF31" s="73"/>
      <c r="MQG31" s="73"/>
      <c r="MQH31" s="73"/>
      <c r="MQI31" s="73"/>
      <c r="MQJ31" s="73"/>
      <c r="MQK31" s="73"/>
      <c r="MQL31" s="73"/>
      <c r="MQM31" s="73"/>
      <c r="MQN31" s="73"/>
      <c r="MQO31" s="73"/>
      <c r="MQP31" s="73"/>
      <c r="MQQ31" s="73"/>
      <c r="MQR31" s="73"/>
      <c r="MQS31" s="73"/>
      <c r="MQT31" s="73"/>
      <c r="MQU31" s="73"/>
      <c r="MQV31" s="73"/>
      <c r="MQW31" s="73"/>
      <c r="MQX31" s="73"/>
      <c r="MQY31" s="73"/>
      <c r="MQZ31" s="73"/>
      <c r="MRA31" s="73"/>
      <c r="MRB31" s="73"/>
      <c r="MRC31" s="73"/>
      <c r="MRD31" s="73"/>
      <c r="MRE31" s="73"/>
      <c r="MRF31" s="73"/>
      <c r="MRG31" s="73"/>
      <c r="MRH31" s="73"/>
      <c r="MRI31" s="73"/>
      <c r="MRJ31" s="73"/>
      <c r="MRK31" s="73"/>
      <c r="MRL31" s="73"/>
      <c r="MRM31" s="73"/>
      <c r="MRN31" s="73"/>
      <c r="MRO31" s="73"/>
      <c r="MRP31" s="73"/>
      <c r="MRQ31" s="73"/>
      <c r="MRR31" s="73"/>
      <c r="MRS31" s="73"/>
      <c r="MRT31" s="73"/>
      <c r="MRU31" s="73"/>
      <c r="MRV31" s="73"/>
      <c r="MRW31" s="73"/>
      <c r="MRX31" s="73"/>
      <c r="MRY31" s="73"/>
      <c r="MRZ31" s="73"/>
      <c r="MSA31" s="73"/>
      <c r="MSB31" s="73"/>
      <c r="MSC31" s="73"/>
      <c r="MSD31" s="73"/>
      <c r="MSE31" s="73"/>
      <c r="MSF31" s="73"/>
      <c r="MSG31" s="73"/>
      <c r="MSH31" s="73"/>
      <c r="MSI31" s="73"/>
      <c r="MSJ31" s="73"/>
      <c r="MSK31" s="73"/>
      <c r="MSL31" s="73"/>
      <c r="MSM31" s="73"/>
      <c r="MSN31" s="73"/>
      <c r="MSO31" s="73"/>
      <c r="MSP31" s="73"/>
      <c r="MSQ31" s="73"/>
      <c r="MSR31" s="73"/>
      <c r="MSS31" s="73"/>
      <c r="MST31" s="73"/>
      <c r="MSU31" s="73"/>
      <c r="MSV31" s="73"/>
      <c r="MSW31" s="73"/>
      <c r="MSX31" s="73"/>
      <c r="MSY31" s="73"/>
      <c r="MSZ31" s="73"/>
      <c r="MTA31" s="73"/>
      <c r="MTB31" s="73"/>
      <c r="MTC31" s="73"/>
      <c r="MTD31" s="73"/>
      <c r="MTE31" s="73"/>
      <c r="MTF31" s="73"/>
      <c r="MTG31" s="73"/>
      <c r="MTH31" s="73"/>
      <c r="MTI31" s="73"/>
      <c r="MTJ31" s="73"/>
      <c r="MTK31" s="73"/>
      <c r="MTL31" s="73"/>
      <c r="MTM31" s="73"/>
      <c r="MTN31" s="73"/>
      <c r="MTO31" s="73"/>
      <c r="MTP31" s="73"/>
      <c r="MTQ31" s="73"/>
      <c r="MTR31" s="73"/>
      <c r="MTS31" s="73"/>
      <c r="MTT31" s="73"/>
      <c r="MTU31" s="73"/>
      <c r="MTV31" s="73"/>
      <c r="MTW31" s="73"/>
      <c r="MTX31" s="73"/>
      <c r="MTY31" s="73"/>
      <c r="MTZ31" s="73"/>
      <c r="MUA31" s="73"/>
      <c r="MUB31" s="73"/>
      <c r="MUC31" s="73"/>
      <c r="MUD31" s="73"/>
      <c r="MUE31" s="73"/>
      <c r="MUF31" s="73"/>
      <c r="MUG31" s="73"/>
      <c r="MUH31" s="73"/>
      <c r="MUI31" s="73"/>
      <c r="MUJ31" s="73"/>
      <c r="MUK31" s="73"/>
      <c r="MUL31" s="73"/>
      <c r="MUM31" s="73"/>
      <c r="MUN31" s="73"/>
      <c r="MUO31" s="73"/>
      <c r="MUP31" s="73"/>
      <c r="MUQ31" s="73"/>
      <c r="MUR31" s="73"/>
      <c r="MUS31" s="73"/>
      <c r="MUT31" s="73"/>
      <c r="MUU31" s="73"/>
      <c r="MUV31" s="73"/>
      <c r="MUW31" s="73"/>
      <c r="MUX31" s="73"/>
      <c r="MUY31" s="73"/>
      <c r="MUZ31" s="73"/>
      <c r="MVA31" s="73"/>
      <c r="MVB31" s="73"/>
      <c r="MVC31" s="73"/>
      <c r="MVD31" s="73"/>
      <c r="MVE31" s="73"/>
      <c r="MVF31" s="73"/>
      <c r="MVG31" s="73"/>
      <c r="MVH31" s="73"/>
      <c r="MVI31" s="73"/>
      <c r="MVJ31" s="73"/>
      <c r="MVK31" s="73"/>
      <c r="MVL31" s="73"/>
      <c r="MVM31" s="73"/>
      <c r="MVN31" s="73"/>
      <c r="MVO31" s="73"/>
      <c r="MVP31" s="73"/>
      <c r="MVQ31" s="73"/>
      <c r="MVR31" s="73"/>
      <c r="MVS31" s="73"/>
      <c r="MVT31" s="73"/>
      <c r="MVU31" s="73"/>
      <c r="MVV31" s="73"/>
      <c r="MVW31" s="73"/>
      <c r="MVX31" s="73"/>
      <c r="MVY31" s="73"/>
      <c r="MVZ31" s="73"/>
      <c r="MWA31" s="73"/>
      <c r="MWB31" s="73"/>
      <c r="MWC31" s="73"/>
      <c r="MWD31" s="73"/>
      <c r="MWE31" s="73"/>
      <c r="MWF31" s="73"/>
      <c r="MWG31" s="73"/>
      <c r="MWH31" s="73"/>
      <c r="MWI31" s="73"/>
      <c r="MWJ31" s="73"/>
      <c r="MWK31" s="73"/>
      <c r="MWL31" s="73"/>
      <c r="MWM31" s="73"/>
      <c r="MWN31" s="73"/>
      <c r="MWO31" s="73"/>
      <c r="MWP31" s="73"/>
      <c r="MWQ31" s="73"/>
      <c r="MWR31" s="73"/>
      <c r="MWS31" s="73"/>
      <c r="MWT31" s="73"/>
      <c r="MWU31" s="73"/>
      <c r="MWV31" s="73"/>
      <c r="MWW31" s="73"/>
      <c r="MWX31" s="73"/>
      <c r="MWY31" s="73"/>
      <c r="MWZ31" s="73"/>
      <c r="MXA31" s="73"/>
      <c r="MXB31" s="73"/>
      <c r="MXC31" s="73"/>
      <c r="MXD31" s="73"/>
      <c r="MXE31" s="73"/>
      <c r="MXF31" s="73"/>
      <c r="MXG31" s="73"/>
      <c r="MXH31" s="73"/>
      <c r="MXI31" s="73"/>
      <c r="MXJ31" s="73"/>
      <c r="MXK31" s="73"/>
      <c r="MXL31" s="73"/>
      <c r="MXM31" s="73"/>
      <c r="MXN31" s="73"/>
      <c r="MXO31" s="73"/>
      <c r="MXP31" s="73"/>
      <c r="MXQ31" s="73"/>
      <c r="MXR31" s="73"/>
      <c r="MXS31" s="73"/>
      <c r="MXT31" s="73"/>
      <c r="MXU31" s="73"/>
      <c r="MXV31" s="73"/>
      <c r="MXW31" s="73"/>
      <c r="MXX31" s="73"/>
      <c r="MXY31" s="73"/>
      <c r="MXZ31" s="73"/>
      <c r="MYA31" s="73"/>
      <c r="MYB31" s="73"/>
      <c r="MYC31" s="73"/>
      <c r="MYD31" s="73"/>
      <c r="MYE31" s="73"/>
      <c r="MYF31" s="73"/>
      <c r="MYG31" s="73"/>
      <c r="MYH31" s="73"/>
      <c r="MYI31" s="73"/>
      <c r="MYJ31" s="73"/>
      <c r="MYK31" s="73"/>
      <c r="MYL31" s="73"/>
      <c r="MYM31" s="73"/>
      <c r="MYN31" s="73"/>
      <c r="MYO31" s="73"/>
      <c r="MYP31" s="73"/>
      <c r="MYQ31" s="73"/>
      <c r="MYR31" s="73"/>
      <c r="MYS31" s="73"/>
      <c r="MYT31" s="73"/>
      <c r="MYU31" s="73"/>
      <c r="MYV31" s="73"/>
      <c r="MYW31" s="73"/>
      <c r="MYX31" s="73"/>
      <c r="MYY31" s="73"/>
      <c r="MYZ31" s="73"/>
      <c r="MZA31" s="73"/>
      <c r="MZB31" s="73"/>
      <c r="MZC31" s="73"/>
      <c r="MZD31" s="73"/>
      <c r="MZE31" s="73"/>
      <c r="MZF31" s="73"/>
      <c r="MZG31" s="73"/>
      <c r="MZH31" s="73"/>
      <c r="MZI31" s="73"/>
      <c r="MZJ31" s="73"/>
      <c r="MZK31" s="73"/>
      <c r="MZL31" s="73"/>
      <c r="MZM31" s="73"/>
      <c r="MZN31" s="73"/>
      <c r="MZO31" s="73"/>
      <c r="MZP31" s="73"/>
      <c r="MZQ31" s="73"/>
      <c r="MZR31" s="73"/>
      <c r="MZS31" s="73"/>
      <c r="MZT31" s="73"/>
      <c r="MZU31" s="73"/>
      <c r="MZV31" s="73"/>
      <c r="MZW31" s="73"/>
      <c r="MZX31" s="73"/>
      <c r="MZY31" s="73"/>
      <c r="MZZ31" s="73"/>
      <c r="NAA31" s="73"/>
      <c r="NAB31" s="73"/>
      <c r="NAC31" s="73"/>
      <c r="NAD31" s="73"/>
      <c r="NAE31" s="73"/>
      <c r="NAF31" s="73"/>
      <c r="NAG31" s="73"/>
      <c r="NAH31" s="73"/>
      <c r="NAI31" s="73"/>
      <c r="NAJ31" s="73"/>
      <c r="NAK31" s="73"/>
      <c r="NAL31" s="73"/>
      <c r="NAM31" s="73"/>
      <c r="NAN31" s="73"/>
      <c r="NAO31" s="73"/>
      <c r="NAP31" s="73"/>
      <c r="NAQ31" s="73"/>
      <c r="NAR31" s="73"/>
      <c r="NAS31" s="73"/>
      <c r="NAT31" s="73"/>
      <c r="NAU31" s="73"/>
      <c r="NAV31" s="73"/>
      <c r="NAW31" s="73"/>
      <c r="NAX31" s="73"/>
      <c r="NAY31" s="73"/>
      <c r="NAZ31" s="73"/>
      <c r="NBA31" s="73"/>
      <c r="NBB31" s="73"/>
      <c r="NBC31" s="73"/>
      <c r="NBD31" s="73"/>
      <c r="NBE31" s="73"/>
      <c r="NBF31" s="73"/>
      <c r="NBG31" s="73"/>
      <c r="NBH31" s="73"/>
      <c r="NBI31" s="73"/>
      <c r="NBJ31" s="73"/>
      <c r="NBK31" s="73"/>
      <c r="NBL31" s="73"/>
      <c r="NBM31" s="73"/>
      <c r="NBN31" s="73"/>
      <c r="NBO31" s="73"/>
      <c r="NBP31" s="73"/>
      <c r="NBQ31" s="73"/>
      <c r="NBR31" s="73"/>
      <c r="NBS31" s="73"/>
      <c r="NBT31" s="73"/>
      <c r="NBU31" s="73"/>
      <c r="NBV31" s="73"/>
      <c r="NBW31" s="73"/>
      <c r="NBX31" s="73"/>
      <c r="NBY31" s="73"/>
      <c r="NBZ31" s="73"/>
      <c r="NCA31" s="73"/>
      <c r="NCB31" s="73"/>
      <c r="NCC31" s="73"/>
      <c r="NCD31" s="73"/>
      <c r="NCE31" s="73"/>
      <c r="NCF31" s="73"/>
      <c r="NCG31" s="73"/>
      <c r="NCH31" s="73"/>
      <c r="NCI31" s="73"/>
      <c r="NCJ31" s="73"/>
      <c r="NCK31" s="73"/>
      <c r="NCL31" s="73"/>
      <c r="NCM31" s="73"/>
      <c r="NCN31" s="73"/>
      <c r="NCO31" s="73"/>
      <c r="NCP31" s="73"/>
      <c r="NCQ31" s="73"/>
      <c r="NCR31" s="73"/>
      <c r="NCS31" s="73"/>
      <c r="NCT31" s="73"/>
      <c r="NCU31" s="73"/>
      <c r="NCV31" s="73"/>
      <c r="NCW31" s="73"/>
      <c r="NCX31" s="73"/>
      <c r="NCY31" s="73"/>
      <c r="NCZ31" s="73"/>
      <c r="NDA31" s="73"/>
      <c r="NDB31" s="73"/>
      <c r="NDC31" s="73"/>
      <c r="NDD31" s="73"/>
      <c r="NDE31" s="73"/>
      <c r="NDF31" s="73"/>
      <c r="NDG31" s="73"/>
      <c r="NDH31" s="73"/>
      <c r="NDI31" s="73"/>
      <c r="NDJ31" s="73"/>
      <c r="NDK31" s="73"/>
      <c r="NDL31" s="73"/>
      <c r="NDM31" s="73"/>
      <c r="NDN31" s="73"/>
      <c r="NDO31" s="73"/>
      <c r="NDP31" s="73"/>
      <c r="NDQ31" s="73"/>
      <c r="NDR31" s="73"/>
      <c r="NDS31" s="73"/>
      <c r="NDT31" s="73"/>
      <c r="NDU31" s="73"/>
      <c r="NDV31" s="73"/>
      <c r="NDW31" s="73"/>
      <c r="NDX31" s="73"/>
      <c r="NDY31" s="73"/>
      <c r="NDZ31" s="73"/>
      <c r="NEA31" s="73"/>
      <c r="NEB31" s="73"/>
      <c r="NEC31" s="73"/>
      <c r="NED31" s="73"/>
      <c r="NEE31" s="73"/>
      <c r="NEF31" s="73"/>
      <c r="NEG31" s="73"/>
      <c r="NEH31" s="73"/>
      <c r="NEI31" s="73"/>
      <c r="NEJ31" s="73"/>
      <c r="NEK31" s="73"/>
      <c r="NEL31" s="73"/>
      <c r="NEM31" s="73"/>
      <c r="NEN31" s="73"/>
      <c r="NEO31" s="73"/>
      <c r="NEP31" s="73"/>
      <c r="NEQ31" s="73"/>
      <c r="NER31" s="73"/>
      <c r="NES31" s="73"/>
      <c r="NET31" s="73"/>
      <c r="NEU31" s="73"/>
      <c r="NEV31" s="73"/>
      <c r="NEW31" s="73"/>
      <c r="NEX31" s="73"/>
      <c r="NEY31" s="73"/>
      <c r="NEZ31" s="73"/>
      <c r="NFA31" s="73"/>
      <c r="NFB31" s="73"/>
      <c r="NFC31" s="73"/>
      <c r="NFD31" s="73"/>
      <c r="NFE31" s="73"/>
      <c r="NFF31" s="73"/>
      <c r="NFG31" s="73"/>
      <c r="NFH31" s="73"/>
      <c r="NFI31" s="73"/>
      <c r="NFJ31" s="73"/>
      <c r="NFK31" s="73"/>
      <c r="NFL31" s="73"/>
      <c r="NFM31" s="73"/>
      <c r="NFN31" s="73"/>
      <c r="NFO31" s="73"/>
      <c r="NFP31" s="73"/>
      <c r="NFQ31" s="73"/>
      <c r="NFR31" s="73"/>
      <c r="NFS31" s="73"/>
      <c r="NFT31" s="73"/>
      <c r="NFU31" s="73"/>
      <c r="NFV31" s="73"/>
      <c r="NFW31" s="73"/>
      <c r="NFX31" s="73"/>
      <c r="NFY31" s="73"/>
      <c r="NFZ31" s="73"/>
      <c r="NGA31" s="73"/>
      <c r="NGB31" s="73"/>
      <c r="NGC31" s="73"/>
      <c r="NGD31" s="73"/>
      <c r="NGE31" s="73"/>
      <c r="NGF31" s="73"/>
      <c r="NGG31" s="73"/>
      <c r="NGH31" s="73"/>
      <c r="NGI31" s="73"/>
      <c r="NGJ31" s="73"/>
      <c r="NGK31" s="73"/>
      <c r="NGL31" s="73"/>
      <c r="NGM31" s="73"/>
      <c r="NGN31" s="73"/>
      <c r="NGO31" s="73"/>
      <c r="NGP31" s="73"/>
      <c r="NGQ31" s="73"/>
      <c r="NGR31" s="73"/>
      <c r="NGS31" s="73"/>
      <c r="NGT31" s="73"/>
      <c r="NGU31" s="73"/>
      <c r="NGV31" s="73"/>
      <c r="NGW31" s="73"/>
      <c r="NGX31" s="73"/>
      <c r="NGY31" s="73"/>
      <c r="NGZ31" s="73"/>
      <c r="NHA31" s="73"/>
      <c r="NHB31" s="73"/>
      <c r="NHC31" s="73"/>
      <c r="NHD31" s="73"/>
      <c r="NHE31" s="73"/>
      <c r="NHF31" s="73"/>
      <c r="NHG31" s="73"/>
      <c r="NHH31" s="73"/>
      <c r="NHI31" s="73"/>
      <c r="NHJ31" s="73"/>
      <c r="NHK31" s="73"/>
      <c r="NHL31" s="73"/>
      <c r="NHM31" s="73"/>
      <c r="NHN31" s="73"/>
      <c r="NHO31" s="73"/>
      <c r="NHP31" s="73"/>
      <c r="NHQ31" s="73"/>
      <c r="NHR31" s="73"/>
      <c r="NHS31" s="73"/>
      <c r="NHT31" s="73"/>
      <c r="NHU31" s="73"/>
      <c r="NHV31" s="73"/>
      <c r="NHW31" s="73"/>
      <c r="NHX31" s="73"/>
      <c r="NHY31" s="73"/>
      <c r="NHZ31" s="73"/>
      <c r="NIA31" s="73"/>
      <c r="NIB31" s="73"/>
      <c r="NIC31" s="73"/>
      <c r="NID31" s="73"/>
      <c r="NIE31" s="73"/>
      <c r="NIF31" s="73"/>
      <c r="NIG31" s="73"/>
      <c r="NIH31" s="73"/>
      <c r="NII31" s="73"/>
      <c r="NIJ31" s="73"/>
      <c r="NIK31" s="73"/>
      <c r="NIL31" s="73"/>
      <c r="NIM31" s="73"/>
      <c r="NIN31" s="73"/>
      <c r="NIO31" s="73"/>
      <c r="NIP31" s="73"/>
      <c r="NIQ31" s="73"/>
      <c r="NIR31" s="73"/>
      <c r="NIS31" s="73"/>
      <c r="NIT31" s="73"/>
      <c r="NIU31" s="73"/>
      <c r="NIV31" s="73"/>
      <c r="NIW31" s="73"/>
      <c r="NIX31" s="73"/>
      <c r="NIY31" s="73"/>
      <c r="NIZ31" s="73"/>
      <c r="NJA31" s="73"/>
      <c r="NJB31" s="73"/>
      <c r="NJC31" s="73"/>
      <c r="NJD31" s="73"/>
      <c r="NJE31" s="73"/>
      <c r="NJF31" s="73"/>
      <c r="NJG31" s="73"/>
      <c r="NJH31" s="73"/>
      <c r="NJI31" s="73"/>
      <c r="NJJ31" s="73"/>
      <c r="NJK31" s="73"/>
      <c r="NJL31" s="73"/>
      <c r="NJM31" s="73"/>
      <c r="NJN31" s="73"/>
      <c r="NJO31" s="73"/>
      <c r="NJP31" s="73"/>
      <c r="NJQ31" s="73"/>
      <c r="NJR31" s="73"/>
      <c r="NJS31" s="73"/>
      <c r="NJT31" s="73"/>
      <c r="NJU31" s="73"/>
      <c r="NJV31" s="73"/>
      <c r="NJW31" s="73"/>
      <c r="NJX31" s="73"/>
      <c r="NJY31" s="73"/>
      <c r="NJZ31" s="73"/>
      <c r="NKA31" s="73"/>
      <c r="NKB31" s="73"/>
      <c r="NKC31" s="73"/>
      <c r="NKD31" s="73"/>
      <c r="NKE31" s="73"/>
      <c r="NKF31" s="73"/>
      <c r="NKG31" s="73"/>
      <c r="NKH31" s="73"/>
      <c r="NKI31" s="73"/>
      <c r="NKJ31" s="73"/>
      <c r="NKK31" s="73"/>
      <c r="NKL31" s="73"/>
      <c r="NKM31" s="73"/>
      <c r="NKN31" s="73"/>
      <c r="NKO31" s="73"/>
      <c r="NKP31" s="73"/>
      <c r="NKQ31" s="73"/>
      <c r="NKR31" s="73"/>
      <c r="NKS31" s="73"/>
      <c r="NKT31" s="73"/>
      <c r="NKU31" s="73"/>
      <c r="NKV31" s="73"/>
      <c r="NKW31" s="73"/>
      <c r="NKX31" s="73"/>
      <c r="NKY31" s="73"/>
      <c r="NKZ31" s="73"/>
      <c r="NLA31" s="73"/>
      <c r="NLB31" s="73"/>
      <c r="NLC31" s="73"/>
      <c r="NLD31" s="73"/>
      <c r="NLE31" s="73"/>
      <c r="NLF31" s="73"/>
      <c r="NLG31" s="73"/>
      <c r="NLH31" s="73"/>
      <c r="NLI31" s="73"/>
      <c r="NLJ31" s="73"/>
      <c r="NLK31" s="73"/>
      <c r="NLL31" s="73"/>
      <c r="NLM31" s="73"/>
      <c r="NLN31" s="73"/>
      <c r="NLO31" s="73"/>
      <c r="NLP31" s="73"/>
      <c r="NLQ31" s="73"/>
      <c r="NLR31" s="73"/>
      <c r="NLS31" s="73"/>
      <c r="NLT31" s="73"/>
      <c r="NLU31" s="73"/>
      <c r="NLV31" s="73"/>
      <c r="NLW31" s="73"/>
      <c r="NLX31" s="73"/>
      <c r="NLY31" s="73"/>
      <c r="NLZ31" s="73"/>
      <c r="NMA31" s="73"/>
      <c r="NMB31" s="73"/>
      <c r="NMC31" s="73"/>
      <c r="NMD31" s="73"/>
      <c r="NME31" s="73"/>
      <c r="NMF31" s="73"/>
      <c r="NMG31" s="73"/>
      <c r="NMH31" s="73"/>
      <c r="NMI31" s="73"/>
      <c r="NMJ31" s="73"/>
      <c r="NMK31" s="73"/>
      <c r="NML31" s="73"/>
      <c r="NMM31" s="73"/>
      <c r="NMN31" s="73"/>
      <c r="NMO31" s="73"/>
      <c r="NMP31" s="73"/>
      <c r="NMQ31" s="73"/>
      <c r="NMR31" s="73"/>
      <c r="NMS31" s="73"/>
      <c r="NMT31" s="73"/>
      <c r="NMU31" s="73"/>
      <c r="NMV31" s="73"/>
      <c r="NMW31" s="73"/>
      <c r="NMX31" s="73"/>
      <c r="NMY31" s="73"/>
      <c r="NMZ31" s="73"/>
      <c r="NNA31" s="73"/>
      <c r="NNB31" s="73"/>
      <c r="NNC31" s="73"/>
      <c r="NND31" s="73"/>
      <c r="NNE31" s="73"/>
      <c r="NNF31" s="73"/>
      <c r="NNG31" s="73"/>
      <c r="NNH31" s="73"/>
      <c r="NNI31" s="73"/>
      <c r="NNJ31" s="73"/>
      <c r="NNK31" s="73"/>
      <c r="NNL31" s="73"/>
      <c r="NNM31" s="73"/>
      <c r="NNN31" s="73"/>
      <c r="NNO31" s="73"/>
      <c r="NNP31" s="73"/>
      <c r="NNQ31" s="73"/>
      <c r="NNR31" s="73"/>
      <c r="NNS31" s="73"/>
      <c r="NNT31" s="73"/>
      <c r="NNU31" s="73"/>
      <c r="NNV31" s="73"/>
      <c r="NNW31" s="73"/>
      <c r="NNX31" s="73"/>
      <c r="NNY31" s="73"/>
      <c r="NNZ31" s="73"/>
      <c r="NOA31" s="73"/>
      <c r="NOB31" s="73"/>
      <c r="NOC31" s="73"/>
      <c r="NOD31" s="73"/>
      <c r="NOE31" s="73"/>
      <c r="NOF31" s="73"/>
      <c r="NOG31" s="73"/>
      <c r="NOH31" s="73"/>
      <c r="NOI31" s="73"/>
      <c r="NOJ31" s="73"/>
      <c r="NOK31" s="73"/>
      <c r="NOL31" s="73"/>
      <c r="NOM31" s="73"/>
      <c r="NON31" s="73"/>
      <c r="NOO31" s="73"/>
      <c r="NOP31" s="73"/>
      <c r="NOQ31" s="73"/>
      <c r="NOR31" s="73"/>
      <c r="NOS31" s="73"/>
      <c r="NOT31" s="73"/>
      <c r="NOU31" s="73"/>
      <c r="NOV31" s="73"/>
      <c r="NOW31" s="73"/>
      <c r="NOX31" s="73"/>
      <c r="NOY31" s="73"/>
      <c r="NOZ31" s="73"/>
      <c r="NPA31" s="73"/>
      <c r="NPB31" s="73"/>
      <c r="NPC31" s="73"/>
      <c r="NPD31" s="73"/>
      <c r="NPE31" s="73"/>
      <c r="NPF31" s="73"/>
      <c r="NPG31" s="73"/>
      <c r="NPH31" s="73"/>
      <c r="NPI31" s="73"/>
      <c r="NPJ31" s="73"/>
      <c r="NPK31" s="73"/>
      <c r="NPL31" s="73"/>
      <c r="NPM31" s="73"/>
      <c r="NPN31" s="73"/>
      <c r="NPO31" s="73"/>
      <c r="NPP31" s="73"/>
      <c r="NPQ31" s="73"/>
      <c r="NPR31" s="73"/>
      <c r="NPS31" s="73"/>
      <c r="NPT31" s="73"/>
      <c r="NPU31" s="73"/>
      <c r="NPV31" s="73"/>
      <c r="NPW31" s="73"/>
      <c r="NPX31" s="73"/>
      <c r="NPY31" s="73"/>
      <c r="NPZ31" s="73"/>
      <c r="NQA31" s="73"/>
      <c r="NQB31" s="73"/>
      <c r="NQC31" s="73"/>
      <c r="NQD31" s="73"/>
      <c r="NQE31" s="73"/>
      <c r="NQF31" s="73"/>
      <c r="NQG31" s="73"/>
      <c r="NQH31" s="73"/>
      <c r="NQI31" s="73"/>
      <c r="NQJ31" s="73"/>
      <c r="NQK31" s="73"/>
      <c r="NQL31" s="73"/>
      <c r="NQM31" s="73"/>
      <c r="NQN31" s="73"/>
      <c r="NQO31" s="73"/>
      <c r="NQP31" s="73"/>
      <c r="NQQ31" s="73"/>
      <c r="NQR31" s="73"/>
      <c r="NQS31" s="73"/>
      <c r="NQT31" s="73"/>
      <c r="NQU31" s="73"/>
      <c r="NQV31" s="73"/>
      <c r="NQW31" s="73"/>
      <c r="NQX31" s="73"/>
      <c r="NQY31" s="73"/>
      <c r="NQZ31" s="73"/>
      <c r="NRA31" s="73"/>
      <c r="NRB31" s="73"/>
      <c r="NRC31" s="73"/>
      <c r="NRD31" s="73"/>
      <c r="NRE31" s="73"/>
      <c r="NRF31" s="73"/>
      <c r="NRG31" s="73"/>
      <c r="NRH31" s="73"/>
      <c r="NRI31" s="73"/>
      <c r="NRJ31" s="73"/>
      <c r="NRK31" s="73"/>
      <c r="NRL31" s="73"/>
      <c r="NRM31" s="73"/>
      <c r="NRN31" s="73"/>
      <c r="NRO31" s="73"/>
      <c r="NRP31" s="73"/>
      <c r="NRQ31" s="73"/>
      <c r="NRR31" s="73"/>
      <c r="NRS31" s="73"/>
      <c r="NRT31" s="73"/>
      <c r="NRU31" s="73"/>
      <c r="NRV31" s="73"/>
      <c r="NRW31" s="73"/>
      <c r="NRX31" s="73"/>
      <c r="NRY31" s="73"/>
      <c r="NRZ31" s="73"/>
      <c r="NSA31" s="73"/>
      <c r="NSB31" s="73"/>
      <c r="NSC31" s="73"/>
      <c r="NSD31" s="73"/>
      <c r="NSE31" s="73"/>
      <c r="NSF31" s="73"/>
      <c r="NSG31" s="73"/>
      <c r="NSH31" s="73"/>
      <c r="NSI31" s="73"/>
      <c r="NSJ31" s="73"/>
      <c r="NSK31" s="73"/>
      <c r="NSL31" s="73"/>
      <c r="NSM31" s="73"/>
      <c r="NSN31" s="73"/>
      <c r="NSO31" s="73"/>
      <c r="NSP31" s="73"/>
      <c r="NSQ31" s="73"/>
      <c r="NSR31" s="73"/>
      <c r="NSS31" s="73"/>
      <c r="NST31" s="73"/>
      <c r="NSU31" s="73"/>
      <c r="NSV31" s="73"/>
      <c r="NSW31" s="73"/>
      <c r="NSX31" s="73"/>
      <c r="NSY31" s="73"/>
      <c r="NSZ31" s="73"/>
      <c r="NTA31" s="73"/>
      <c r="NTB31" s="73"/>
      <c r="NTC31" s="73"/>
      <c r="NTD31" s="73"/>
      <c r="NTE31" s="73"/>
      <c r="NTF31" s="73"/>
      <c r="NTG31" s="73"/>
      <c r="NTH31" s="73"/>
      <c r="NTI31" s="73"/>
      <c r="NTJ31" s="73"/>
      <c r="NTK31" s="73"/>
      <c r="NTL31" s="73"/>
      <c r="NTM31" s="73"/>
      <c r="NTN31" s="73"/>
      <c r="NTO31" s="73"/>
      <c r="NTP31" s="73"/>
      <c r="NTQ31" s="73"/>
      <c r="NTR31" s="73"/>
      <c r="NTS31" s="73"/>
      <c r="NTT31" s="73"/>
      <c r="NTU31" s="73"/>
      <c r="NTV31" s="73"/>
      <c r="NTW31" s="73"/>
      <c r="NTX31" s="73"/>
      <c r="NTY31" s="73"/>
      <c r="NTZ31" s="73"/>
      <c r="NUA31" s="73"/>
      <c r="NUB31" s="73"/>
      <c r="NUC31" s="73"/>
      <c r="NUD31" s="73"/>
      <c r="NUE31" s="73"/>
      <c r="NUF31" s="73"/>
      <c r="NUG31" s="73"/>
      <c r="NUH31" s="73"/>
      <c r="NUI31" s="73"/>
      <c r="NUJ31" s="73"/>
      <c r="NUK31" s="73"/>
      <c r="NUL31" s="73"/>
      <c r="NUM31" s="73"/>
      <c r="NUN31" s="73"/>
      <c r="NUO31" s="73"/>
      <c r="NUP31" s="73"/>
      <c r="NUQ31" s="73"/>
      <c r="NUR31" s="73"/>
      <c r="NUS31" s="73"/>
      <c r="NUT31" s="73"/>
      <c r="NUU31" s="73"/>
      <c r="NUV31" s="73"/>
      <c r="NUW31" s="73"/>
      <c r="NUX31" s="73"/>
      <c r="NUY31" s="73"/>
      <c r="NUZ31" s="73"/>
      <c r="NVA31" s="73"/>
      <c r="NVB31" s="73"/>
      <c r="NVC31" s="73"/>
      <c r="NVD31" s="73"/>
      <c r="NVE31" s="73"/>
      <c r="NVF31" s="73"/>
      <c r="NVG31" s="73"/>
      <c r="NVH31" s="73"/>
      <c r="NVI31" s="73"/>
      <c r="NVJ31" s="73"/>
      <c r="NVK31" s="73"/>
      <c r="NVL31" s="73"/>
      <c r="NVM31" s="73"/>
      <c r="NVN31" s="73"/>
      <c r="NVO31" s="73"/>
      <c r="NVP31" s="73"/>
      <c r="NVQ31" s="73"/>
      <c r="NVR31" s="73"/>
      <c r="NVS31" s="73"/>
      <c r="NVT31" s="73"/>
      <c r="NVU31" s="73"/>
      <c r="NVV31" s="73"/>
      <c r="NVW31" s="73"/>
      <c r="NVX31" s="73"/>
      <c r="NVY31" s="73"/>
      <c r="NVZ31" s="73"/>
      <c r="NWA31" s="73"/>
      <c r="NWB31" s="73"/>
      <c r="NWC31" s="73"/>
      <c r="NWD31" s="73"/>
      <c r="NWE31" s="73"/>
      <c r="NWF31" s="73"/>
      <c r="NWG31" s="73"/>
      <c r="NWH31" s="73"/>
      <c r="NWI31" s="73"/>
      <c r="NWJ31" s="73"/>
      <c r="NWK31" s="73"/>
      <c r="NWL31" s="73"/>
      <c r="NWM31" s="73"/>
      <c r="NWN31" s="73"/>
      <c r="NWO31" s="73"/>
      <c r="NWP31" s="73"/>
      <c r="NWQ31" s="73"/>
      <c r="NWR31" s="73"/>
      <c r="NWS31" s="73"/>
      <c r="NWT31" s="73"/>
      <c r="NWU31" s="73"/>
      <c r="NWV31" s="73"/>
      <c r="NWW31" s="73"/>
      <c r="NWX31" s="73"/>
      <c r="NWY31" s="73"/>
      <c r="NWZ31" s="73"/>
      <c r="NXA31" s="73"/>
      <c r="NXB31" s="73"/>
      <c r="NXC31" s="73"/>
      <c r="NXD31" s="73"/>
      <c r="NXE31" s="73"/>
      <c r="NXF31" s="73"/>
      <c r="NXG31" s="73"/>
      <c r="NXH31" s="73"/>
      <c r="NXI31" s="73"/>
      <c r="NXJ31" s="73"/>
      <c r="NXK31" s="73"/>
      <c r="NXL31" s="73"/>
      <c r="NXM31" s="73"/>
      <c r="NXN31" s="73"/>
      <c r="NXO31" s="73"/>
      <c r="NXP31" s="73"/>
      <c r="NXQ31" s="73"/>
      <c r="NXR31" s="73"/>
      <c r="NXS31" s="73"/>
      <c r="NXT31" s="73"/>
      <c r="NXU31" s="73"/>
      <c r="NXV31" s="73"/>
      <c r="NXW31" s="73"/>
      <c r="NXX31" s="73"/>
      <c r="NXY31" s="73"/>
      <c r="NXZ31" s="73"/>
      <c r="NYA31" s="73"/>
      <c r="NYB31" s="73"/>
      <c r="NYC31" s="73"/>
      <c r="NYD31" s="73"/>
      <c r="NYE31" s="73"/>
      <c r="NYF31" s="73"/>
      <c r="NYG31" s="73"/>
      <c r="NYH31" s="73"/>
      <c r="NYI31" s="73"/>
      <c r="NYJ31" s="73"/>
      <c r="NYK31" s="73"/>
      <c r="NYL31" s="73"/>
      <c r="NYM31" s="73"/>
      <c r="NYN31" s="73"/>
      <c r="NYO31" s="73"/>
      <c r="NYP31" s="73"/>
      <c r="NYQ31" s="73"/>
      <c r="NYR31" s="73"/>
      <c r="NYS31" s="73"/>
      <c r="NYT31" s="73"/>
      <c r="NYU31" s="73"/>
      <c r="NYV31" s="73"/>
      <c r="NYW31" s="73"/>
      <c r="NYX31" s="73"/>
      <c r="NYY31" s="73"/>
      <c r="NYZ31" s="73"/>
      <c r="NZA31" s="73"/>
      <c r="NZB31" s="73"/>
      <c r="NZC31" s="73"/>
      <c r="NZD31" s="73"/>
      <c r="NZE31" s="73"/>
      <c r="NZF31" s="73"/>
      <c r="NZG31" s="73"/>
      <c r="NZH31" s="73"/>
      <c r="NZI31" s="73"/>
      <c r="NZJ31" s="73"/>
      <c r="NZK31" s="73"/>
      <c r="NZL31" s="73"/>
      <c r="NZM31" s="73"/>
      <c r="NZN31" s="73"/>
      <c r="NZO31" s="73"/>
      <c r="NZP31" s="73"/>
      <c r="NZQ31" s="73"/>
      <c r="NZR31" s="73"/>
      <c r="NZS31" s="73"/>
      <c r="NZT31" s="73"/>
      <c r="NZU31" s="73"/>
      <c r="NZV31" s="73"/>
      <c r="NZW31" s="73"/>
      <c r="NZX31" s="73"/>
      <c r="NZY31" s="73"/>
      <c r="NZZ31" s="73"/>
      <c r="OAA31" s="73"/>
      <c r="OAB31" s="73"/>
      <c r="OAC31" s="73"/>
      <c r="OAD31" s="73"/>
      <c r="OAE31" s="73"/>
      <c r="OAF31" s="73"/>
      <c r="OAG31" s="73"/>
      <c r="OAH31" s="73"/>
      <c r="OAI31" s="73"/>
      <c r="OAJ31" s="73"/>
      <c r="OAK31" s="73"/>
      <c r="OAL31" s="73"/>
      <c r="OAM31" s="73"/>
      <c r="OAN31" s="73"/>
      <c r="OAO31" s="73"/>
      <c r="OAP31" s="73"/>
      <c r="OAQ31" s="73"/>
      <c r="OAR31" s="73"/>
      <c r="OAS31" s="73"/>
      <c r="OAT31" s="73"/>
      <c r="OAU31" s="73"/>
      <c r="OAV31" s="73"/>
      <c r="OAW31" s="73"/>
      <c r="OAX31" s="73"/>
      <c r="OAY31" s="73"/>
      <c r="OAZ31" s="73"/>
      <c r="OBA31" s="73"/>
      <c r="OBB31" s="73"/>
      <c r="OBC31" s="73"/>
      <c r="OBD31" s="73"/>
      <c r="OBE31" s="73"/>
      <c r="OBF31" s="73"/>
      <c r="OBG31" s="73"/>
      <c r="OBH31" s="73"/>
      <c r="OBI31" s="73"/>
      <c r="OBJ31" s="73"/>
      <c r="OBK31" s="73"/>
      <c r="OBL31" s="73"/>
      <c r="OBM31" s="73"/>
      <c r="OBN31" s="73"/>
      <c r="OBO31" s="73"/>
      <c r="OBP31" s="73"/>
      <c r="OBQ31" s="73"/>
      <c r="OBR31" s="73"/>
      <c r="OBS31" s="73"/>
      <c r="OBT31" s="73"/>
      <c r="OBU31" s="73"/>
      <c r="OBV31" s="73"/>
      <c r="OBW31" s="73"/>
      <c r="OBX31" s="73"/>
      <c r="OBY31" s="73"/>
      <c r="OBZ31" s="73"/>
      <c r="OCA31" s="73"/>
      <c r="OCB31" s="73"/>
      <c r="OCC31" s="73"/>
      <c r="OCD31" s="73"/>
      <c r="OCE31" s="73"/>
      <c r="OCF31" s="73"/>
      <c r="OCG31" s="73"/>
      <c r="OCH31" s="73"/>
      <c r="OCI31" s="73"/>
      <c r="OCJ31" s="73"/>
      <c r="OCK31" s="73"/>
      <c r="OCL31" s="73"/>
      <c r="OCM31" s="73"/>
      <c r="OCN31" s="73"/>
      <c r="OCO31" s="73"/>
      <c r="OCP31" s="73"/>
      <c r="OCQ31" s="73"/>
      <c r="OCR31" s="73"/>
      <c r="OCS31" s="73"/>
      <c r="OCT31" s="73"/>
      <c r="OCU31" s="73"/>
      <c r="OCV31" s="73"/>
      <c r="OCW31" s="73"/>
      <c r="OCX31" s="73"/>
      <c r="OCY31" s="73"/>
      <c r="OCZ31" s="73"/>
      <c r="ODA31" s="73"/>
      <c r="ODB31" s="73"/>
      <c r="ODC31" s="73"/>
      <c r="ODD31" s="73"/>
      <c r="ODE31" s="73"/>
      <c r="ODF31" s="73"/>
      <c r="ODG31" s="73"/>
      <c r="ODH31" s="73"/>
      <c r="ODI31" s="73"/>
      <c r="ODJ31" s="73"/>
      <c r="ODK31" s="73"/>
      <c r="ODL31" s="73"/>
      <c r="ODM31" s="73"/>
      <c r="ODN31" s="73"/>
      <c r="ODO31" s="73"/>
      <c r="ODP31" s="73"/>
      <c r="ODQ31" s="73"/>
      <c r="ODR31" s="73"/>
      <c r="ODS31" s="73"/>
      <c r="ODT31" s="73"/>
      <c r="ODU31" s="73"/>
      <c r="ODV31" s="73"/>
      <c r="ODW31" s="73"/>
      <c r="ODX31" s="73"/>
      <c r="ODY31" s="73"/>
      <c r="ODZ31" s="73"/>
      <c r="OEA31" s="73"/>
      <c r="OEB31" s="73"/>
      <c r="OEC31" s="73"/>
      <c r="OED31" s="73"/>
      <c r="OEE31" s="73"/>
      <c r="OEF31" s="73"/>
      <c r="OEG31" s="73"/>
      <c r="OEH31" s="73"/>
      <c r="OEI31" s="73"/>
      <c r="OEJ31" s="73"/>
      <c r="OEK31" s="73"/>
      <c r="OEL31" s="73"/>
      <c r="OEM31" s="73"/>
      <c r="OEN31" s="73"/>
      <c r="OEO31" s="73"/>
      <c r="OEP31" s="73"/>
      <c r="OEQ31" s="73"/>
      <c r="OER31" s="73"/>
      <c r="OES31" s="73"/>
      <c r="OET31" s="73"/>
      <c r="OEU31" s="73"/>
      <c r="OEV31" s="73"/>
      <c r="OEW31" s="73"/>
      <c r="OEX31" s="73"/>
      <c r="OEY31" s="73"/>
      <c r="OEZ31" s="73"/>
      <c r="OFA31" s="73"/>
      <c r="OFB31" s="73"/>
      <c r="OFC31" s="73"/>
      <c r="OFD31" s="73"/>
      <c r="OFE31" s="73"/>
      <c r="OFF31" s="73"/>
      <c r="OFG31" s="73"/>
      <c r="OFH31" s="73"/>
      <c r="OFI31" s="73"/>
      <c r="OFJ31" s="73"/>
      <c r="OFK31" s="73"/>
      <c r="OFL31" s="73"/>
      <c r="OFM31" s="73"/>
      <c r="OFN31" s="73"/>
      <c r="OFO31" s="73"/>
      <c r="OFP31" s="73"/>
      <c r="OFQ31" s="73"/>
      <c r="OFR31" s="73"/>
      <c r="OFS31" s="73"/>
      <c r="OFT31" s="73"/>
      <c r="OFU31" s="73"/>
      <c r="OFV31" s="73"/>
      <c r="OFW31" s="73"/>
      <c r="OFX31" s="73"/>
      <c r="OFY31" s="73"/>
      <c r="OFZ31" s="73"/>
      <c r="OGA31" s="73"/>
      <c r="OGB31" s="73"/>
      <c r="OGC31" s="73"/>
      <c r="OGD31" s="73"/>
      <c r="OGE31" s="73"/>
      <c r="OGF31" s="73"/>
      <c r="OGG31" s="73"/>
      <c r="OGH31" s="73"/>
      <c r="OGI31" s="73"/>
      <c r="OGJ31" s="73"/>
      <c r="OGK31" s="73"/>
      <c r="OGL31" s="73"/>
      <c r="OGM31" s="73"/>
      <c r="OGN31" s="73"/>
      <c r="OGO31" s="73"/>
      <c r="OGP31" s="73"/>
      <c r="OGQ31" s="73"/>
      <c r="OGR31" s="73"/>
      <c r="OGS31" s="73"/>
      <c r="OGT31" s="73"/>
      <c r="OGU31" s="73"/>
      <c r="OGV31" s="73"/>
      <c r="OGW31" s="73"/>
      <c r="OGX31" s="73"/>
      <c r="OGY31" s="73"/>
      <c r="OGZ31" s="73"/>
      <c r="OHA31" s="73"/>
      <c r="OHB31" s="73"/>
      <c r="OHC31" s="73"/>
      <c r="OHD31" s="73"/>
      <c r="OHE31" s="73"/>
      <c r="OHF31" s="73"/>
      <c r="OHG31" s="73"/>
      <c r="OHH31" s="73"/>
      <c r="OHI31" s="73"/>
      <c r="OHJ31" s="73"/>
      <c r="OHK31" s="73"/>
      <c r="OHL31" s="73"/>
      <c r="OHM31" s="73"/>
      <c r="OHN31" s="73"/>
      <c r="OHO31" s="73"/>
      <c r="OHP31" s="73"/>
      <c r="OHQ31" s="73"/>
      <c r="OHR31" s="73"/>
      <c r="OHS31" s="73"/>
      <c r="OHT31" s="73"/>
      <c r="OHU31" s="73"/>
      <c r="OHV31" s="73"/>
      <c r="OHW31" s="73"/>
      <c r="OHX31" s="73"/>
      <c r="OHY31" s="73"/>
      <c r="OHZ31" s="73"/>
      <c r="OIA31" s="73"/>
      <c r="OIB31" s="73"/>
      <c r="OIC31" s="73"/>
      <c r="OID31" s="73"/>
      <c r="OIE31" s="73"/>
      <c r="OIF31" s="73"/>
      <c r="OIG31" s="73"/>
      <c r="OIH31" s="73"/>
      <c r="OII31" s="73"/>
      <c r="OIJ31" s="73"/>
      <c r="OIK31" s="73"/>
      <c r="OIL31" s="73"/>
      <c r="OIM31" s="73"/>
      <c r="OIN31" s="73"/>
      <c r="OIO31" s="73"/>
      <c r="OIP31" s="73"/>
      <c r="OIQ31" s="73"/>
      <c r="OIR31" s="73"/>
      <c r="OIS31" s="73"/>
      <c r="OIT31" s="73"/>
      <c r="OIU31" s="73"/>
      <c r="OIV31" s="73"/>
      <c r="OIW31" s="73"/>
      <c r="OIX31" s="73"/>
      <c r="OIY31" s="73"/>
      <c r="OIZ31" s="73"/>
      <c r="OJA31" s="73"/>
      <c r="OJB31" s="73"/>
      <c r="OJC31" s="73"/>
      <c r="OJD31" s="73"/>
      <c r="OJE31" s="73"/>
      <c r="OJF31" s="73"/>
      <c r="OJG31" s="73"/>
      <c r="OJH31" s="73"/>
      <c r="OJI31" s="73"/>
      <c r="OJJ31" s="73"/>
      <c r="OJK31" s="73"/>
      <c r="OJL31" s="73"/>
      <c r="OJM31" s="73"/>
      <c r="OJN31" s="73"/>
      <c r="OJO31" s="73"/>
      <c r="OJP31" s="73"/>
      <c r="OJQ31" s="73"/>
      <c r="OJR31" s="73"/>
      <c r="OJS31" s="73"/>
      <c r="OJT31" s="73"/>
      <c r="OJU31" s="73"/>
      <c r="OJV31" s="73"/>
      <c r="OJW31" s="73"/>
      <c r="OJX31" s="73"/>
      <c r="OJY31" s="73"/>
      <c r="OJZ31" s="73"/>
      <c r="OKA31" s="73"/>
      <c r="OKB31" s="73"/>
      <c r="OKC31" s="73"/>
      <c r="OKD31" s="73"/>
      <c r="OKE31" s="73"/>
      <c r="OKF31" s="73"/>
      <c r="OKG31" s="73"/>
      <c r="OKH31" s="73"/>
      <c r="OKI31" s="73"/>
      <c r="OKJ31" s="73"/>
      <c r="OKK31" s="73"/>
      <c r="OKL31" s="73"/>
      <c r="OKM31" s="73"/>
      <c r="OKN31" s="73"/>
      <c r="OKO31" s="73"/>
      <c r="OKP31" s="73"/>
      <c r="OKQ31" s="73"/>
      <c r="OKR31" s="73"/>
      <c r="OKS31" s="73"/>
      <c r="OKT31" s="73"/>
      <c r="OKU31" s="73"/>
      <c r="OKV31" s="73"/>
      <c r="OKW31" s="73"/>
      <c r="OKX31" s="73"/>
      <c r="OKY31" s="73"/>
      <c r="OKZ31" s="73"/>
      <c r="OLA31" s="73"/>
      <c r="OLB31" s="73"/>
      <c r="OLC31" s="73"/>
      <c r="OLD31" s="73"/>
      <c r="OLE31" s="73"/>
      <c r="OLF31" s="73"/>
      <c r="OLG31" s="73"/>
      <c r="OLH31" s="73"/>
      <c r="OLI31" s="73"/>
      <c r="OLJ31" s="73"/>
      <c r="OLK31" s="73"/>
      <c r="OLL31" s="73"/>
      <c r="OLM31" s="73"/>
      <c r="OLN31" s="73"/>
      <c r="OLO31" s="73"/>
      <c r="OLP31" s="73"/>
      <c r="OLQ31" s="73"/>
      <c r="OLR31" s="73"/>
      <c r="OLS31" s="73"/>
      <c r="OLT31" s="73"/>
      <c r="OLU31" s="73"/>
      <c r="OLV31" s="73"/>
      <c r="OLW31" s="73"/>
      <c r="OLX31" s="73"/>
      <c r="OLY31" s="73"/>
      <c r="OLZ31" s="73"/>
      <c r="OMA31" s="73"/>
      <c r="OMB31" s="73"/>
      <c r="OMC31" s="73"/>
      <c r="OMD31" s="73"/>
      <c r="OME31" s="73"/>
      <c r="OMF31" s="73"/>
      <c r="OMG31" s="73"/>
      <c r="OMH31" s="73"/>
      <c r="OMI31" s="73"/>
      <c r="OMJ31" s="73"/>
      <c r="OMK31" s="73"/>
      <c r="OML31" s="73"/>
      <c r="OMM31" s="73"/>
      <c r="OMN31" s="73"/>
      <c r="OMO31" s="73"/>
      <c r="OMP31" s="73"/>
      <c r="OMQ31" s="73"/>
      <c r="OMR31" s="73"/>
      <c r="OMS31" s="73"/>
      <c r="OMT31" s="73"/>
      <c r="OMU31" s="73"/>
      <c r="OMV31" s="73"/>
      <c r="OMW31" s="73"/>
      <c r="OMX31" s="73"/>
      <c r="OMY31" s="73"/>
      <c r="OMZ31" s="73"/>
      <c r="ONA31" s="73"/>
      <c r="ONB31" s="73"/>
      <c r="ONC31" s="73"/>
      <c r="OND31" s="73"/>
      <c r="ONE31" s="73"/>
      <c r="ONF31" s="73"/>
      <c r="ONG31" s="73"/>
      <c r="ONH31" s="73"/>
      <c r="ONI31" s="73"/>
      <c r="ONJ31" s="73"/>
      <c r="ONK31" s="73"/>
      <c r="ONL31" s="73"/>
      <c r="ONM31" s="73"/>
      <c r="ONN31" s="73"/>
      <c r="ONO31" s="73"/>
      <c r="ONP31" s="73"/>
      <c r="ONQ31" s="73"/>
      <c r="ONR31" s="73"/>
      <c r="ONS31" s="73"/>
      <c r="ONT31" s="73"/>
      <c r="ONU31" s="73"/>
      <c r="ONV31" s="73"/>
      <c r="ONW31" s="73"/>
      <c r="ONX31" s="73"/>
      <c r="ONY31" s="73"/>
      <c r="ONZ31" s="73"/>
      <c r="OOA31" s="73"/>
      <c r="OOB31" s="73"/>
      <c r="OOC31" s="73"/>
      <c r="OOD31" s="73"/>
      <c r="OOE31" s="73"/>
      <c r="OOF31" s="73"/>
      <c r="OOG31" s="73"/>
      <c r="OOH31" s="73"/>
      <c r="OOI31" s="73"/>
      <c r="OOJ31" s="73"/>
      <c r="OOK31" s="73"/>
      <c r="OOL31" s="73"/>
      <c r="OOM31" s="73"/>
      <c r="OON31" s="73"/>
      <c r="OOO31" s="73"/>
      <c r="OOP31" s="73"/>
      <c r="OOQ31" s="73"/>
      <c r="OOR31" s="73"/>
      <c r="OOS31" s="73"/>
      <c r="OOT31" s="73"/>
      <c r="OOU31" s="73"/>
      <c r="OOV31" s="73"/>
      <c r="OOW31" s="73"/>
      <c r="OOX31" s="73"/>
      <c r="OOY31" s="73"/>
      <c r="OOZ31" s="73"/>
      <c r="OPA31" s="73"/>
      <c r="OPB31" s="73"/>
      <c r="OPC31" s="73"/>
      <c r="OPD31" s="73"/>
      <c r="OPE31" s="73"/>
      <c r="OPF31" s="73"/>
      <c r="OPG31" s="73"/>
      <c r="OPH31" s="73"/>
      <c r="OPI31" s="73"/>
      <c r="OPJ31" s="73"/>
      <c r="OPK31" s="73"/>
      <c r="OPL31" s="73"/>
      <c r="OPM31" s="73"/>
      <c r="OPN31" s="73"/>
      <c r="OPO31" s="73"/>
      <c r="OPP31" s="73"/>
      <c r="OPQ31" s="73"/>
      <c r="OPR31" s="73"/>
      <c r="OPS31" s="73"/>
      <c r="OPT31" s="73"/>
      <c r="OPU31" s="73"/>
      <c r="OPV31" s="73"/>
      <c r="OPW31" s="73"/>
      <c r="OPX31" s="73"/>
      <c r="OPY31" s="73"/>
      <c r="OPZ31" s="73"/>
      <c r="OQA31" s="73"/>
      <c r="OQB31" s="73"/>
      <c r="OQC31" s="73"/>
      <c r="OQD31" s="73"/>
      <c r="OQE31" s="73"/>
      <c r="OQF31" s="73"/>
      <c r="OQG31" s="73"/>
      <c r="OQH31" s="73"/>
      <c r="OQI31" s="73"/>
      <c r="OQJ31" s="73"/>
      <c r="OQK31" s="73"/>
      <c r="OQL31" s="73"/>
      <c r="OQM31" s="73"/>
      <c r="OQN31" s="73"/>
      <c r="OQO31" s="73"/>
      <c r="OQP31" s="73"/>
      <c r="OQQ31" s="73"/>
      <c r="OQR31" s="73"/>
      <c r="OQS31" s="73"/>
      <c r="OQT31" s="73"/>
      <c r="OQU31" s="73"/>
      <c r="OQV31" s="73"/>
      <c r="OQW31" s="73"/>
      <c r="OQX31" s="73"/>
      <c r="OQY31" s="73"/>
      <c r="OQZ31" s="73"/>
      <c r="ORA31" s="73"/>
      <c r="ORB31" s="73"/>
      <c r="ORC31" s="73"/>
      <c r="ORD31" s="73"/>
      <c r="ORE31" s="73"/>
      <c r="ORF31" s="73"/>
      <c r="ORG31" s="73"/>
      <c r="ORH31" s="73"/>
      <c r="ORI31" s="73"/>
      <c r="ORJ31" s="73"/>
      <c r="ORK31" s="73"/>
      <c r="ORL31" s="73"/>
      <c r="ORM31" s="73"/>
      <c r="ORN31" s="73"/>
      <c r="ORO31" s="73"/>
      <c r="ORP31" s="73"/>
      <c r="ORQ31" s="73"/>
      <c r="ORR31" s="73"/>
      <c r="ORS31" s="73"/>
      <c r="ORT31" s="73"/>
      <c r="ORU31" s="73"/>
      <c r="ORV31" s="73"/>
      <c r="ORW31" s="73"/>
      <c r="ORX31" s="73"/>
      <c r="ORY31" s="73"/>
      <c r="ORZ31" s="73"/>
      <c r="OSA31" s="73"/>
      <c r="OSB31" s="73"/>
      <c r="OSC31" s="73"/>
      <c r="OSD31" s="73"/>
      <c r="OSE31" s="73"/>
      <c r="OSF31" s="73"/>
      <c r="OSG31" s="73"/>
      <c r="OSH31" s="73"/>
      <c r="OSI31" s="73"/>
      <c r="OSJ31" s="73"/>
      <c r="OSK31" s="73"/>
      <c r="OSL31" s="73"/>
      <c r="OSM31" s="73"/>
      <c r="OSN31" s="73"/>
      <c r="OSO31" s="73"/>
      <c r="OSP31" s="73"/>
      <c r="OSQ31" s="73"/>
      <c r="OSR31" s="73"/>
      <c r="OSS31" s="73"/>
      <c r="OST31" s="73"/>
      <c r="OSU31" s="73"/>
      <c r="OSV31" s="73"/>
      <c r="OSW31" s="73"/>
      <c r="OSX31" s="73"/>
      <c r="OSY31" s="73"/>
      <c r="OSZ31" s="73"/>
      <c r="OTA31" s="73"/>
      <c r="OTB31" s="73"/>
      <c r="OTC31" s="73"/>
      <c r="OTD31" s="73"/>
      <c r="OTE31" s="73"/>
      <c r="OTF31" s="73"/>
      <c r="OTG31" s="73"/>
      <c r="OTH31" s="73"/>
      <c r="OTI31" s="73"/>
      <c r="OTJ31" s="73"/>
      <c r="OTK31" s="73"/>
      <c r="OTL31" s="73"/>
      <c r="OTM31" s="73"/>
      <c r="OTN31" s="73"/>
      <c r="OTO31" s="73"/>
      <c r="OTP31" s="73"/>
      <c r="OTQ31" s="73"/>
      <c r="OTR31" s="73"/>
      <c r="OTS31" s="73"/>
      <c r="OTT31" s="73"/>
      <c r="OTU31" s="73"/>
      <c r="OTV31" s="73"/>
      <c r="OTW31" s="73"/>
      <c r="OTX31" s="73"/>
      <c r="OTY31" s="73"/>
      <c r="OTZ31" s="73"/>
      <c r="OUA31" s="73"/>
      <c r="OUB31" s="73"/>
      <c r="OUC31" s="73"/>
      <c r="OUD31" s="73"/>
      <c r="OUE31" s="73"/>
      <c r="OUF31" s="73"/>
      <c r="OUG31" s="73"/>
      <c r="OUH31" s="73"/>
      <c r="OUI31" s="73"/>
      <c r="OUJ31" s="73"/>
      <c r="OUK31" s="73"/>
      <c r="OUL31" s="73"/>
      <c r="OUM31" s="73"/>
      <c r="OUN31" s="73"/>
      <c r="OUO31" s="73"/>
      <c r="OUP31" s="73"/>
      <c r="OUQ31" s="73"/>
      <c r="OUR31" s="73"/>
      <c r="OUS31" s="73"/>
      <c r="OUT31" s="73"/>
      <c r="OUU31" s="73"/>
      <c r="OUV31" s="73"/>
      <c r="OUW31" s="73"/>
      <c r="OUX31" s="73"/>
      <c r="OUY31" s="73"/>
      <c r="OUZ31" s="73"/>
      <c r="OVA31" s="73"/>
      <c r="OVB31" s="73"/>
      <c r="OVC31" s="73"/>
      <c r="OVD31" s="73"/>
      <c r="OVE31" s="73"/>
      <c r="OVF31" s="73"/>
      <c r="OVG31" s="73"/>
      <c r="OVH31" s="73"/>
      <c r="OVI31" s="73"/>
      <c r="OVJ31" s="73"/>
      <c r="OVK31" s="73"/>
      <c r="OVL31" s="73"/>
      <c r="OVM31" s="73"/>
      <c r="OVN31" s="73"/>
      <c r="OVO31" s="73"/>
      <c r="OVP31" s="73"/>
      <c r="OVQ31" s="73"/>
      <c r="OVR31" s="73"/>
      <c r="OVS31" s="73"/>
      <c r="OVT31" s="73"/>
      <c r="OVU31" s="73"/>
      <c r="OVV31" s="73"/>
      <c r="OVW31" s="73"/>
      <c r="OVX31" s="73"/>
      <c r="OVY31" s="73"/>
      <c r="OVZ31" s="73"/>
      <c r="OWA31" s="73"/>
      <c r="OWB31" s="73"/>
      <c r="OWC31" s="73"/>
      <c r="OWD31" s="73"/>
      <c r="OWE31" s="73"/>
      <c r="OWF31" s="73"/>
      <c r="OWG31" s="73"/>
      <c r="OWH31" s="73"/>
      <c r="OWI31" s="73"/>
      <c r="OWJ31" s="73"/>
      <c r="OWK31" s="73"/>
      <c r="OWL31" s="73"/>
      <c r="OWM31" s="73"/>
      <c r="OWN31" s="73"/>
      <c r="OWO31" s="73"/>
      <c r="OWP31" s="73"/>
      <c r="OWQ31" s="73"/>
      <c r="OWR31" s="73"/>
      <c r="OWS31" s="73"/>
      <c r="OWT31" s="73"/>
      <c r="OWU31" s="73"/>
      <c r="OWV31" s="73"/>
      <c r="OWW31" s="73"/>
      <c r="OWX31" s="73"/>
      <c r="OWY31" s="73"/>
      <c r="OWZ31" s="73"/>
      <c r="OXA31" s="73"/>
      <c r="OXB31" s="73"/>
      <c r="OXC31" s="73"/>
      <c r="OXD31" s="73"/>
      <c r="OXE31" s="73"/>
      <c r="OXF31" s="73"/>
      <c r="OXG31" s="73"/>
      <c r="OXH31" s="73"/>
      <c r="OXI31" s="73"/>
      <c r="OXJ31" s="73"/>
      <c r="OXK31" s="73"/>
      <c r="OXL31" s="73"/>
      <c r="OXM31" s="73"/>
      <c r="OXN31" s="73"/>
      <c r="OXO31" s="73"/>
      <c r="OXP31" s="73"/>
      <c r="OXQ31" s="73"/>
      <c r="OXR31" s="73"/>
      <c r="OXS31" s="73"/>
      <c r="OXT31" s="73"/>
      <c r="OXU31" s="73"/>
      <c r="OXV31" s="73"/>
      <c r="OXW31" s="73"/>
      <c r="OXX31" s="73"/>
      <c r="OXY31" s="73"/>
      <c r="OXZ31" s="73"/>
      <c r="OYA31" s="73"/>
      <c r="OYB31" s="73"/>
      <c r="OYC31" s="73"/>
      <c r="OYD31" s="73"/>
      <c r="OYE31" s="73"/>
      <c r="OYF31" s="73"/>
      <c r="OYG31" s="73"/>
      <c r="OYH31" s="73"/>
      <c r="OYI31" s="73"/>
      <c r="OYJ31" s="73"/>
      <c r="OYK31" s="73"/>
      <c r="OYL31" s="73"/>
      <c r="OYM31" s="73"/>
      <c r="OYN31" s="73"/>
      <c r="OYO31" s="73"/>
      <c r="OYP31" s="73"/>
      <c r="OYQ31" s="73"/>
      <c r="OYR31" s="73"/>
      <c r="OYS31" s="73"/>
      <c r="OYT31" s="73"/>
      <c r="OYU31" s="73"/>
      <c r="OYV31" s="73"/>
      <c r="OYW31" s="73"/>
      <c r="OYX31" s="73"/>
      <c r="OYY31" s="73"/>
      <c r="OYZ31" s="73"/>
      <c r="OZA31" s="73"/>
      <c r="OZB31" s="73"/>
      <c r="OZC31" s="73"/>
      <c r="OZD31" s="73"/>
      <c r="OZE31" s="73"/>
      <c r="OZF31" s="73"/>
      <c r="OZG31" s="73"/>
      <c r="OZH31" s="73"/>
      <c r="OZI31" s="73"/>
      <c r="OZJ31" s="73"/>
      <c r="OZK31" s="73"/>
      <c r="OZL31" s="73"/>
      <c r="OZM31" s="73"/>
      <c r="OZN31" s="73"/>
      <c r="OZO31" s="73"/>
      <c r="OZP31" s="73"/>
      <c r="OZQ31" s="73"/>
      <c r="OZR31" s="73"/>
      <c r="OZS31" s="73"/>
      <c r="OZT31" s="73"/>
      <c r="OZU31" s="73"/>
      <c r="OZV31" s="73"/>
      <c r="OZW31" s="73"/>
      <c r="OZX31" s="73"/>
      <c r="OZY31" s="73"/>
      <c r="OZZ31" s="73"/>
      <c r="PAA31" s="73"/>
      <c r="PAB31" s="73"/>
      <c r="PAC31" s="73"/>
      <c r="PAD31" s="73"/>
      <c r="PAE31" s="73"/>
      <c r="PAF31" s="73"/>
      <c r="PAG31" s="73"/>
      <c r="PAH31" s="73"/>
      <c r="PAI31" s="73"/>
      <c r="PAJ31" s="73"/>
      <c r="PAK31" s="73"/>
      <c r="PAL31" s="73"/>
      <c r="PAM31" s="73"/>
      <c r="PAN31" s="73"/>
      <c r="PAO31" s="73"/>
      <c r="PAP31" s="73"/>
      <c r="PAQ31" s="73"/>
      <c r="PAR31" s="73"/>
      <c r="PAS31" s="73"/>
      <c r="PAT31" s="73"/>
      <c r="PAU31" s="73"/>
      <c r="PAV31" s="73"/>
      <c r="PAW31" s="73"/>
      <c r="PAX31" s="73"/>
      <c r="PAY31" s="73"/>
      <c r="PAZ31" s="73"/>
      <c r="PBA31" s="73"/>
      <c r="PBB31" s="73"/>
      <c r="PBC31" s="73"/>
      <c r="PBD31" s="73"/>
      <c r="PBE31" s="73"/>
      <c r="PBF31" s="73"/>
      <c r="PBG31" s="73"/>
      <c r="PBH31" s="73"/>
      <c r="PBI31" s="73"/>
      <c r="PBJ31" s="73"/>
      <c r="PBK31" s="73"/>
      <c r="PBL31" s="73"/>
      <c r="PBM31" s="73"/>
      <c r="PBN31" s="73"/>
      <c r="PBO31" s="73"/>
      <c r="PBP31" s="73"/>
      <c r="PBQ31" s="73"/>
      <c r="PBR31" s="73"/>
      <c r="PBS31" s="73"/>
      <c r="PBT31" s="73"/>
      <c r="PBU31" s="73"/>
      <c r="PBV31" s="73"/>
      <c r="PBW31" s="73"/>
      <c r="PBX31" s="73"/>
      <c r="PBY31" s="73"/>
      <c r="PBZ31" s="73"/>
      <c r="PCA31" s="73"/>
      <c r="PCB31" s="73"/>
      <c r="PCC31" s="73"/>
      <c r="PCD31" s="73"/>
      <c r="PCE31" s="73"/>
      <c r="PCF31" s="73"/>
      <c r="PCG31" s="73"/>
      <c r="PCH31" s="73"/>
      <c r="PCI31" s="73"/>
      <c r="PCJ31" s="73"/>
      <c r="PCK31" s="73"/>
      <c r="PCL31" s="73"/>
      <c r="PCM31" s="73"/>
      <c r="PCN31" s="73"/>
      <c r="PCO31" s="73"/>
      <c r="PCP31" s="73"/>
      <c r="PCQ31" s="73"/>
      <c r="PCR31" s="73"/>
      <c r="PCS31" s="73"/>
      <c r="PCT31" s="73"/>
      <c r="PCU31" s="73"/>
      <c r="PCV31" s="73"/>
      <c r="PCW31" s="73"/>
      <c r="PCX31" s="73"/>
      <c r="PCY31" s="73"/>
      <c r="PCZ31" s="73"/>
      <c r="PDA31" s="73"/>
      <c r="PDB31" s="73"/>
      <c r="PDC31" s="73"/>
      <c r="PDD31" s="73"/>
      <c r="PDE31" s="73"/>
      <c r="PDF31" s="73"/>
      <c r="PDG31" s="73"/>
      <c r="PDH31" s="73"/>
      <c r="PDI31" s="73"/>
      <c r="PDJ31" s="73"/>
      <c r="PDK31" s="73"/>
      <c r="PDL31" s="73"/>
      <c r="PDM31" s="73"/>
      <c r="PDN31" s="73"/>
      <c r="PDO31" s="73"/>
      <c r="PDP31" s="73"/>
      <c r="PDQ31" s="73"/>
      <c r="PDR31" s="73"/>
      <c r="PDS31" s="73"/>
      <c r="PDT31" s="73"/>
      <c r="PDU31" s="73"/>
      <c r="PDV31" s="73"/>
      <c r="PDW31" s="73"/>
      <c r="PDX31" s="73"/>
      <c r="PDY31" s="73"/>
      <c r="PDZ31" s="73"/>
      <c r="PEA31" s="73"/>
      <c r="PEB31" s="73"/>
      <c r="PEC31" s="73"/>
      <c r="PED31" s="73"/>
      <c r="PEE31" s="73"/>
      <c r="PEF31" s="73"/>
      <c r="PEG31" s="73"/>
      <c r="PEH31" s="73"/>
      <c r="PEI31" s="73"/>
      <c r="PEJ31" s="73"/>
      <c r="PEK31" s="73"/>
      <c r="PEL31" s="73"/>
      <c r="PEM31" s="73"/>
      <c r="PEN31" s="73"/>
      <c r="PEO31" s="73"/>
      <c r="PEP31" s="73"/>
      <c r="PEQ31" s="73"/>
      <c r="PER31" s="73"/>
      <c r="PES31" s="73"/>
      <c r="PET31" s="73"/>
      <c r="PEU31" s="73"/>
      <c r="PEV31" s="73"/>
      <c r="PEW31" s="73"/>
      <c r="PEX31" s="73"/>
      <c r="PEY31" s="73"/>
      <c r="PEZ31" s="73"/>
      <c r="PFA31" s="73"/>
      <c r="PFB31" s="73"/>
      <c r="PFC31" s="73"/>
      <c r="PFD31" s="73"/>
      <c r="PFE31" s="73"/>
      <c r="PFF31" s="73"/>
      <c r="PFG31" s="73"/>
      <c r="PFH31" s="73"/>
      <c r="PFI31" s="73"/>
      <c r="PFJ31" s="73"/>
      <c r="PFK31" s="73"/>
      <c r="PFL31" s="73"/>
      <c r="PFM31" s="73"/>
      <c r="PFN31" s="73"/>
      <c r="PFO31" s="73"/>
      <c r="PFP31" s="73"/>
      <c r="PFQ31" s="73"/>
      <c r="PFR31" s="73"/>
      <c r="PFS31" s="73"/>
      <c r="PFT31" s="73"/>
      <c r="PFU31" s="73"/>
      <c r="PFV31" s="73"/>
      <c r="PFW31" s="73"/>
      <c r="PFX31" s="73"/>
      <c r="PFY31" s="73"/>
      <c r="PFZ31" s="73"/>
      <c r="PGA31" s="73"/>
      <c r="PGB31" s="73"/>
      <c r="PGC31" s="73"/>
      <c r="PGD31" s="73"/>
      <c r="PGE31" s="73"/>
      <c r="PGF31" s="73"/>
      <c r="PGG31" s="73"/>
      <c r="PGH31" s="73"/>
      <c r="PGI31" s="73"/>
      <c r="PGJ31" s="73"/>
      <c r="PGK31" s="73"/>
      <c r="PGL31" s="73"/>
      <c r="PGM31" s="73"/>
      <c r="PGN31" s="73"/>
      <c r="PGO31" s="73"/>
      <c r="PGP31" s="73"/>
      <c r="PGQ31" s="73"/>
      <c r="PGR31" s="73"/>
      <c r="PGS31" s="73"/>
      <c r="PGT31" s="73"/>
      <c r="PGU31" s="73"/>
      <c r="PGV31" s="73"/>
      <c r="PGW31" s="73"/>
      <c r="PGX31" s="73"/>
      <c r="PGY31" s="73"/>
      <c r="PGZ31" s="73"/>
      <c r="PHA31" s="73"/>
      <c r="PHB31" s="73"/>
      <c r="PHC31" s="73"/>
      <c r="PHD31" s="73"/>
      <c r="PHE31" s="73"/>
      <c r="PHF31" s="73"/>
      <c r="PHG31" s="73"/>
      <c r="PHH31" s="73"/>
      <c r="PHI31" s="73"/>
      <c r="PHJ31" s="73"/>
      <c r="PHK31" s="73"/>
      <c r="PHL31" s="73"/>
      <c r="PHM31" s="73"/>
      <c r="PHN31" s="73"/>
      <c r="PHO31" s="73"/>
      <c r="PHP31" s="73"/>
      <c r="PHQ31" s="73"/>
      <c r="PHR31" s="73"/>
      <c r="PHS31" s="73"/>
      <c r="PHT31" s="73"/>
      <c r="PHU31" s="73"/>
      <c r="PHV31" s="73"/>
      <c r="PHW31" s="73"/>
      <c r="PHX31" s="73"/>
      <c r="PHY31" s="73"/>
      <c r="PHZ31" s="73"/>
      <c r="PIA31" s="73"/>
      <c r="PIB31" s="73"/>
      <c r="PIC31" s="73"/>
      <c r="PID31" s="73"/>
      <c r="PIE31" s="73"/>
      <c r="PIF31" s="73"/>
      <c r="PIG31" s="73"/>
      <c r="PIH31" s="73"/>
      <c r="PII31" s="73"/>
      <c r="PIJ31" s="73"/>
      <c r="PIK31" s="73"/>
      <c r="PIL31" s="73"/>
      <c r="PIM31" s="73"/>
      <c r="PIN31" s="73"/>
      <c r="PIO31" s="73"/>
      <c r="PIP31" s="73"/>
      <c r="PIQ31" s="73"/>
      <c r="PIR31" s="73"/>
      <c r="PIS31" s="73"/>
      <c r="PIT31" s="73"/>
      <c r="PIU31" s="73"/>
      <c r="PIV31" s="73"/>
      <c r="PIW31" s="73"/>
      <c r="PIX31" s="73"/>
      <c r="PIY31" s="73"/>
      <c r="PIZ31" s="73"/>
      <c r="PJA31" s="73"/>
      <c r="PJB31" s="73"/>
      <c r="PJC31" s="73"/>
      <c r="PJD31" s="73"/>
      <c r="PJE31" s="73"/>
      <c r="PJF31" s="73"/>
      <c r="PJG31" s="73"/>
      <c r="PJH31" s="73"/>
      <c r="PJI31" s="73"/>
      <c r="PJJ31" s="73"/>
      <c r="PJK31" s="73"/>
      <c r="PJL31" s="73"/>
      <c r="PJM31" s="73"/>
      <c r="PJN31" s="73"/>
      <c r="PJO31" s="73"/>
      <c r="PJP31" s="73"/>
      <c r="PJQ31" s="73"/>
      <c r="PJR31" s="73"/>
      <c r="PJS31" s="73"/>
      <c r="PJT31" s="73"/>
      <c r="PJU31" s="73"/>
      <c r="PJV31" s="73"/>
      <c r="PJW31" s="73"/>
      <c r="PJX31" s="73"/>
      <c r="PJY31" s="73"/>
      <c r="PJZ31" s="73"/>
      <c r="PKA31" s="73"/>
      <c r="PKB31" s="73"/>
      <c r="PKC31" s="73"/>
      <c r="PKD31" s="73"/>
      <c r="PKE31" s="73"/>
      <c r="PKF31" s="73"/>
      <c r="PKG31" s="73"/>
      <c r="PKH31" s="73"/>
      <c r="PKI31" s="73"/>
      <c r="PKJ31" s="73"/>
      <c r="PKK31" s="73"/>
      <c r="PKL31" s="73"/>
      <c r="PKM31" s="73"/>
      <c r="PKN31" s="73"/>
      <c r="PKO31" s="73"/>
      <c r="PKP31" s="73"/>
      <c r="PKQ31" s="73"/>
      <c r="PKR31" s="73"/>
      <c r="PKS31" s="73"/>
      <c r="PKT31" s="73"/>
      <c r="PKU31" s="73"/>
      <c r="PKV31" s="73"/>
      <c r="PKW31" s="73"/>
      <c r="PKX31" s="73"/>
      <c r="PKY31" s="73"/>
      <c r="PKZ31" s="73"/>
      <c r="PLA31" s="73"/>
      <c r="PLB31" s="73"/>
      <c r="PLC31" s="73"/>
      <c r="PLD31" s="73"/>
      <c r="PLE31" s="73"/>
      <c r="PLF31" s="73"/>
      <c r="PLG31" s="73"/>
      <c r="PLH31" s="73"/>
      <c r="PLI31" s="73"/>
      <c r="PLJ31" s="73"/>
      <c r="PLK31" s="73"/>
      <c r="PLL31" s="73"/>
      <c r="PLM31" s="73"/>
      <c r="PLN31" s="73"/>
      <c r="PLO31" s="73"/>
      <c r="PLP31" s="73"/>
      <c r="PLQ31" s="73"/>
      <c r="PLR31" s="73"/>
      <c r="PLS31" s="73"/>
      <c r="PLT31" s="73"/>
      <c r="PLU31" s="73"/>
      <c r="PLV31" s="73"/>
      <c r="PLW31" s="73"/>
      <c r="PLX31" s="73"/>
      <c r="PLY31" s="73"/>
      <c r="PLZ31" s="73"/>
      <c r="PMA31" s="73"/>
      <c r="PMB31" s="73"/>
      <c r="PMC31" s="73"/>
      <c r="PMD31" s="73"/>
      <c r="PME31" s="73"/>
      <c r="PMF31" s="73"/>
      <c r="PMG31" s="73"/>
      <c r="PMH31" s="73"/>
      <c r="PMI31" s="73"/>
      <c r="PMJ31" s="73"/>
      <c r="PMK31" s="73"/>
      <c r="PML31" s="73"/>
      <c r="PMM31" s="73"/>
      <c r="PMN31" s="73"/>
      <c r="PMO31" s="73"/>
      <c r="PMP31" s="73"/>
      <c r="PMQ31" s="73"/>
      <c r="PMR31" s="73"/>
      <c r="PMS31" s="73"/>
      <c r="PMT31" s="73"/>
      <c r="PMU31" s="73"/>
      <c r="PMV31" s="73"/>
      <c r="PMW31" s="73"/>
      <c r="PMX31" s="73"/>
      <c r="PMY31" s="73"/>
      <c r="PMZ31" s="73"/>
      <c r="PNA31" s="73"/>
      <c r="PNB31" s="73"/>
      <c r="PNC31" s="73"/>
      <c r="PND31" s="73"/>
      <c r="PNE31" s="73"/>
      <c r="PNF31" s="73"/>
      <c r="PNG31" s="73"/>
      <c r="PNH31" s="73"/>
      <c r="PNI31" s="73"/>
      <c r="PNJ31" s="73"/>
      <c r="PNK31" s="73"/>
      <c r="PNL31" s="73"/>
      <c r="PNM31" s="73"/>
      <c r="PNN31" s="73"/>
      <c r="PNO31" s="73"/>
      <c r="PNP31" s="73"/>
      <c r="PNQ31" s="73"/>
      <c r="PNR31" s="73"/>
      <c r="PNS31" s="73"/>
      <c r="PNT31" s="73"/>
      <c r="PNU31" s="73"/>
      <c r="PNV31" s="73"/>
      <c r="PNW31" s="73"/>
      <c r="PNX31" s="73"/>
      <c r="PNY31" s="73"/>
      <c r="PNZ31" s="73"/>
      <c r="POA31" s="73"/>
      <c r="POB31" s="73"/>
      <c r="POC31" s="73"/>
      <c r="POD31" s="73"/>
      <c r="POE31" s="73"/>
      <c r="POF31" s="73"/>
      <c r="POG31" s="73"/>
      <c r="POH31" s="73"/>
      <c r="POI31" s="73"/>
      <c r="POJ31" s="73"/>
      <c r="POK31" s="73"/>
      <c r="POL31" s="73"/>
      <c r="POM31" s="73"/>
      <c r="PON31" s="73"/>
      <c r="POO31" s="73"/>
      <c r="POP31" s="73"/>
      <c r="POQ31" s="73"/>
      <c r="POR31" s="73"/>
      <c r="POS31" s="73"/>
      <c r="POT31" s="73"/>
      <c r="POU31" s="73"/>
      <c r="POV31" s="73"/>
      <c r="POW31" s="73"/>
      <c r="POX31" s="73"/>
      <c r="POY31" s="73"/>
      <c r="POZ31" s="73"/>
      <c r="PPA31" s="73"/>
      <c r="PPB31" s="73"/>
      <c r="PPC31" s="73"/>
      <c r="PPD31" s="73"/>
      <c r="PPE31" s="73"/>
      <c r="PPF31" s="73"/>
      <c r="PPG31" s="73"/>
      <c r="PPH31" s="73"/>
      <c r="PPI31" s="73"/>
      <c r="PPJ31" s="73"/>
      <c r="PPK31" s="73"/>
      <c r="PPL31" s="73"/>
      <c r="PPM31" s="73"/>
      <c r="PPN31" s="73"/>
      <c r="PPO31" s="73"/>
      <c r="PPP31" s="73"/>
      <c r="PPQ31" s="73"/>
      <c r="PPR31" s="73"/>
      <c r="PPS31" s="73"/>
      <c r="PPT31" s="73"/>
      <c r="PPU31" s="73"/>
      <c r="PPV31" s="73"/>
      <c r="PPW31" s="73"/>
      <c r="PPX31" s="73"/>
      <c r="PPY31" s="73"/>
      <c r="PPZ31" s="73"/>
      <c r="PQA31" s="73"/>
      <c r="PQB31" s="73"/>
      <c r="PQC31" s="73"/>
      <c r="PQD31" s="73"/>
      <c r="PQE31" s="73"/>
      <c r="PQF31" s="73"/>
      <c r="PQG31" s="73"/>
      <c r="PQH31" s="73"/>
      <c r="PQI31" s="73"/>
      <c r="PQJ31" s="73"/>
      <c r="PQK31" s="73"/>
      <c r="PQL31" s="73"/>
      <c r="PQM31" s="73"/>
      <c r="PQN31" s="73"/>
      <c r="PQO31" s="73"/>
      <c r="PQP31" s="73"/>
      <c r="PQQ31" s="73"/>
      <c r="PQR31" s="73"/>
      <c r="PQS31" s="73"/>
      <c r="PQT31" s="73"/>
      <c r="PQU31" s="73"/>
      <c r="PQV31" s="73"/>
      <c r="PQW31" s="73"/>
      <c r="PQX31" s="73"/>
      <c r="PQY31" s="73"/>
      <c r="PQZ31" s="73"/>
      <c r="PRA31" s="73"/>
      <c r="PRB31" s="73"/>
      <c r="PRC31" s="73"/>
      <c r="PRD31" s="73"/>
      <c r="PRE31" s="73"/>
      <c r="PRF31" s="73"/>
      <c r="PRG31" s="73"/>
      <c r="PRH31" s="73"/>
      <c r="PRI31" s="73"/>
      <c r="PRJ31" s="73"/>
      <c r="PRK31" s="73"/>
      <c r="PRL31" s="73"/>
      <c r="PRM31" s="73"/>
      <c r="PRN31" s="73"/>
      <c r="PRO31" s="73"/>
      <c r="PRP31" s="73"/>
      <c r="PRQ31" s="73"/>
      <c r="PRR31" s="73"/>
      <c r="PRS31" s="73"/>
      <c r="PRT31" s="73"/>
      <c r="PRU31" s="73"/>
      <c r="PRV31" s="73"/>
      <c r="PRW31" s="73"/>
      <c r="PRX31" s="73"/>
      <c r="PRY31" s="73"/>
      <c r="PRZ31" s="73"/>
      <c r="PSA31" s="73"/>
      <c r="PSB31" s="73"/>
      <c r="PSC31" s="73"/>
      <c r="PSD31" s="73"/>
      <c r="PSE31" s="73"/>
      <c r="PSF31" s="73"/>
      <c r="PSG31" s="73"/>
      <c r="PSH31" s="73"/>
      <c r="PSI31" s="73"/>
      <c r="PSJ31" s="73"/>
      <c r="PSK31" s="73"/>
      <c r="PSL31" s="73"/>
      <c r="PSM31" s="73"/>
      <c r="PSN31" s="73"/>
      <c r="PSO31" s="73"/>
      <c r="PSP31" s="73"/>
      <c r="PSQ31" s="73"/>
      <c r="PSR31" s="73"/>
      <c r="PSS31" s="73"/>
      <c r="PST31" s="73"/>
      <c r="PSU31" s="73"/>
      <c r="PSV31" s="73"/>
      <c r="PSW31" s="73"/>
      <c r="PSX31" s="73"/>
      <c r="PSY31" s="73"/>
      <c r="PSZ31" s="73"/>
      <c r="PTA31" s="73"/>
      <c r="PTB31" s="73"/>
      <c r="PTC31" s="73"/>
      <c r="PTD31" s="73"/>
      <c r="PTE31" s="73"/>
      <c r="PTF31" s="73"/>
      <c r="PTG31" s="73"/>
      <c r="PTH31" s="73"/>
      <c r="PTI31" s="73"/>
      <c r="PTJ31" s="73"/>
      <c r="PTK31" s="73"/>
      <c r="PTL31" s="73"/>
      <c r="PTM31" s="73"/>
      <c r="PTN31" s="73"/>
      <c r="PTO31" s="73"/>
      <c r="PTP31" s="73"/>
      <c r="PTQ31" s="73"/>
      <c r="PTR31" s="73"/>
      <c r="PTS31" s="73"/>
      <c r="PTT31" s="73"/>
      <c r="PTU31" s="73"/>
      <c r="PTV31" s="73"/>
      <c r="PTW31" s="73"/>
      <c r="PTX31" s="73"/>
      <c r="PTY31" s="73"/>
      <c r="PTZ31" s="73"/>
      <c r="PUA31" s="73"/>
      <c r="PUB31" s="73"/>
      <c r="PUC31" s="73"/>
      <c r="PUD31" s="73"/>
      <c r="PUE31" s="73"/>
      <c r="PUF31" s="73"/>
      <c r="PUG31" s="73"/>
      <c r="PUH31" s="73"/>
      <c r="PUI31" s="73"/>
      <c r="PUJ31" s="73"/>
      <c r="PUK31" s="73"/>
      <c r="PUL31" s="73"/>
      <c r="PUM31" s="73"/>
      <c r="PUN31" s="73"/>
      <c r="PUO31" s="73"/>
      <c r="PUP31" s="73"/>
      <c r="PUQ31" s="73"/>
      <c r="PUR31" s="73"/>
      <c r="PUS31" s="73"/>
      <c r="PUT31" s="73"/>
      <c r="PUU31" s="73"/>
      <c r="PUV31" s="73"/>
      <c r="PUW31" s="73"/>
      <c r="PUX31" s="73"/>
      <c r="PUY31" s="73"/>
      <c r="PUZ31" s="73"/>
      <c r="PVA31" s="73"/>
      <c r="PVB31" s="73"/>
      <c r="PVC31" s="73"/>
      <c r="PVD31" s="73"/>
      <c r="PVE31" s="73"/>
      <c r="PVF31" s="73"/>
      <c r="PVG31" s="73"/>
      <c r="PVH31" s="73"/>
      <c r="PVI31" s="73"/>
      <c r="PVJ31" s="73"/>
      <c r="PVK31" s="73"/>
      <c r="PVL31" s="73"/>
      <c r="PVM31" s="73"/>
      <c r="PVN31" s="73"/>
      <c r="PVO31" s="73"/>
      <c r="PVP31" s="73"/>
      <c r="PVQ31" s="73"/>
      <c r="PVR31" s="73"/>
      <c r="PVS31" s="73"/>
      <c r="PVT31" s="73"/>
      <c r="PVU31" s="73"/>
      <c r="PVV31" s="73"/>
      <c r="PVW31" s="73"/>
      <c r="PVX31" s="73"/>
      <c r="PVY31" s="73"/>
      <c r="PVZ31" s="73"/>
      <c r="PWA31" s="73"/>
      <c r="PWB31" s="73"/>
      <c r="PWC31" s="73"/>
      <c r="PWD31" s="73"/>
      <c r="PWE31" s="73"/>
      <c r="PWF31" s="73"/>
      <c r="PWG31" s="73"/>
      <c r="PWH31" s="73"/>
      <c r="PWI31" s="73"/>
      <c r="PWJ31" s="73"/>
      <c r="PWK31" s="73"/>
      <c r="PWL31" s="73"/>
      <c r="PWM31" s="73"/>
      <c r="PWN31" s="73"/>
      <c r="PWO31" s="73"/>
      <c r="PWP31" s="73"/>
      <c r="PWQ31" s="73"/>
      <c r="PWR31" s="73"/>
      <c r="PWS31" s="73"/>
      <c r="PWT31" s="73"/>
      <c r="PWU31" s="73"/>
      <c r="PWV31" s="73"/>
      <c r="PWW31" s="73"/>
      <c r="PWX31" s="73"/>
      <c r="PWY31" s="73"/>
      <c r="PWZ31" s="73"/>
      <c r="PXA31" s="73"/>
      <c r="PXB31" s="73"/>
      <c r="PXC31" s="73"/>
      <c r="PXD31" s="73"/>
      <c r="PXE31" s="73"/>
      <c r="PXF31" s="73"/>
      <c r="PXG31" s="73"/>
      <c r="PXH31" s="73"/>
      <c r="PXI31" s="73"/>
      <c r="PXJ31" s="73"/>
      <c r="PXK31" s="73"/>
      <c r="PXL31" s="73"/>
      <c r="PXM31" s="73"/>
      <c r="PXN31" s="73"/>
      <c r="PXO31" s="73"/>
      <c r="PXP31" s="73"/>
      <c r="PXQ31" s="73"/>
      <c r="PXR31" s="73"/>
      <c r="PXS31" s="73"/>
      <c r="PXT31" s="73"/>
      <c r="PXU31" s="73"/>
      <c r="PXV31" s="73"/>
      <c r="PXW31" s="73"/>
      <c r="PXX31" s="73"/>
      <c r="PXY31" s="73"/>
      <c r="PXZ31" s="73"/>
      <c r="PYA31" s="73"/>
      <c r="PYB31" s="73"/>
      <c r="PYC31" s="73"/>
      <c r="PYD31" s="73"/>
      <c r="PYE31" s="73"/>
      <c r="PYF31" s="73"/>
      <c r="PYG31" s="73"/>
      <c r="PYH31" s="73"/>
      <c r="PYI31" s="73"/>
      <c r="PYJ31" s="73"/>
      <c r="PYK31" s="73"/>
      <c r="PYL31" s="73"/>
      <c r="PYM31" s="73"/>
      <c r="PYN31" s="73"/>
      <c r="PYO31" s="73"/>
      <c r="PYP31" s="73"/>
      <c r="PYQ31" s="73"/>
      <c r="PYR31" s="73"/>
      <c r="PYS31" s="73"/>
      <c r="PYT31" s="73"/>
      <c r="PYU31" s="73"/>
      <c r="PYV31" s="73"/>
      <c r="PYW31" s="73"/>
      <c r="PYX31" s="73"/>
      <c r="PYY31" s="73"/>
      <c r="PYZ31" s="73"/>
      <c r="PZA31" s="73"/>
      <c r="PZB31" s="73"/>
      <c r="PZC31" s="73"/>
      <c r="PZD31" s="73"/>
      <c r="PZE31" s="73"/>
      <c r="PZF31" s="73"/>
      <c r="PZG31" s="73"/>
      <c r="PZH31" s="73"/>
      <c r="PZI31" s="73"/>
      <c r="PZJ31" s="73"/>
      <c r="PZK31" s="73"/>
      <c r="PZL31" s="73"/>
      <c r="PZM31" s="73"/>
      <c r="PZN31" s="73"/>
      <c r="PZO31" s="73"/>
      <c r="PZP31" s="73"/>
      <c r="PZQ31" s="73"/>
      <c r="PZR31" s="73"/>
      <c r="PZS31" s="73"/>
      <c r="PZT31" s="73"/>
      <c r="PZU31" s="73"/>
      <c r="PZV31" s="73"/>
      <c r="PZW31" s="73"/>
      <c r="PZX31" s="73"/>
      <c r="PZY31" s="73"/>
      <c r="PZZ31" s="73"/>
      <c r="QAA31" s="73"/>
      <c r="QAB31" s="73"/>
      <c r="QAC31" s="73"/>
      <c r="QAD31" s="73"/>
      <c r="QAE31" s="73"/>
      <c r="QAF31" s="73"/>
      <c r="QAG31" s="73"/>
      <c r="QAH31" s="73"/>
      <c r="QAI31" s="73"/>
      <c r="QAJ31" s="73"/>
      <c r="QAK31" s="73"/>
      <c r="QAL31" s="73"/>
      <c r="QAM31" s="73"/>
      <c r="QAN31" s="73"/>
      <c r="QAO31" s="73"/>
      <c r="QAP31" s="73"/>
      <c r="QAQ31" s="73"/>
      <c r="QAR31" s="73"/>
      <c r="QAS31" s="73"/>
      <c r="QAT31" s="73"/>
      <c r="QAU31" s="73"/>
      <c r="QAV31" s="73"/>
      <c r="QAW31" s="73"/>
      <c r="QAX31" s="73"/>
      <c r="QAY31" s="73"/>
      <c r="QAZ31" s="73"/>
      <c r="QBA31" s="73"/>
      <c r="QBB31" s="73"/>
      <c r="QBC31" s="73"/>
      <c r="QBD31" s="73"/>
      <c r="QBE31" s="73"/>
      <c r="QBF31" s="73"/>
      <c r="QBG31" s="73"/>
      <c r="QBH31" s="73"/>
      <c r="QBI31" s="73"/>
      <c r="QBJ31" s="73"/>
      <c r="QBK31" s="73"/>
      <c r="QBL31" s="73"/>
      <c r="QBM31" s="73"/>
      <c r="QBN31" s="73"/>
      <c r="QBO31" s="73"/>
      <c r="QBP31" s="73"/>
      <c r="QBQ31" s="73"/>
      <c r="QBR31" s="73"/>
      <c r="QBS31" s="73"/>
      <c r="QBT31" s="73"/>
      <c r="QBU31" s="73"/>
      <c r="QBV31" s="73"/>
      <c r="QBW31" s="73"/>
      <c r="QBX31" s="73"/>
      <c r="QBY31" s="73"/>
      <c r="QBZ31" s="73"/>
      <c r="QCA31" s="73"/>
      <c r="QCB31" s="73"/>
      <c r="QCC31" s="73"/>
      <c r="QCD31" s="73"/>
      <c r="QCE31" s="73"/>
      <c r="QCF31" s="73"/>
      <c r="QCG31" s="73"/>
      <c r="QCH31" s="73"/>
      <c r="QCI31" s="73"/>
      <c r="QCJ31" s="73"/>
      <c r="QCK31" s="73"/>
      <c r="QCL31" s="73"/>
      <c r="QCM31" s="73"/>
      <c r="QCN31" s="73"/>
      <c r="QCO31" s="73"/>
      <c r="QCP31" s="73"/>
      <c r="QCQ31" s="73"/>
      <c r="QCR31" s="73"/>
      <c r="QCS31" s="73"/>
      <c r="QCT31" s="73"/>
      <c r="QCU31" s="73"/>
      <c r="QCV31" s="73"/>
      <c r="QCW31" s="73"/>
      <c r="QCX31" s="73"/>
      <c r="QCY31" s="73"/>
      <c r="QCZ31" s="73"/>
      <c r="QDA31" s="73"/>
      <c r="QDB31" s="73"/>
      <c r="QDC31" s="73"/>
      <c r="QDD31" s="73"/>
      <c r="QDE31" s="73"/>
      <c r="QDF31" s="73"/>
      <c r="QDG31" s="73"/>
      <c r="QDH31" s="73"/>
      <c r="QDI31" s="73"/>
      <c r="QDJ31" s="73"/>
      <c r="QDK31" s="73"/>
      <c r="QDL31" s="73"/>
      <c r="QDM31" s="73"/>
      <c r="QDN31" s="73"/>
      <c r="QDO31" s="73"/>
      <c r="QDP31" s="73"/>
      <c r="QDQ31" s="73"/>
      <c r="QDR31" s="73"/>
      <c r="QDS31" s="73"/>
      <c r="QDT31" s="73"/>
      <c r="QDU31" s="73"/>
      <c r="QDV31" s="73"/>
      <c r="QDW31" s="73"/>
      <c r="QDX31" s="73"/>
      <c r="QDY31" s="73"/>
      <c r="QDZ31" s="73"/>
      <c r="QEA31" s="73"/>
      <c r="QEB31" s="73"/>
      <c r="QEC31" s="73"/>
      <c r="QED31" s="73"/>
      <c r="QEE31" s="73"/>
      <c r="QEF31" s="73"/>
      <c r="QEG31" s="73"/>
      <c r="QEH31" s="73"/>
      <c r="QEI31" s="73"/>
      <c r="QEJ31" s="73"/>
      <c r="QEK31" s="73"/>
      <c r="QEL31" s="73"/>
      <c r="QEM31" s="73"/>
      <c r="QEN31" s="73"/>
      <c r="QEO31" s="73"/>
      <c r="QEP31" s="73"/>
      <c r="QEQ31" s="73"/>
      <c r="QER31" s="73"/>
      <c r="QES31" s="73"/>
      <c r="QET31" s="73"/>
      <c r="QEU31" s="73"/>
      <c r="QEV31" s="73"/>
      <c r="QEW31" s="73"/>
      <c r="QEX31" s="73"/>
      <c r="QEY31" s="73"/>
      <c r="QEZ31" s="73"/>
      <c r="QFA31" s="73"/>
      <c r="QFB31" s="73"/>
      <c r="QFC31" s="73"/>
      <c r="QFD31" s="73"/>
      <c r="QFE31" s="73"/>
      <c r="QFF31" s="73"/>
      <c r="QFG31" s="73"/>
      <c r="QFH31" s="73"/>
      <c r="QFI31" s="73"/>
      <c r="QFJ31" s="73"/>
      <c r="QFK31" s="73"/>
      <c r="QFL31" s="73"/>
      <c r="QFM31" s="73"/>
      <c r="QFN31" s="73"/>
      <c r="QFO31" s="73"/>
      <c r="QFP31" s="73"/>
      <c r="QFQ31" s="73"/>
      <c r="QFR31" s="73"/>
      <c r="QFS31" s="73"/>
      <c r="QFT31" s="73"/>
      <c r="QFU31" s="73"/>
      <c r="QFV31" s="73"/>
      <c r="QFW31" s="73"/>
      <c r="QFX31" s="73"/>
      <c r="QFY31" s="73"/>
      <c r="QFZ31" s="73"/>
      <c r="QGA31" s="73"/>
      <c r="QGB31" s="73"/>
      <c r="QGC31" s="73"/>
      <c r="QGD31" s="73"/>
      <c r="QGE31" s="73"/>
      <c r="QGF31" s="73"/>
      <c r="QGG31" s="73"/>
      <c r="QGH31" s="73"/>
      <c r="QGI31" s="73"/>
      <c r="QGJ31" s="73"/>
      <c r="QGK31" s="73"/>
      <c r="QGL31" s="73"/>
      <c r="QGM31" s="73"/>
      <c r="QGN31" s="73"/>
      <c r="QGO31" s="73"/>
      <c r="QGP31" s="73"/>
      <c r="QGQ31" s="73"/>
      <c r="QGR31" s="73"/>
      <c r="QGS31" s="73"/>
      <c r="QGT31" s="73"/>
      <c r="QGU31" s="73"/>
      <c r="QGV31" s="73"/>
      <c r="QGW31" s="73"/>
      <c r="QGX31" s="73"/>
      <c r="QGY31" s="73"/>
      <c r="QGZ31" s="73"/>
      <c r="QHA31" s="73"/>
      <c r="QHB31" s="73"/>
      <c r="QHC31" s="73"/>
      <c r="QHD31" s="73"/>
      <c r="QHE31" s="73"/>
      <c r="QHF31" s="73"/>
      <c r="QHG31" s="73"/>
      <c r="QHH31" s="73"/>
      <c r="QHI31" s="73"/>
      <c r="QHJ31" s="73"/>
      <c r="QHK31" s="73"/>
      <c r="QHL31" s="73"/>
      <c r="QHM31" s="73"/>
      <c r="QHN31" s="73"/>
      <c r="QHO31" s="73"/>
      <c r="QHP31" s="73"/>
      <c r="QHQ31" s="73"/>
      <c r="QHR31" s="73"/>
      <c r="QHS31" s="73"/>
      <c r="QHT31" s="73"/>
      <c r="QHU31" s="73"/>
      <c r="QHV31" s="73"/>
      <c r="QHW31" s="73"/>
      <c r="QHX31" s="73"/>
      <c r="QHY31" s="73"/>
      <c r="QHZ31" s="73"/>
      <c r="QIA31" s="73"/>
      <c r="QIB31" s="73"/>
      <c r="QIC31" s="73"/>
      <c r="QID31" s="73"/>
      <c r="QIE31" s="73"/>
      <c r="QIF31" s="73"/>
      <c r="QIG31" s="73"/>
      <c r="QIH31" s="73"/>
      <c r="QII31" s="73"/>
      <c r="QIJ31" s="73"/>
      <c r="QIK31" s="73"/>
      <c r="QIL31" s="73"/>
      <c r="QIM31" s="73"/>
      <c r="QIN31" s="73"/>
      <c r="QIO31" s="73"/>
      <c r="QIP31" s="73"/>
      <c r="QIQ31" s="73"/>
      <c r="QIR31" s="73"/>
      <c r="QIS31" s="73"/>
      <c r="QIT31" s="73"/>
      <c r="QIU31" s="73"/>
      <c r="QIV31" s="73"/>
      <c r="QIW31" s="73"/>
      <c r="QIX31" s="73"/>
      <c r="QIY31" s="73"/>
      <c r="QIZ31" s="73"/>
      <c r="QJA31" s="73"/>
      <c r="QJB31" s="73"/>
      <c r="QJC31" s="73"/>
      <c r="QJD31" s="73"/>
      <c r="QJE31" s="73"/>
      <c r="QJF31" s="73"/>
      <c r="QJG31" s="73"/>
      <c r="QJH31" s="73"/>
      <c r="QJI31" s="73"/>
      <c r="QJJ31" s="73"/>
      <c r="QJK31" s="73"/>
      <c r="QJL31" s="73"/>
      <c r="QJM31" s="73"/>
      <c r="QJN31" s="73"/>
      <c r="QJO31" s="73"/>
      <c r="QJP31" s="73"/>
      <c r="QJQ31" s="73"/>
      <c r="QJR31" s="73"/>
      <c r="QJS31" s="73"/>
      <c r="QJT31" s="73"/>
      <c r="QJU31" s="73"/>
      <c r="QJV31" s="73"/>
      <c r="QJW31" s="73"/>
      <c r="QJX31" s="73"/>
      <c r="QJY31" s="73"/>
      <c r="QJZ31" s="73"/>
      <c r="QKA31" s="73"/>
      <c r="QKB31" s="73"/>
      <c r="QKC31" s="73"/>
      <c r="QKD31" s="73"/>
      <c r="QKE31" s="73"/>
      <c r="QKF31" s="73"/>
      <c r="QKG31" s="73"/>
      <c r="QKH31" s="73"/>
      <c r="QKI31" s="73"/>
      <c r="QKJ31" s="73"/>
      <c r="QKK31" s="73"/>
      <c r="QKL31" s="73"/>
      <c r="QKM31" s="73"/>
      <c r="QKN31" s="73"/>
      <c r="QKO31" s="73"/>
      <c r="QKP31" s="73"/>
      <c r="QKQ31" s="73"/>
      <c r="QKR31" s="73"/>
      <c r="QKS31" s="73"/>
      <c r="QKT31" s="73"/>
      <c r="QKU31" s="73"/>
      <c r="QKV31" s="73"/>
      <c r="QKW31" s="73"/>
      <c r="QKX31" s="73"/>
      <c r="QKY31" s="73"/>
      <c r="QKZ31" s="73"/>
      <c r="QLA31" s="73"/>
      <c r="QLB31" s="73"/>
      <c r="QLC31" s="73"/>
      <c r="QLD31" s="73"/>
      <c r="QLE31" s="73"/>
      <c r="QLF31" s="73"/>
      <c r="QLG31" s="73"/>
      <c r="QLH31" s="73"/>
      <c r="QLI31" s="73"/>
      <c r="QLJ31" s="73"/>
      <c r="QLK31" s="73"/>
      <c r="QLL31" s="73"/>
      <c r="QLM31" s="73"/>
      <c r="QLN31" s="73"/>
      <c r="QLO31" s="73"/>
      <c r="QLP31" s="73"/>
      <c r="QLQ31" s="73"/>
      <c r="QLR31" s="73"/>
      <c r="QLS31" s="73"/>
      <c r="QLT31" s="73"/>
      <c r="QLU31" s="73"/>
      <c r="QLV31" s="73"/>
      <c r="QLW31" s="73"/>
      <c r="QLX31" s="73"/>
      <c r="QLY31" s="73"/>
      <c r="QLZ31" s="73"/>
      <c r="QMA31" s="73"/>
      <c r="QMB31" s="73"/>
      <c r="QMC31" s="73"/>
      <c r="QMD31" s="73"/>
      <c r="QME31" s="73"/>
      <c r="QMF31" s="73"/>
      <c r="QMG31" s="73"/>
      <c r="QMH31" s="73"/>
      <c r="QMI31" s="73"/>
      <c r="QMJ31" s="73"/>
      <c r="QMK31" s="73"/>
      <c r="QML31" s="73"/>
      <c r="QMM31" s="73"/>
      <c r="QMN31" s="73"/>
      <c r="QMO31" s="73"/>
      <c r="QMP31" s="73"/>
      <c r="QMQ31" s="73"/>
      <c r="QMR31" s="73"/>
      <c r="QMS31" s="73"/>
      <c r="QMT31" s="73"/>
      <c r="QMU31" s="73"/>
      <c r="QMV31" s="73"/>
      <c r="QMW31" s="73"/>
      <c r="QMX31" s="73"/>
      <c r="QMY31" s="73"/>
      <c r="QMZ31" s="73"/>
      <c r="QNA31" s="73"/>
      <c r="QNB31" s="73"/>
      <c r="QNC31" s="73"/>
      <c r="QND31" s="73"/>
      <c r="QNE31" s="73"/>
      <c r="QNF31" s="73"/>
      <c r="QNG31" s="73"/>
      <c r="QNH31" s="73"/>
      <c r="QNI31" s="73"/>
      <c r="QNJ31" s="73"/>
      <c r="QNK31" s="73"/>
      <c r="QNL31" s="73"/>
      <c r="QNM31" s="73"/>
      <c r="QNN31" s="73"/>
      <c r="QNO31" s="73"/>
      <c r="QNP31" s="73"/>
      <c r="QNQ31" s="73"/>
      <c r="QNR31" s="73"/>
      <c r="QNS31" s="73"/>
      <c r="QNT31" s="73"/>
      <c r="QNU31" s="73"/>
      <c r="QNV31" s="73"/>
      <c r="QNW31" s="73"/>
      <c r="QNX31" s="73"/>
      <c r="QNY31" s="73"/>
      <c r="QNZ31" s="73"/>
      <c r="QOA31" s="73"/>
      <c r="QOB31" s="73"/>
      <c r="QOC31" s="73"/>
      <c r="QOD31" s="73"/>
      <c r="QOE31" s="73"/>
      <c r="QOF31" s="73"/>
      <c r="QOG31" s="73"/>
      <c r="QOH31" s="73"/>
      <c r="QOI31" s="73"/>
      <c r="QOJ31" s="73"/>
      <c r="QOK31" s="73"/>
      <c r="QOL31" s="73"/>
      <c r="QOM31" s="73"/>
      <c r="QON31" s="73"/>
      <c r="QOO31" s="73"/>
      <c r="QOP31" s="73"/>
      <c r="QOQ31" s="73"/>
      <c r="QOR31" s="73"/>
      <c r="QOS31" s="73"/>
      <c r="QOT31" s="73"/>
      <c r="QOU31" s="73"/>
      <c r="QOV31" s="73"/>
      <c r="QOW31" s="73"/>
      <c r="QOX31" s="73"/>
      <c r="QOY31" s="73"/>
      <c r="QOZ31" s="73"/>
      <c r="QPA31" s="73"/>
      <c r="QPB31" s="73"/>
      <c r="QPC31" s="73"/>
      <c r="QPD31" s="73"/>
      <c r="QPE31" s="73"/>
      <c r="QPF31" s="73"/>
      <c r="QPG31" s="73"/>
      <c r="QPH31" s="73"/>
      <c r="QPI31" s="73"/>
      <c r="QPJ31" s="73"/>
      <c r="QPK31" s="73"/>
      <c r="QPL31" s="73"/>
      <c r="QPM31" s="73"/>
      <c r="QPN31" s="73"/>
      <c r="QPO31" s="73"/>
      <c r="QPP31" s="73"/>
      <c r="QPQ31" s="73"/>
      <c r="QPR31" s="73"/>
      <c r="QPS31" s="73"/>
      <c r="QPT31" s="73"/>
      <c r="QPU31" s="73"/>
      <c r="QPV31" s="73"/>
      <c r="QPW31" s="73"/>
      <c r="QPX31" s="73"/>
      <c r="QPY31" s="73"/>
      <c r="QPZ31" s="73"/>
      <c r="QQA31" s="73"/>
      <c r="QQB31" s="73"/>
      <c r="QQC31" s="73"/>
      <c r="QQD31" s="73"/>
      <c r="QQE31" s="73"/>
      <c r="QQF31" s="73"/>
      <c r="QQG31" s="73"/>
      <c r="QQH31" s="73"/>
      <c r="QQI31" s="73"/>
      <c r="QQJ31" s="73"/>
      <c r="QQK31" s="73"/>
      <c r="QQL31" s="73"/>
      <c r="QQM31" s="73"/>
      <c r="QQN31" s="73"/>
      <c r="QQO31" s="73"/>
      <c r="QQP31" s="73"/>
      <c r="QQQ31" s="73"/>
      <c r="QQR31" s="73"/>
      <c r="QQS31" s="73"/>
      <c r="QQT31" s="73"/>
      <c r="QQU31" s="73"/>
      <c r="QQV31" s="73"/>
      <c r="QQW31" s="73"/>
      <c r="QQX31" s="73"/>
      <c r="QQY31" s="73"/>
      <c r="QQZ31" s="73"/>
      <c r="QRA31" s="73"/>
      <c r="QRB31" s="73"/>
      <c r="QRC31" s="73"/>
      <c r="QRD31" s="73"/>
      <c r="QRE31" s="73"/>
      <c r="QRF31" s="73"/>
      <c r="QRG31" s="73"/>
      <c r="QRH31" s="73"/>
      <c r="QRI31" s="73"/>
      <c r="QRJ31" s="73"/>
      <c r="QRK31" s="73"/>
      <c r="QRL31" s="73"/>
      <c r="QRM31" s="73"/>
      <c r="QRN31" s="73"/>
      <c r="QRO31" s="73"/>
      <c r="QRP31" s="73"/>
      <c r="QRQ31" s="73"/>
      <c r="QRR31" s="73"/>
      <c r="QRS31" s="73"/>
      <c r="QRT31" s="73"/>
      <c r="QRU31" s="73"/>
      <c r="QRV31" s="73"/>
      <c r="QRW31" s="73"/>
      <c r="QRX31" s="73"/>
      <c r="QRY31" s="73"/>
      <c r="QRZ31" s="73"/>
      <c r="QSA31" s="73"/>
      <c r="QSB31" s="73"/>
      <c r="QSC31" s="73"/>
      <c r="QSD31" s="73"/>
      <c r="QSE31" s="73"/>
      <c r="QSF31" s="73"/>
      <c r="QSG31" s="73"/>
      <c r="QSH31" s="73"/>
      <c r="QSI31" s="73"/>
      <c r="QSJ31" s="73"/>
      <c r="QSK31" s="73"/>
      <c r="QSL31" s="73"/>
      <c r="QSM31" s="73"/>
      <c r="QSN31" s="73"/>
      <c r="QSO31" s="73"/>
      <c r="QSP31" s="73"/>
      <c r="QSQ31" s="73"/>
      <c r="QSR31" s="73"/>
      <c r="QSS31" s="73"/>
      <c r="QST31" s="73"/>
      <c r="QSU31" s="73"/>
      <c r="QSV31" s="73"/>
      <c r="QSW31" s="73"/>
      <c r="QSX31" s="73"/>
      <c r="QSY31" s="73"/>
      <c r="QSZ31" s="73"/>
      <c r="QTA31" s="73"/>
      <c r="QTB31" s="73"/>
      <c r="QTC31" s="73"/>
      <c r="QTD31" s="73"/>
      <c r="QTE31" s="73"/>
      <c r="QTF31" s="73"/>
      <c r="QTG31" s="73"/>
      <c r="QTH31" s="73"/>
      <c r="QTI31" s="73"/>
      <c r="QTJ31" s="73"/>
      <c r="QTK31" s="73"/>
      <c r="QTL31" s="73"/>
      <c r="QTM31" s="73"/>
      <c r="QTN31" s="73"/>
      <c r="QTO31" s="73"/>
      <c r="QTP31" s="73"/>
      <c r="QTQ31" s="73"/>
      <c r="QTR31" s="73"/>
      <c r="QTS31" s="73"/>
      <c r="QTT31" s="73"/>
      <c r="QTU31" s="73"/>
      <c r="QTV31" s="73"/>
      <c r="QTW31" s="73"/>
      <c r="QTX31" s="73"/>
      <c r="QTY31" s="73"/>
      <c r="QTZ31" s="73"/>
      <c r="QUA31" s="73"/>
      <c r="QUB31" s="73"/>
      <c r="QUC31" s="73"/>
      <c r="QUD31" s="73"/>
      <c r="QUE31" s="73"/>
      <c r="QUF31" s="73"/>
      <c r="QUG31" s="73"/>
      <c r="QUH31" s="73"/>
      <c r="QUI31" s="73"/>
      <c r="QUJ31" s="73"/>
      <c r="QUK31" s="73"/>
      <c r="QUL31" s="73"/>
      <c r="QUM31" s="73"/>
      <c r="QUN31" s="73"/>
      <c r="QUO31" s="73"/>
      <c r="QUP31" s="73"/>
      <c r="QUQ31" s="73"/>
      <c r="QUR31" s="73"/>
      <c r="QUS31" s="73"/>
      <c r="QUT31" s="73"/>
      <c r="QUU31" s="73"/>
      <c r="QUV31" s="73"/>
      <c r="QUW31" s="73"/>
      <c r="QUX31" s="73"/>
      <c r="QUY31" s="73"/>
      <c r="QUZ31" s="73"/>
      <c r="QVA31" s="73"/>
      <c r="QVB31" s="73"/>
      <c r="QVC31" s="73"/>
      <c r="QVD31" s="73"/>
      <c r="QVE31" s="73"/>
      <c r="QVF31" s="73"/>
      <c r="QVG31" s="73"/>
      <c r="QVH31" s="73"/>
      <c r="QVI31" s="73"/>
      <c r="QVJ31" s="73"/>
      <c r="QVK31" s="73"/>
      <c r="QVL31" s="73"/>
      <c r="QVM31" s="73"/>
      <c r="QVN31" s="73"/>
      <c r="QVO31" s="73"/>
      <c r="QVP31" s="73"/>
      <c r="QVQ31" s="73"/>
      <c r="QVR31" s="73"/>
      <c r="QVS31" s="73"/>
      <c r="QVT31" s="73"/>
      <c r="QVU31" s="73"/>
      <c r="QVV31" s="73"/>
      <c r="QVW31" s="73"/>
      <c r="QVX31" s="73"/>
      <c r="QVY31" s="73"/>
      <c r="QVZ31" s="73"/>
      <c r="QWA31" s="73"/>
      <c r="QWB31" s="73"/>
      <c r="QWC31" s="73"/>
      <c r="QWD31" s="73"/>
      <c r="QWE31" s="73"/>
      <c r="QWF31" s="73"/>
      <c r="QWG31" s="73"/>
      <c r="QWH31" s="73"/>
      <c r="QWI31" s="73"/>
      <c r="QWJ31" s="73"/>
      <c r="QWK31" s="73"/>
      <c r="QWL31" s="73"/>
      <c r="QWM31" s="73"/>
      <c r="QWN31" s="73"/>
      <c r="QWO31" s="73"/>
      <c r="QWP31" s="73"/>
      <c r="QWQ31" s="73"/>
      <c r="QWR31" s="73"/>
      <c r="QWS31" s="73"/>
      <c r="QWT31" s="73"/>
      <c r="QWU31" s="73"/>
      <c r="QWV31" s="73"/>
      <c r="QWW31" s="73"/>
      <c r="QWX31" s="73"/>
      <c r="QWY31" s="73"/>
      <c r="QWZ31" s="73"/>
      <c r="QXA31" s="73"/>
      <c r="QXB31" s="73"/>
      <c r="QXC31" s="73"/>
      <c r="QXD31" s="73"/>
      <c r="QXE31" s="73"/>
      <c r="QXF31" s="73"/>
      <c r="QXG31" s="73"/>
      <c r="QXH31" s="73"/>
      <c r="QXI31" s="73"/>
      <c r="QXJ31" s="73"/>
      <c r="QXK31" s="73"/>
      <c r="QXL31" s="73"/>
      <c r="QXM31" s="73"/>
      <c r="QXN31" s="73"/>
      <c r="QXO31" s="73"/>
      <c r="QXP31" s="73"/>
      <c r="QXQ31" s="73"/>
      <c r="QXR31" s="73"/>
      <c r="QXS31" s="73"/>
      <c r="QXT31" s="73"/>
      <c r="QXU31" s="73"/>
      <c r="QXV31" s="73"/>
      <c r="QXW31" s="73"/>
      <c r="QXX31" s="73"/>
      <c r="QXY31" s="73"/>
      <c r="QXZ31" s="73"/>
      <c r="QYA31" s="73"/>
      <c r="QYB31" s="73"/>
      <c r="QYC31" s="73"/>
      <c r="QYD31" s="73"/>
      <c r="QYE31" s="73"/>
      <c r="QYF31" s="73"/>
      <c r="QYG31" s="73"/>
      <c r="QYH31" s="73"/>
      <c r="QYI31" s="73"/>
      <c r="QYJ31" s="73"/>
      <c r="QYK31" s="73"/>
      <c r="QYL31" s="73"/>
      <c r="QYM31" s="73"/>
      <c r="QYN31" s="73"/>
      <c r="QYO31" s="73"/>
      <c r="QYP31" s="73"/>
      <c r="QYQ31" s="73"/>
      <c r="QYR31" s="73"/>
      <c r="QYS31" s="73"/>
      <c r="QYT31" s="73"/>
      <c r="QYU31" s="73"/>
      <c r="QYV31" s="73"/>
      <c r="QYW31" s="73"/>
      <c r="QYX31" s="73"/>
      <c r="QYY31" s="73"/>
      <c r="QYZ31" s="73"/>
      <c r="QZA31" s="73"/>
      <c r="QZB31" s="73"/>
      <c r="QZC31" s="73"/>
      <c r="QZD31" s="73"/>
      <c r="QZE31" s="73"/>
      <c r="QZF31" s="73"/>
      <c r="QZG31" s="73"/>
      <c r="QZH31" s="73"/>
      <c r="QZI31" s="73"/>
      <c r="QZJ31" s="73"/>
      <c r="QZK31" s="73"/>
      <c r="QZL31" s="73"/>
      <c r="QZM31" s="73"/>
      <c r="QZN31" s="73"/>
      <c r="QZO31" s="73"/>
      <c r="QZP31" s="73"/>
      <c r="QZQ31" s="73"/>
      <c r="QZR31" s="73"/>
      <c r="QZS31" s="73"/>
      <c r="QZT31" s="73"/>
      <c r="QZU31" s="73"/>
      <c r="QZV31" s="73"/>
      <c r="QZW31" s="73"/>
      <c r="QZX31" s="73"/>
      <c r="QZY31" s="73"/>
      <c r="QZZ31" s="73"/>
      <c r="RAA31" s="73"/>
      <c r="RAB31" s="73"/>
      <c r="RAC31" s="73"/>
      <c r="RAD31" s="73"/>
      <c r="RAE31" s="73"/>
      <c r="RAF31" s="73"/>
      <c r="RAG31" s="73"/>
      <c r="RAH31" s="73"/>
      <c r="RAI31" s="73"/>
      <c r="RAJ31" s="73"/>
      <c r="RAK31" s="73"/>
      <c r="RAL31" s="73"/>
      <c r="RAM31" s="73"/>
      <c r="RAN31" s="73"/>
      <c r="RAO31" s="73"/>
      <c r="RAP31" s="73"/>
      <c r="RAQ31" s="73"/>
      <c r="RAR31" s="73"/>
      <c r="RAS31" s="73"/>
      <c r="RAT31" s="73"/>
      <c r="RAU31" s="73"/>
      <c r="RAV31" s="73"/>
      <c r="RAW31" s="73"/>
      <c r="RAX31" s="73"/>
      <c r="RAY31" s="73"/>
      <c r="RAZ31" s="73"/>
      <c r="RBA31" s="73"/>
      <c r="RBB31" s="73"/>
      <c r="RBC31" s="73"/>
      <c r="RBD31" s="73"/>
      <c r="RBE31" s="73"/>
      <c r="RBF31" s="73"/>
      <c r="RBG31" s="73"/>
      <c r="RBH31" s="73"/>
      <c r="RBI31" s="73"/>
      <c r="RBJ31" s="73"/>
      <c r="RBK31" s="73"/>
      <c r="RBL31" s="73"/>
      <c r="RBM31" s="73"/>
      <c r="RBN31" s="73"/>
      <c r="RBO31" s="73"/>
      <c r="RBP31" s="73"/>
      <c r="RBQ31" s="73"/>
      <c r="RBR31" s="73"/>
      <c r="RBS31" s="73"/>
      <c r="RBT31" s="73"/>
      <c r="RBU31" s="73"/>
      <c r="RBV31" s="73"/>
      <c r="RBW31" s="73"/>
      <c r="RBX31" s="73"/>
      <c r="RBY31" s="73"/>
      <c r="RBZ31" s="73"/>
      <c r="RCA31" s="73"/>
      <c r="RCB31" s="73"/>
      <c r="RCC31" s="73"/>
      <c r="RCD31" s="73"/>
      <c r="RCE31" s="73"/>
      <c r="RCF31" s="73"/>
      <c r="RCG31" s="73"/>
      <c r="RCH31" s="73"/>
      <c r="RCI31" s="73"/>
      <c r="RCJ31" s="73"/>
      <c r="RCK31" s="73"/>
      <c r="RCL31" s="73"/>
      <c r="RCM31" s="73"/>
      <c r="RCN31" s="73"/>
      <c r="RCO31" s="73"/>
      <c r="RCP31" s="73"/>
      <c r="RCQ31" s="73"/>
      <c r="RCR31" s="73"/>
      <c r="RCS31" s="73"/>
      <c r="RCT31" s="73"/>
      <c r="RCU31" s="73"/>
      <c r="RCV31" s="73"/>
      <c r="RCW31" s="73"/>
      <c r="RCX31" s="73"/>
      <c r="RCY31" s="73"/>
      <c r="RCZ31" s="73"/>
      <c r="RDA31" s="73"/>
      <c r="RDB31" s="73"/>
      <c r="RDC31" s="73"/>
      <c r="RDD31" s="73"/>
      <c r="RDE31" s="73"/>
      <c r="RDF31" s="73"/>
      <c r="RDG31" s="73"/>
      <c r="RDH31" s="73"/>
      <c r="RDI31" s="73"/>
      <c r="RDJ31" s="73"/>
      <c r="RDK31" s="73"/>
      <c r="RDL31" s="73"/>
      <c r="RDM31" s="73"/>
      <c r="RDN31" s="73"/>
      <c r="RDO31" s="73"/>
      <c r="RDP31" s="73"/>
      <c r="RDQ31" s="73"/>
      <c r="RDR31" s="73"/>
      <c r="RDS31" s="73"/>
      <c r="RDT31" s="73"/>
      <c r="RDU31" s="73"/>
      <c r="RDV31" s="73"/>
      <c r="RDW31" s="73"/>
      <c r="RDX31" s="73"/>
      <c r="RDY31" s="73"/>
      <c r="RDZ31" s="73"/>
      <c r="REA31" s="73"/>
      <c r="REB31" s="73"/>
      <c r="REC31" s="73"/>
      <c r="RED31" s="73"/>
      <c r="REE31" s="73"/>
      <c r="REF31" s="73"/>
      <c r="REG31" s="73"/>
      <c r="REH31" s="73"/>
      <c r="REI31" s="73"/>
      <c r="REJ31" s="73"/>
      <c r="REK31" s="73"/>
      <c r="REL31" s="73"/>
      <c r="REM31" s="73"/>
      <c r="REN31" s="73"/>
      <c r="REO31" s="73"/>
      <c r="REP31" s="73"/>
      <c r="REQ31" s="73"/>
      <c r="RER31" s="73"/>
      <c r="RES31" s="73"/>
      <c r="RET31" s="73"/>
      <c r="REU31" s="73"/>
      <c r="REV31" s="73"/>
      <c r="REW31" s="73"/>
      <c r="REX31" s="73"/>
      <c r="REY31" s="73"/>
      <c r="REZ31" s="73"/>
      <c r="RFA31" s="73"/>
      <c r="RFB31" s="73"/>
      <c r="RFC31" s="73"/>
      <c r="RFD31" s="73"/>
      <c r="RFE31" s="73"/>
      <c r="RFF31" s="73"/>
      <c r="RFG31" s="73"/>
      <c r="RFH31" s="73"/>
      <c r="RFI31" s="73"/>
      <c r="RFJ31" s="73"/>
      <c r="RFK31" s="73"/>
      <c r="RFL31" s="73"/>
      <c r="RFM31" s="73"/>
      <c r="RFN31" s="73"/>
      <c r="RFO31" s="73"/>
      <c r="RFP31" s="73"/>
      <c r="RFQ31" s="73"/>
      <c r="RFR31" s="73"/>
      <c r="RFS31" s="73"/>
      <c r="RFT31" s="73"/>
      <c r="RFU31" s="73"/>
      <c r="RFV31" s="73"/>
      <c r="RFW31" s="73"/>
      <c r="RFX31" s="73"/>
      <c r="RFY31" s="73"/>
      <c r="RFZ31" s="73"/>
      <c r="RGA31" s="73"/>
      <c r="RGB31" s="73"/>
      <c r="RGC31" s="73"/>
      <c r="RGD31" s="73"/>
      <c r="RGE31" s="73"/>
      <c r="RGF31" s="73"/>
      <c r="RGG31" s="73"/>
      <c r="RGH31" s="73"/>
      <c r="RGI31" s="73"/>
      <c r="RGJ31" s="73"/>
      <c r="RGK31" s="73"/>
      <c r="RGL31" s="73"/>
      <c r="RGM31" s="73"/>
      <c r="RGN31" s="73"/>
      <c r="RGO31" s="73"/>
      <c r="RGP31" s="73"/>
      <c r="RGQ31" s="73"/>
      <c r="RGR31" s="73"/>
      <c r="RGS31" s="73"/>
      <c r="RGT31" s="73"/>
      <c r="RGU31" s="73"/>
      <c r="RGV31" s="73"/>
      <c r="RGW31" s="73"/>
      <c r="RGX31" s="73"/>
      <c r="RGY31" s="73"/>
      <c r="RGZ31" s="73"/>
      <c r="RHA31" s="73"/>
      <c r="RHB31" s="73"/>
      <c r="RHC31" s="73"/>
      <c r="RHD31" s="73"/>
      <c r="RHE31" s="73"/>
      <c r="RHF31" s="73"/>
      <c r="RHG31" s="73"/>
      <c r="RHH31" s="73"/>
      <c r="RHI31" s="73"/>
      <c r="RHJ31" s="73"/>
      <c r="RHK31" s="73"/>
      <c r="RHL31" s="73"/>
      <c r="RHM31" s="73"/>
      <c r="RHN31" s="73"/>
      <c r="RHO31" s="73"/>
      <c r="RHP31" s="73"/>
      <c r="RHQ31" s="73"/>
      <c r="RHR31" s="73"/>
      <c r="RHS31" s="73"/>
      <c r="RHT31" s="73"/>
      <c r="RHU31" s="73"/>
      <c r="RHV31" s="73"/>
      <c r="RHW31" s="73"/>
      <c r="RHX31" s="73"/>
      <c r="RHY31" s="73"/>
      <c r="RHZ31" s="73"/>
      <c r="RIA31" s="73"/>
      <c r="RIB31" s="73"/>
      <c r="RIC31" s="73"/>
      <c r="RID31" s="73"/>
      <c r="RIE31" s="73"/>
      <c r="RIF31" s="73"/>
      <c r="RIG31" s="73"/>
      <c r="RIH31" s="73"/>
      <c r="RII31" s="73"/>
      <c r="RIJ31" s="73"/>
      <c r="RIK31" s="73"/>
      <c r="RIL31" s="73"/>
      <c r="RIM31" s="73"/>
      <c r="RIN31" s="73"/>
      <c r="RIO31" s="73"/>
      <c r="RIP31" s="73"/>
      <c r="RIQ31" s="73"/>
      <c r="RIR31" s="73"/>
      <c r="RIS31" s="73"/>
      <c r="RIT31" s="73"/>
      <c r="RIU31" s="73"/>
      <c r="RIV31" s="73"/>
      <c r="RIW31" s="73"/>
      <c r="RIX31" s="73"/>
      <c r="RIY31" s="73"/>
      <c r="RIZ31" s="73"/>
      <c r="RJA31" s="73"/>
      <c r="RJB31" s="73"/>
      <c r="RJC31" s="73"/>
      <c r="RJD31" s="73"/>
      <c r="RJE31" s="73"/>
      <c r="RJF31" s="73"/>
      <c r="RJG31" s="73"/>
      <c r="RJH31" s="73"/>
      <c r="RJI31" s="73"/>
      <c r="RJJ31" s="73"/>
      <c r="RJK31" s="73"/>
      <c r="RJL31" s="73"/>
      <c r="RJM31" s="73"/>
      <c r="RJN31" s="73"/>
      <c r="RJO31" s="73"/>
      <c r="RJP31" s="73"/>
      <c r="RJQ31" s="73"/>
      <c r="RJR31" s="73"/>
      <c r="RJS31" s="73"/>
      <c r="RJT31" s="73"/>
      <c r="RJU31" s="73"/>
      <c r="RJV31" s="73"/>
      <c r="RJW31" s="73"/>
      <c r="RJX31" s="73"/>
      <c r="RJY31" s="73"/>
      <c r="RJZ31" s="73"/>
      <c r="RKA31" s="73"/>
      <c r="RKB31" s="73"/>
      <c r="RKC31" s="73"/>
      <c r="RKD31" s="73"/>
      <c r="RKE31" s="73"/>
      <c r="RKF31" s="73"/>
      <c r="RKG31" s="73"/>
      <c r="RKH31" s="73"/>
      <c r="RKI31" s="73"/>
      <c r="RKJ31" s="73"/>
      <c r="RKK31" s="73"/>
      <c r="RKL31" s="73"/>
      <c r="RKM31" s="73"/>
      <c r="RKN31" s="73"/>
      <c r="RKO31" s="73"/>
      <c r="RKP31" s="73"/>
      <c r="RKQ31" s="73"/>
      <c r="RKR31" s="73"/>
      <c r="RKS31" s="73"/>
      <c r="RKT31" s="73"/>
      <c r="RKU31" s="73"/>
      <c r="RKV31" s="73"/>
      <c r="RKW31" s="73"/>
      <c r="RKX31" s="73"/>
      <c r="RKY31" s="73"/>
      <c r="RKZ31" s="73"/>
      <c r="RLA31" s="73"/>
      <c r="RLB31" s="73"/>
      <c r="RLC31" s="73"/>
      <c r="RLD31" s="73"/>
      <c r="RLE31" s="73"/>
      <c r="RLF31" s="73"/>
      <c r="RLG31" s="73"/>
      <c r="RLH31" s="73"/>
      <c r="RLI31" s="73"/>
      <c r="RLJ31" s="73"/>
      <c r="RLK31" s="73"/>
      <c r="RLL31" s="73"/>
      <c r="RLM31" s="73"/>
      <c r="RLN31" s="73"/>
      <c r="RLO31" s="73"/>
      <c r="RLP31" s="73"/>
      <c r="RLQ31" s="73"/>
      <c r="RLR31" s="73"/>
      <c r="RLS31" s="73"/>
      <c r="RLT31" s="73"/>
      <c r="RLU31" s="73"/>
      <c r="RLV31" s="73"/>
      <c r="RLW31" s="73"/>
      <c r="RLX31" s="73"/>
      <c r="RLY31" s="73"/>
      <c r="RLZ31" s="73"/>
      <c r="RMA31" s="73"/>
      <c r="RMB31" s="73"/>
      <c r="RMC31" s="73"/>
      <c r="RMD31" s="73"/>
      <c r="RME31" s="73"/>
      <c r="RMF31" s="73"/>
      <c r="RMG31" s="73"/>
      <c r="RMH31" s="73"/>
      <c r="RMI31" s="73"/>
      <c r="RMJ31" s="73"/>
      <c r="RMK31" s="73"/>
      <c r="RML31" s="73"/>
      <c r="RMM31" s="73"/>
      <c r="RMN31" s="73"/>
      <c r="RMO31" s="73"/>
      <c r="RMP31" s="73"/>
      <c r="RMQ31" s="73"/>
      <c r="RMR31" s="73"/>
      <c r="RMS31" s="73"/>
      <c r="RMT31" s="73"/>
      <c r="RMU31" s="73"/>
      <c r="RMV31" s="73"/>
      <c r="RMW31" s="73"/>
      <c r="RMX31" s="73"/>
      <c r="RMY31" s="73"/>
      <c r="RMZ31" s="73"/>
      <c r="RNA31" s="73"/>
      <c r="RNB31" s="73"/>
      <c r="RNC31" s="73"/>
      <c r="RND31" s="73"/>
      <c r="RNE31" s="73"/>
      <c r="RNF31" s="73"/>
      <c r="RNG31" s="73"/>
      <c r="RNH31" s="73"/>
      <c r="RNI31" s="73"/>
      <c r="RNJ31" s="73"/>
      <c r="RNK31" s="73"/>
      <c r="RNL31" s="73"/>
      <c r="RNM31" s="73"/>
      <c r="RNN31" s="73"/>
      <c r="RNO31" s="73"/>
      <c r="RNP31" s="73"/>
      <c r="RNQ31" s="73"/>
      <c r="RNR31" s="73"/>
      <c r="RNS31" s="73"/>
      <c r="RNT31" s="73"/>
      <c r="RNU31" s="73"/>
      <c r="RNV31" s="73"/>
      <c r="RNW31" s="73"/>
      <c r="RNX31" s="73"/>
      <c r="RNY31" s="73"/>
      <c r="RNZ31" s="73"/>
      <c r="ROA31" s="73"/>
      <c r="ROB31" s="73"/>
      <c r="ROC31" s="73"/>
      <c r="ROD31" s="73"/>
      <c r="ROE31" s="73"/>
      <c r="ROF31" s="73"/>
      <c r="ROG31" s="73"/>
      <c r="ROH31" s="73"/>
      <c r="ROI31" s="73"/>
      <c r="ROJ31" s="73"/>
      <c r="ROK31" s="73"/>
      <c r="ROL31" s="73"/>
      <c r="ROM31" s="73"/>
      <c r="RON31" s="73"/>
      <c r="ROO31" s="73"/>
      <c r="ROP31" s="73"/>
      <c r="ROQ31" s="73"/>
      <c r="ROR31" s="73"/>
      <c r="ROS31" s="73"/>
      <c r="ROT31" s="73"/>
      <c r="ROU31" s="73"/>
      <c r="ROV31" s="73"/>
      <c r="ROW31" s="73"/>
      <c r="ROX31" s="73"/>
      <c r="ROY31" s="73"/>
      <c r="ROZ31" s="73"/>
      <c r="RPA31" s="73"/>
      <c r="RPB31" s="73"/>
      <c r="RPC31" s="73"/>
      <c r="RPD31" s="73"/>
      <c r="RPE31" s="73"/>
      <c r="RPF31" s="73"/>
      <c r="RPG31" s="73"/>
      <c r="RPH31" s="73"/>
      <c r="RPI31" s="73"/>
      <c r="RPJ31" s="73"/>
      <c r="RPK31" s="73"/>
      <c r="RPL31" s="73"/>
      <c r="RPM31" s="73"/>
      <c r="RPN31" s="73"/>
      <c r="RPO31" s="73"/>
      <c r="RPP31" s="73"/>
      <c r="RPQ31" s="73"/>
      <c r="RPR31" s="73"/>
      <c r="RPS31" s="73"/>
      <c r="RPT31" s="73"/>
      <c r="RPU31" s="73"/>
      <c r="RPV31" s="73"/>
      <c r="RPW31" s="73"/>
      <c r="RPX31" s="73"/>
      <c r="RPY31" s="73"/>
      <c r="RPZ31" s="73"/>
      <c r="RQA31" s="73"/>
      <c r="RQB31" s="73"/>
      <c r="RQC31" s="73"/>
      <c r="RQD31" s="73"/>
      <c r="RQE31" s="73"/>
      <c r="RQF31" s="73"/>
      <c r="RQG31" s="73"/>
      <c r="RQH31" s="73"/>
      <c r="RQI31" s="73"/>
      <c r="RQJ31" s="73"/>
      <c r="RQK31" s="73"/>
      <c r="RQL31" s="73"/>
      <c r="RQM31" s="73"/>
      <c r="RQN31" s="73"/>
      <c r="RQO31" s="73"/>
      <c r="RQP31" s="73"/>
      <c r="RQQ31" s="73"/>
      <c r="RQR31" s="73"/>
      <c r="RQS31" s="73"/>
      <c r="RQT31" s="73"/>
      <c r="RQU31" s="73"/>
      <c r="RQV31" s="73"/>
      <c r="RQW31" s="73"/>
      <c r="RQX31" s="73"/>
      <c r="RQY31" s="73"/>
      <c r="RQZ31" s="73"/>
      <c r="RRA31" s="73"/>
      <c r="RRB31" s="73"/>
      <c r="RRC31" s="73"/>
      <c r="RRD31" s="73"/>
      <c r="RRE31" s="73"/>
      <c r="RRF31" s="73"/>
      <c r="RRG31" s="73"/>
      <c r="RRH31" s="73"/>
      <c r="RRI31" s="73"/>
      <c r="RRJ31" s="73"/>
      <c r="RRK31" s="73"/>
      <c r="RRL31" s="73"/>
      <c r="RRM31" s="73"/>
      <c r="RRN31" s="73"/>
      <c r="RRO31" s="73"/>
      <c r="RRP31" s="73"/>
      <c r="RRQ31" s="73"/>
      <c r="RRR31" s="73"/>
      <c r="RRS31" s="73"/>
      <c r="RRT31" s="73"/>
      <c r="RRU31" s="73"/>
      <c r="RRV31" s="73"/>
      <c r="RRW31" s="73"/>
      <c r="RRX31" s="73"/>
      <c r="RRY31" s="73"/>
      <c r="RRZ31" s="73"/>
      <c r="RSA31" s="73"/>
      <c r="RSB31" s="73"/>
      <c r="RSC31" s="73"/>
      <c r="RSD31" s="73"/>
      <c r="RSE31" s="73"/>
      <c r="RSF31" s="73"/>
      <c r="RSG31" s="73"/>
      <c r="RSH31" s="73"/>
      <c r="RSI31" s="73"/>
      <c r="RSJ31" s="73"/>
      <c r="RSK31" s="73"/>
      <c r="RSL31" s="73"/>
      <c r="RSM31" s="73"/>
      <c r="RSN31" s="73"/>
      <c r="RSO31" s="73"/>
      <c r="RSP31" s="73"/>
      <c r="RSQ31" s="73"/>
      <c r="RSR31" s="73"/>
      <c r="RSS31" s="73"/>
      <c r="RST31" s="73"/>
      <c r="RSU31" s="73"/>
      <c r="RSV31" s="73"/>
      <c r="RSW31" s="73"/>
      <c r="RSX31" s="73"/>
      <c r="RSY31" s="73"/>
      <c r="RSZ31" s="73"/>
      <c r="RTA31" s="73"/>
      <c r="RTB31" s="73"/>
      <c r="RTC31" s="73"/>
      <c r="RTD31" s="73"/>
      <c r="RTE31" s="73"/>
      <c r="RTF31" s="73"/>
      <c r="RTG31" s="73"/>
      <c r="RTH31" s="73"/>
      <c r="RTI31" s="73"/>
      <c r="RTJ31" s="73"/>
      <c r="RTK31" s="73"/>
      <c r="RTL31" s="73"/>
      <c r="RTM31" s="73"/>
      <c r="RTN31" s="73"/>
      <c r="RTO31" s="73"/>
      <c r="RTP31" s="73"/>
      <c r="RTQ31" s="73"/>
      <c r="RTR31" s="73"/>
      <c r="RTS31" s="73"/>
      <c r="RTT31" s="73"/>
      <c r="RTU31" s="73"/>
      <c r="RTV31" s="73"/>
      <c r="RTW31" s="73"/>
      <c r="RTX31" s="73"/>
      <c r="RTY31" s="73"/>
      <c r="RTZ31" s="73"/>
      <c r="RUA31" s="73"/>
      <c r="RUB31" s="73"/>
      <c r="RUC31" s="73"/>
      <c r="RUD31" s="73"/>
      <c r="RUE31" s="73"/>
      <c r="RUF31" s="73"/>
      <c r="RUG31" s="73"/>
      <c r="RUH31" s="73"/>
      <c r="RUI31" s="73"/>
      <c r="RUJ31" s="73"/>
      <c r="RUK31" s="73"/>
      <c r="RUL31" s="73"/>
      <c r="RUM31" s="73"/>
      <c r="RUN31" s="73"/>
      <c r="RUO31" s="73"/>
      <c r="RUP31" s="73"/>
      <c r="RUQ31" s="73"/>
      <c r="RUR31" s="73"/>
      <c r="RUS31" s="73"/>
      <c r="RUT31" s="73"/>
      <c r="RUU31" s="73"/>
      <c r="RUV31" s="73"/>
      <c r="RUW31" s="73"/>
      <c r="RUX31" s="73"/>
      <c r="RUY31" s="73"/>
      <c r="RUZ31" s="73"/>
      <c r="RVA31" s="73"/>
      <c r="RVB31" s="73"/>
      <c r="RVC31" s="73"/>
      <c r="RVD31" s="73"/>
      <c r="RVE31" s="73"/>
      <c r="RVF31" s="73"/>
      <c r="RVG31" s="73"/>
      <c r="RVH31" s="73"/>
      <c r="RVI31" s="73"/>
      <c r="RVJ31" s="73"/>
      <c r="RVK31" s="73"/>
      <c r="RVL31" s="73"/>
      <c r="RVM31" s="73"/>
      <c r="RVN31" s="73"/>
      <c r="RVO31" s="73"/>
      <c r="RVP31" s="73"/>
      <c r="RVQ31" s="73"/>
      <c r="RVR31" s="73"/>
      <c r="RVS31" s="73"/>
      <c r="RVT31" s="73"/>
      <c r="RVU31" s="73"/>
      <c r="RVV31" s="73"/>
      <c r="RVW31" s="73"/>
      <c r="RVX31" s="73"/>
      <c r="RVY31" s="73"/>
      <c r="RVZ31" s="73"/>
      <c r="RWA31" s="73"/>
      <c r="RWB31" s="73"/>
      <c r="RWC31" s="73"/>
      <c r="RWD31" s="73"/>
      <c r="RWE31" s="73"/>
      <c r="RWF31" s="73"/>
      <c r="RWG31" s="73"/>
      <c r="RWH31" s="73"/>
      <c r="RWI31" s="73"/>
      <c r="RWJ31" s="73"/>
      <c r="RWK31" s="73"/>
      <c r="RWL31" s="73"/>
      <c r="RWM31" s="73"/>
      <c r="RWN31" s="73"/>
      <c r="RWO31" s="73"/>
      <c r="RWP31" s="73"/>
      <c r="RWQ31" s="73"/>
      <c r="RWR31" s="73"/>
      <c r="RWS31" s="73"/>
      <c r="RWT31" s="73"/>
      <c r="RWU31" s="73"/>
      <c r="RWV31" s="73"/>
      <c r="RWW31" s="73"/>
      <c r="RWX31" s="73"/>
      <c r="RWY31" s="73"/>
      <c r="RWZ31" s="73"/>
      <c r="RXA31" s="73"/>
      <c r="RXB31" s="73"/>
      <c r="RXC31" s="73"/>
      <c r="RXD31" s="73"/>
      <c r="RXE31" s="73"/>
      <c r="RXF31" s="73"/>
      <c r="RXG31" s="73"/>
      <c r="RXH31" s="73"/>
      <c r="RXI31" s="73"/>
      <c r="RXJ31" s="73"/>
      <c r="RXK31" s="73"/>
      <c r="RXL31" s="73"/>
      <c r="RXM31" s="73"/>
      <c r="RXN31" s="73"/>
      <c r="RXO31" s="73"/>
      <c r="RXP31" s="73"/>
      <c r="RXQ31" s="73"/>
      <c r="RXR31" s="73"/>
      <c r="RXS31" s="73"/>
      <c r="RXT31" s="73"/>
      <c r="RXU31" s="73"/>
      <c r="RXV31" s="73"/>
      <c r="RXW31" s="73"/>
      <c r="RXX31" s="73"/>
      <c r="RXY31" s="73"/>
      <c r="RXZ31" s="73"/>
      <c r="RYA31" s="73"/>
      <c r="RYB31" s="73"/>
      <c r="RYC31" s="73"/>
      <c r="RYD31" s="73"/>
      <c r="RYE31" s="73"/>
      <c r="RYF31" s="73"/>
      <c r="RYG31" s="73"/>
      <c r="RYH31" s="73"/>
      <c r="RYI31" s="73"/>
      <c r="RYJ31" s="73"/>
      <c r="RYK31" s="73"/>
      <c r="RYL31" s="73"/>
      <c r="RYM31" s="73"/>
      <c r="RYN31" s="73"/>
      <c r="RYO31" s="73"/>
      <c r="RYP31" s="73"/>
      <c r="RYQ31" s="73"/>
      <c r="RYR31" s="73"/>
      <c r="RYS31" s="73"/>
      <c r="RYT31" s="73"/>
      <c r="RYU31" s="73"/>
      <c r="RYV31" s="73"/>
      <c r="RYW31" s="73"/>
      <c r="RYX31" s="73"/>
      <c r="RYY31" s="73"/>
      <c r="RYZ31" s="73"/>
      <c r="RZA31" s="73"/>
      <c r="RZB31" s="73"/>
      <c r="RZC31" s="73"/>
      <c r="RZD31" s="73"/>
      <c r="RZE31" s="73"/>
      <c r="RZF31" s="73"/>
      <c r="RZG31" s="73"/>
      <c r="RZH31" s="73"/>
      <c r="RZI31" s="73"/>
      <c r="RZJ31" s="73"/>
      <c r="RZK31" s="73"/>
      <c r="RZL31" s="73"/>
      <c r="RZM31" s="73"/>
      <c r="RZN31" s="73"/>
      <c r="RZO31" s="73"/>
      <c r="RZP31" s="73"/>
      <c r="RZQ31" s="73"/>
      <c r="RZR31" s="73"/>
      <c r="RZS31" s="73"/>
      <c r="RZT31" s="73"/>
      <c r="RZU31" s="73"/>
      <c r="RZV31" s="73"/>
      <c r="RZW31" s="73"/>
      <c r="RZX31" s="73"/>
      <c r="RZY31" s="73"/>
      <c r="RZZ31" s="73"/>
      <c r="SAA31" s="73"/>
      <c r="SAB31" s="73"/>
      <c r="SAC31" s="73"/>
      <c r="SAD31" s="73"/>
      <c r="SAE31" s="73"/>
      <c r="SAF31" s="73"/>
      <c r="SAG31" s="73"/>
      <c r="SAH31" s="73"/>
      <c r="SAI31" s="73"/>
      <c r="SAJ31" s="73"/>
      <c r="SAK31" s="73"/>
      <c r="SAL31" s="73"/>
      <c r="SAM31" s="73"/>
      <c r="SAN31" s="73"/>
      <c r="SAO31" s="73"/>
      <c r="SAP31" s="73"/>
      <c r="SAQ31" s="73"/>
      <c r="SAR31" s="73"/>
      <c r="SAS31" s="73"/>
      <c r="SAT31" s="73"/>
      <c r="SAU31" s="73"/>
      <c r="SAV31" s="73"/>
      <c r="SAW31" s="73"/>
      <c r="SAX31" s="73"/>
      <c r="SAY31" s="73"/>
      <c r="SAZ31" s="73"/>
      <c r="SBA31" s="73"/>
      <c r="SBB31" s="73"/>
      <c r="SBC31" s="73"/>
      <c r="SBD31" s="73"/>
      <c r="SBE31" s="73"/>
      <c r="SBF31" s="73"/>
      <c r="SBG31" s="73"/>
      <c r="SBH31" s="73"/>
      <c r="SBI31" s="73"/>
      <c r="SBJ31" s="73"/>
      <c r="SBK31" s="73"/>
      <c r="SBL31" s="73"/>
      <c r="SBM31" s="73"/>
      <c r="SBN31" s="73"/>
      <c r="SBO31" s="73"/>
      <c r="SBP31" s="73"/>
      <c r="SBQ31" s="73"/>
      <c r="SBR31" s="73"/>
      <c r="SBS31" s="73"/>
      <c r="SBT31" s="73"/>
      <c r="SBU31" s="73"/>
      <c r="SBV31" s="73"/>
      <c r="SBW31" s="73"/>
      <c r="SBX31" s="73"/>
      <c r="SBY31" s="73"/>
      <c r="SBZ31" s="73"/>
      <c r="SCA31" s="73"/>
      <c r="SCB31" s="73"/>
      <c r="SCC31" s="73"/>
      <c r="SCD31" s="73"/>
      <c r="SCE31" s="73"/>
      <c r="SCF31" s="73"/>
      <c r="SCG31" s="73"/>
      <c r="SCH31" s="73"/>
      <c r="SCI31" s="73"/>
      <c r="SCJ31" s="73"/>
      <c r="SCK31" s="73"/>
      <c r="SCL31" s="73"/>
      <c r="SCM31" s="73"/>
      <c r="SCN31" s="73"/>
      <c r="SCO31" s="73"/>
      <c r="SCP31" s="73"/>
      <c r="SCQ31" s="73"/>
      <c r="SCR31" s="73"/>
      <c r="SCS31" s="73"/>
      <c r="SCT31" s="73"/>
      <c r="SCU31" s="73"/>
      <c r="SCV31" s="73"/>
      <c r="SCW31" s="73"/>
      <c r="SCX31" s="73"/>
      <c r="SCY31" s="73"/>
      <c r="SCZ31" s="73"/>
      <c r="SDA31" s="73"/>
      <c r="SDB31" s="73"/>
      <c r="SDC31" s="73"/>
      <c r="SDD31" s="73"/>
      <c r="SDE31" s="73"/>
      <c r="SDF31" s="73"/>
      <c r="SDG31" s="73"/>
      <c r="SDH31" s="73"/>
      <c r="SDI31" s="73"/>
      <c r="SDJ31" s="73"/>
      <c r="SDK31" s="73"/>
      <c r="SDL31" s="73"/>
      <c r="SDM31" s="73"/>
      <c r="SDN31" s="73"/>
      <c r="SDO31" s="73"/>
      <c r="SDP31" s="73"/>
      <c r="SDQ31" s="73"/>
      <c r="SDR31" s="73"/>
      <c r="SDS31" s="73"/>
      <c r="SDT31" s="73"/>
      <c r="SDU31" s="73"/>
      <c r="SDV31" s="73"/>
      <c r="SDW31" s="73"/>
      <c r="SDX31" s="73"/>
      <c r="SDY31" s="73"/>
      <c r="SDZ31" s="73"/>
      <c r="SEA31" s="73"/>
      <c r="SEB31" s="73"/>
      <c r="SEC31" s="73"/>
      <c r="SED31" s="73"/>
      <c r="SEE31" s="73"/>
      <c r="SEF31" s="73"/>
      <c r="SEG31" s="73"/>
      <c r="SEH31" s="73"/>
      <c r="SEI31" s="73"/>
      <c r="SEJ31" s="73"/>
      <c r="SEK31" s="73"/>
      <c r="SEL31" s="73"/>
      <c r="SEM31" s="73"/>
      <c r="SEN31" s="73"/>
      <c r="SEO31" s="73"/>
      <c r="SEP31" s="73"/>
      <c r="SEQ31" s="73"/>
      <c r="SER31" s="73"/>
      <c r="SES31" s="73"/>
      <c r="SET31" s="73"/>
      <c r="SEU31" s="73"/>
      <c r="SEV31" s="73"/>
      <c r="SEW31" s="73"/>
      <c r="SEX31" s="73"/>
      <c r="SEY31" s="73"/>
      <c r="SEZ31" s="73"/>
      <c r="SFA31" s="73"/>
      <c r="SFB31" s="73"/>
      <c r="SFC31" s="73"/>
      <c r="SFD31" s="73"/>
      <c r="SFE31" s="73"/>
      <c r="SFF31" s="73"/>
      <c r="SFG31" s="73"/>
      <c r="SFH31" s="73"/>
      <c r="SFI31" s="73"/>
      <c r="SFJ31" s="73"/>
      <c r="SFK31" s="73"/>
      <c r="SFL31" s="73"/>
      <c r="SFM31" s="73"/>
      <c r="SFN31" s="73"/>
      <c r="SFO31" s="73"/>
      <c r="SFP31" s="73"/>
      <c r="SFQ31" s="73"/>
      <c r="SFR31" s="73"/>
      <c r="SFS31" s="73"/>
      <c r="SFT31" s="73"/>
      <c r="SFU31" s="73"/>
      <c r="SFV31" s="73"/>
      <c r="SFW31" s="73"/>
      <c r="SFX31" s="73"/>
      <c r="SFY31" s="73"/>
      <c r="SFZ31" s="73"/>
      <c r="SGA31" s="73"/>
      <c r="SGB31" s="73"/>
      <c r="SGC31" s="73"/>
      <c r="SGD31" s="73"/>
      <c r="SGE31" s="73"/>
      <c r="SGF31" s="73"/>
      <c r="SGG31" s="73"/>
      <c r="SGH31" s="73"/>
      <c r="SGI31" s="73"/>
      <c r="SGJ31" s="73"/>
      <c r="SGK31" s="73"/>
      <c r="SGL31" s="73"/>
      <c r="SGM31" s="73"/>
      <c r="SGN31" s="73"/>
      <c r="SGO31" s="73"/>
      <c r="SGP31" s="73"/>
      <c r="SGQ31" s="73"/>
      <c r="SGR31" s="73"/>
      <c r="SGS31" s="73"/>
      <c r="SGT31" s="73"/>
      <c r="SGU31" s="73"/>
      <c r="SGV31" s="73"/>
      <c r="SGW31" s="73"/>
      <c r="SGX31" s="73"/>
      <c r="SGY31" s="73"/>
      <c r="SGZ31" s="73"/>
      <c r="SHA31" s="73"/>
      <c r="SHB31" s="73"/>
      <c r="SHC31" s="73"/>
      <c r="SHD31" s="73"/>
      <c r="SHE31" s="73"/>
      <c r="SHF31" s="73"/>
      <c r="SHG31" s="73"/>
      <c r="SHH31" s="73"/>
      <c r="SHI31" s="73"/>
      <c r="SHJ31" s="73"/>
      <c r="SHK31" s="73"/>
      <c r="SHL31" s="73"/>
      <c r="SHM31" s="73"/>
      <c r="SHN31" s="73"/>
      <c r="SHO31" s="73"/>
      <c r="SHP31" s="73"/>
      <c r="SHQ31" s="73"/>
      <c r="SHR31" s="73"/>
      <c r="SHS31" s="73"/>
      <c r="SHT31" s="73"/>
      <c r="SHU31" s="73"/>
      <c r="SHV31" s="73"/>
      <c r="SHW31" s="73"/>
      <c r="SHX31" s="73"/>
      <c r="SHY31" s="73"/>
      <c r="SHZ31" s="73"/>
      <c r="SIA31" s="73"/>
      <c r="SIB31" s="73"/>
      <c r="SIC31" s="73"/>
      <c r="SID31" s="73"/>
      <c r="SIE31" s="73"/>
      <c r="SIF31" s="73"/>
      <c r="SIG31" s="73"/>
      <c r="SIH31" s="73"/>
      <c r="SII31" s="73"/>
      <c r="SIJ31" s="73"/>
      <c r="SIK31" s="73"/>
      <c r="SIL31" s="73"/>
      <c r="SIM31" s="73"/>
      <c r="SIN31" s="73"/>
      <c r="SIO31" s="73"/>
      <c r="SIP31" s="73"/>
      <c r="SIQ31" s="73"/>
      <c r="SIR31" s="73"/>
      <c r="SIS31" s="73"/>
      <c r="SIT31" s="73"/>
      <c r="SIU31" s="73"/>
      <c r="SIV31" s="73"/>
      <c r="SIW31" s="73"/>
      <c r="SIX31" s="73"/>
      <c r="SIY31" s="73"/>
      <c r="SIZ31" s="73"/>
      <c r="SJA31" s="73"/>
      <c r="SJB31" s="73"/>
      <c r="SJC31" s="73"/>
      <c r="SJD31" s="73"/>
      <c r="SJE31" s="73"/>
      <c r="SJF31" s="73"/>
      <c r="SJG31" s="73"/>
      <c r="SJH31" s="73"/>
      <c r="SJI31" s="73"/>
      <c r="SJJ31" s="73"/>
      <c r="SJK31" s="73"/>
      <c r="SJL31" s="73"/>
      <c r="SJM31" s="73"/>
      <c r="SJN31" s="73"/>
      <c r="SJO31" s="73"/>
      <c r="SJP31" s="73"/>
      <c r="SJQ31" s="73"/>
      <c r="SJR31" s="73"/>
      <c r="SJS31" s="73"/>
      <c r="SJT31" s="73"/>
      <c r="SJU31" s="73"/>
      <c r="SJV31" s="73"/>
      <c r="SJW31" s="73"/>
      <c r="SJX31" s="73"/>
      <c r="SJY31" s="73"/>
      <c r="SJZ31" s="73"/>
      <c r="SKA31" s="73"/>
      <c r="SKB31" s="73"/>
      <c r="SKC31" s="73"/>
      <c r="SKD31" s="73"/>
      <c r="SKE31" s="73"/>
      <c r="SKF31" s="73"/>
      <c r="SKG31" s="73"/>
      <c r="SKH31" s="73"/>
      <c r="SKI31" s="73"/>
      <c r="SKJ31" s="73"/>
      <c r="SKK31" s="73"/>
      <c r="SKL31" s="73"/>
      <c r="SKM31" s="73"/>
      <c r="SKN31" s="73"/>
      <c r="SKO31" s="73"/>
      <c r="SKP31" s="73"/>
      <c r="SKQ31" s="73"/>
      <c r="SKR31" s="73"/>
      <c r="SKS31" s="73"/>
      <c r="SKT31" s="73"/>
      <c r="SKU31" s="73"/>
      <c r="SKV31" s="73"/>
      <c r="SKW31" s="73"/>
      <c r="SKX31" s="73"/>
      <c r="SKY31" s="73"/>
      <c r="SKZ31" s="73"/>
      <c r="SLA31" s="73"/>
      <c r="SLB31" s="73"/>
      <c r="SLC31" s="73"/>
      <c r="SLD31" s="73"/>
      <c r="SLE31" s="73"/>
      <c r="SLF31" s="73"/>
      <c r="SLG31" s="73"/>
      <c r="SLH31" s="73"/>
      <c r="SLI31" s="73"/>
      <c r="SLJ31" s="73"/>
      <c r="SLK31" s="73"/>
      <c r="SLL31" s="73"/>
      <c r="SLM31" s="73"/>
      <c r="SLN31" s="73"/>
      <c r="SLO31" s="73"/>
      <c r="SLP31" s="73"/>
      <c r="SLQ31" s="73"/>
      <c r="SLR31" s="73"/>
      <c r="SLS31" s="73"/>
      <c r="SLT31" s="73"/>
      <c r="SLU31" s="73"/>
      <c r="SLV31" s="73"/>
      <c r="SLW31" s="73"/>
      <c r="SLX31" s="73"/>
      <c r="SLY31" s="73"/>
      <c r="SLZ31" s="73"/>
      <c r="SMA31" s="73"/>
      <c r="SMB31" s="73"/>
      <c r="SMC31" s="73"/>
      <c r="SMD31" s="73"/>
      <c r="SME31" s="73"/>
      <c r="SMF31" s="73"/>
      <c r="SMG31" s="73"/>
      <c r="SMH31" s="73"/>
      <c r="SMI31" s="73"/>
      <c r="SMJ31" s="73"/>
      <c r="SMK31" s="73"/>
      <c r="SML31" s="73"/>
      <c r="SMM31" s="73"/>
      <c r="SMN31" s="73"/>
      <c r="SMO31" s="73"/>
      <c r="SMP31" s="73"/>
      <c r="SMQ31" s="73"/>
      <c r="SMR31" s="73"/>
      <c r="SMS31" s="73"/>
      <c r="SMT31" s="73"/>
      <c r="SMU31" s="73"/>
      <c r="SMV31" s="73"/>
      <c r="SMW31" s="73"/>
      <c r="SMX31" s="73"/>
      <c r="SMY31" s="73"/>
      <c r="SMZ31" s="73"/>
      <c r="SNA31" s="73"/>
      <c r="SNB31" s="73"/>
      <c r="SNC31" s="73"/>
      <c r="SND31" s="73"/>
      <c r="SNE31" s="73"/>
      <c r="SNF31" s="73"/>
      <c r="SNG31" s="73"/>
      <c r="SNH31" s="73"/>
      <c r="SNI31" s="73"/>
      <c r="SNJ31" s="73"/>
      <c r="SNK31" s="73"/>
      <c r="SNL31" s="73"/>
      <c r="SNM31" s="73"/>
      <c r="SNN31" s="73"/>
      <c r="SNO31" s="73"/>
      <c r="SNP31" s="73"/>
      <c r="SNQ31" s="73"/>
      <c r="SNR31" s="73"/>
      <c r="SNS31" s="73"/>
      <c r="SNT31" s="73"/>
      <c r="SNU31" s="73"/>
      <c r="SNV31" s="73"/>
      <c r="SNW31" s="73"/>
      <c r="SNX31" s="73"/>
      <c r="SNY31" s="73"/>
      <c r="SNZ31" s="73"/>
      <c r="SOA31" s="73"/>
      <c r="SOB31" s="73"/>
      <c r="SOC31" s="73"/>
      <c r="SOD31" s="73"/>
      <c r="SOE31" s="73"/>
      <c r="SOF31" s="73"/>
      <c r="SOG31" s="73"/>
      <c r="SOH31" s="73"/>
      <c r="SOI31" s="73"/>
      <c r="SOJ31" s="73"/>
      <c r="SOK31" s="73"/>
      <c r="SOL31" s="73"/>
      <c r="SOM31" s="73"/>
      <c r="SON31" s="73"/>
      <c r="SOO31" s="73"/>
      <c r="SOP31" s="73"/>
      <c r="SOQ31" s="73"/>
      <c r="SOR31" s="73"/>
      <c r="SOS31" s="73"/>
      <c r="SOT31" s="73"/>
      <c r="SOU31" s="73"/>
      <c r="SOV31" s="73"/>
      <c r="SOW31" s="73"/>
      <c r="SOX31" s="73"/>
      <c r="SOY31" s="73"/>
      <c r="SOZ31" s="73"/>
      <c r="SPA31" s="73"/>
      <c r="SPB31" s="73"/>
      <c r="SPC31" s="73"/>
      <c r="SPD31" s="73"/>
      <c r="SPE31" s="73"/>
      <c r="SPF31" s="73"/>
      <c r="SPG31" s="73"/>
      <c r="SPH31" s="73"/>
      <c r="SPI31" s="73"/>
      <c r="SPJ31" s="73"/>
      <c r="SPK31" s="73"/>
      <c r="SPL31" s="73"/>
      <c r="SPM31" s="73"/>
      <c r="SPN31" s="73"/>
      <c r="SPO31" s="73"/>
      <c r="SPP31" s="73"/>
      <c r="SPQ31" s="73"/>
      <c r="SPR31" s="73"/>
      <c r="SPS31" s="73"/>
      <c r="SPT31" s="73"/>
      <c r="SPU31" s="73"/>
      <c r="SPV31" s="73"/>
      <c r="SPW31" s="73"/>
      <c r="SPX31" s="73"/>
      <c r="SPY31" s="73"/>
      <c r="SPZ31" s="73"/>
      <c r="SQA31" s="73"/>
      <c r="SQB31" s="73"/>
      <c r="SQC31" s="73"/>
      <c r="SQD31" s="73"/>
      <c r="SQE31" s="73"/>
      <c r="SQF31" s="73"/>
      <c r="SQG31" s="73"/>
      <c r="SQH31" s="73"/>
      <c r="SQI31" s="73"/>
      <c r="SQJ31" s="73"/>
      <c r="SQK31" s="73"/>
      <c r="SQL31" s="73"/>
      <c r="SQM31" s="73"/>
      <c r="SQN31" s="73"/>
      <c r="SQO31" s="73"/>
      <c r="SQP31" s="73"/>
      <c r="SQQ31" s="73"/>
      <c r="SQR31" s="73"/>
      <c r="SQS31" s="73"/>
      <c r="SQT31" s="73"/>
      <c r="SQU31" s="73"/>
      <c r="SQV31" s="73"/>
      <c r="SQW31" s="73"/>
      <c r="SQX31" s="73"/>
      <c r="SQY31" s="73"/>
      <c r="SQZ31" s="73"/>
      <c r="SRA31" s="73"/>
      <c r="SRB31" s="73"/>
      <c r="SRC31" s="73"/>
      <c r="SRD31" s="73"/>
      <c r="SRE31" s="73"/>
      <c r="SRF31" s="73"/>
      <c r="SRG31" s="73"/>
      <c r="SRH31" s="73"/>
      <c r="SRI31" s="73"/>
      <c r="SRJ31" s="73"/>
      <c r="SRK31" s="73"/>
      <c r="SRL31" s="73"/>
      <c r="SRM31" s="73"/>
      <c r="SRN31" s="73"/>
      <c r="SRO31" s="73"/>
      <c r="SRP31" s="73"/>
      <c r="SRQ31" s="73"/>
      <c r="SRR31" s="73"/>
      <c r="SRS31" s="73"/>
      <c r="SRT31" s="73"/>
      <c r="SRU31" s="73"/>
      <c r="SRV31" s="73"/>
      <c r="SRW31" s="73"/>
      <c r="SRX31" s="73"/>
      <c r="SRY31" s="73"/>
      <c r="SRZ31" s="73"/>
      <c r="SSA31" s="73"/>
      <c r="SSB31" s="73"/>
      <c r="SSC31" s="73"/>
      <c r="SSD31" s="73"/>
      <c r="SSE31" s="73"/>
      <c r="SSF31" s="73"/>
      <c r="SSG31" s="73"/>
      <c r="SSH31" s="73"/>
      <c r="SSI31" s="73"/>
      <c r="SSJ31" s="73"/>
      <c r="SSK31" s="73"/>
      <c r="SSL31" s="73"/>
      <c r="SSM31" s="73"/>
      <c r="SSN31" s="73"/>
      <c r="SSO31" s="73"/>
      <c r="SSP31" s="73"/>
      <c r="SSQ31" s="73"/>
      <c r="SSR31" s="73"/>
      <c r="SSS31" s="73"/>
      <c r="SST31" s="73"/>
      <c r="SSU31" s="73"/>
      <c r="SSV31" s="73"/>
      <c r="SSW31" s="73"/>
      <c r="SSX31" s="73"/>
      <c r="SSY31" s="73"/>
      <c r="SSZ31" s="73"/>
      <c r="STA31" s="73"/>
      <c r="STB31" s="73"/>
      <c r="STC31" s="73"/>
      <c r="STD31" s="73"/>
      <c r="STE31" s="73"/>
      <c r="STF31" s="73"/>
      <c r="STG31" s="73"/>
      <c r="STH31" s="73"/>
      <c r="STI31" s="73"/>
      <c r="STJ31" s="73"/>
      <c r="STK31" s="73"/>
      <c r="STL31" s="73"/>
      <c r="STM31" s="73"/>
      <c r="STN31" s="73"/>
      <c r="STO31" s="73"/>
      <c r="STP31" s="73"/>
      <c r="STQ31" s="73"/>
      <c r="STR31" s="73"/>
      <c r="STS31" s="73"/>
      <c r="STT31" s="73"/>
      <c r="STU31" s="73"/>
      <c r="STV31" s="73"/>
      <c r="STW31" s="73"/>
      <c r="STX31" s="73"/>
      <c r="STY31" s="73"/>
      <c r="STZ31" s="73"/>
      <c r="SUA31" s="73"/>
      <c r="SUB31" s="73"/>
      <c r="SUC31" s="73"/>
      <c r="SUD31" s="73"/>
      <c r="SUE31" s="73"/>
      <c r="SUF31" s="73"/>
      <c r="SUG31" s="73"/>
      <c r="SUH31" s="73"/>
      <c r="SUI31" s="73"/>
      <c r="SUJ31" s="73"/>
      <c r="SUK31" s="73"/>
      <c r="SUL31" s="73"/>
      <c r="SUM31" s="73"/>
      <c r="SUN31" s="73"/>
      <c r="SUO31" s="73"/>
      <c r="SUP31" s="73"/>
      <c r="SUQ31" s="73"/>
      <c r="SUR31" s="73"/>
      <c r="SUS31" s="73"/>
      <c r="SUT31" s="73"/>
      <c r="SUU31" s="73"/>
      <c r="SUV31" s="73"/>
      <c r="SUW31" s="73"/>
      <c r="SUX31" s="73"/>
      <c r="SUY31" s="73"/>
      <c r="SUZ31" s="73"/>
      <c r="SVA31" s="73"/>
      <c r="SVB31" s="73"/>
      <c r="SVC31" s="73"/>
      <c r="SVD31" s="73"/>
      <c r="SVE31" s="73"/>
      <c r="SVF31" s="73"/>
      <c r="SVG31" s="73"/>
      <c r="SVH31" s="73"/>
      <c r="SVI31" s="73"/>
      <c r="SVJ31" s="73"/>
      <c r="SVK31" s="73"/>
      <c r="SVL31" s="73"/>
      <c r="SVM31" s="73"/>
      <c r="SVN31" s="73"/>
      <c r="SVO31" s="73"/>
      <c r="SVP31" s="73"/>
      <c r="SVQ31" s="73"/>
      <c r="SVR31" s="73"/>
      <c r="SVS31" s="73"/>
      <c r="SVT31" s="73"/>
      <c r="SVU31" s="73"/>
      <c r="SVV31" s="73"/>
      <c r="SVW31" s="73"/>
      <c r="SVX31" s="73"/>
      <c r="SVY31" s="73"/>
      <c r="SVZ31" s="73"/>
      <c r="SWA31" s="73"/>
      <c r="SWB31" s="73"/>
      <c r="SWC31" s="73"/>
      <c r="SWD31" s="73"/>
      <c r="SWE31" s="73"/>
      <c r="SWF31" s="73"/>
      <c r="SWG31" s="73"/>
      <c r="SWH31" s="73"/>
      <c r="SWI31" s="73"/>
      <c r="SWJ31" s="73"/>
      <c r="SWK31" s="73"/>
      <c r="SWL31" s="73"/>
      <c r="SWM31" s="73"/>
      <c r="SWN31" s="73"/>
      <c r="SWO31" s="73"/>
      <c r="SWP31" s="73"/>
      <c r="SWQ31" s="73"/>
      <c r="SWR31" s="73"/>
      <c r="SWS31" s="73"/>
      <c r="SWT31" s="73"/>
      <c r="SWU31" s="73"/>
      <c r="SWV31" s="73"/>
      <c r="SWW31" s="73"/>
      <c r="SWX31" s="73"/>
      <c r="SWY31" s="73"/>
      <c r="SWZ31" s="73"/>
      <c r="SXA31" s="73"/>
      <c r="SXB31" s="73"/>
      <c r="SXC31" s="73"/>
      <c r="SXD31" s="73"/>
      <c r="SXE31" s="73"/>
      <c r="SXF31" s="73"/>
      <c r="SXG31" s="73"/>
      <c r="SXH31" s="73"/>
      <c r="SXI31" s="73"/>
      <c r="SXJ31" s="73"/>
      <c r="SXK31" s="73"/>
      <c r="SXL31" s="73"/>
      <c r="SXM31" s="73"/>
      <c r="SXN31" s="73"/>
      <c r="SXO31" s="73"/>
      <c r="SXP31" s="73"/>
      <c r="SXQ31" s="73"/>
      <c r="SXR31" s="73"/>
      <c r="SXS31" s="73"/>
      <c r="SXT31" s="73"/>
      <c r="SXU31" s="73"/>
      <c r="SXV31" s="73"/>
      <c r="SXW31" s="73"/>
      <c r="SXX31" s="73"/>
      <c r="SXY31" s="73"/>
      <c r="SXZ31" s="73"/>
      <c r="SYA31" s="73"/>
      <c r="SYB31" s="73"/>
      <c r="SYC31" s="73"/>
      <c r="SYD31" s="73"/>
      <c r="SYE31" s="73"/>
      <c r="SYF31" s="73"/>
      <c r="SYG31" s="73"/>
      <c r="SYH31" s="73"/>
      <c r="SYI31" s="73"/>
      <c r="SYJ31" s="73"/>
      <c r="SYK31" s="73"/>
      <c r="SYL31" s="73"/>
      <c r="SYM31" s="73"/>
      <c r="SYN31" s="73"/>
      <c r="SYO31" s="73"/>
      <c r="SYP31" s="73"/>
      <c r="SYQ31" s="73"/>
      <c r="SYR31" s="73"/>
      <c r="SYS31" s="73"/>
      <c r="SYT31" s="73"/>
      <c r="SYU31" s="73"/>
      <c r="SYV31" s="73"/>
      <c r="SYW31" s="73"/>
      <c r="SYX31" s="73"/>
      <c r="SYY31" s="73"/>
      <c r="SYZ31" s="73"/>
      <c r="SZA31" s="73"/>
      <c r="SZB31" s="73"/>
      <c r="SZC31" s="73"/>
      <c r="SZD31" s="73"/>
      <c r="SZE31" s="73"/>
      <c r="SZF31" s="73"/>
      <c r="SZG31" s="73"/>
      <c r="SZH31" s="73"/>
      <c r="SZI31" s="73"/>
      <c r="SZJ31" s="73"/>
      <c r="SZK31" s="73"/>
      <c r="SZL31" s="73"/>
      <c r="SZM31" s="73"/>
      <c r="SZN31" s="73"/>
      <c r="SZO31" s="73"/>
      <c r="SZP31" s="73"/>
      <c r="SZQ31" s="73"/>
      <c r="SZR31" s="73"/>
      <c r="SZS31" s="73"/>
      <c r="SZT31" s="73"/>
      <c r="SZU31" s="73"/>
      <c r="SZV31" s="73"/>
      <c r="SZW31" s="73"/>
      <c r="SZX31" s="73"/>
      <c r="SZY31" s="73"/>
      <c r="SZZ31" s="73"/>
      <c r="TAA31" s="73"/>
      <c r="TAB31" s="73"/>
      <c r="TAC31" s="73"/>
      <c r="TAD31" s="73"/>
      <c r="TAE31" s="73"/>
      <c r="TAF31" s="73"/>
      <c r="TAG31" s="73"/>
      <c r="TAH31" s="73"/>
      <c r="TAI31" s="73"/>
      <c r="TAJ31" s="73"/>
      <c r="TAK31" s="73"/>
      <c r="TAL31" s="73"/>
      <c r="TAM31" s="73"/>
      <c r="TAN31" s="73"/>
      <c r="TAO31" s="73"/>
      <c r="TAP31" s="73"/>
      <c r="TAQ31" s="73"/>
      <c r="TAR31" s="73"/>
      <c r="TAS31" s="73"/>
      <c r="TAT31" s="73"/>
      <c r="TAU31" s="73"/>
      <c r="TAV31" s="73"/>
      <c r="TAW31" s="73"/>
      <c r="TAX31" s="73"/>
      <c r="TAY31" s="73"/>
      <c r="TAZ31" s="73"/>
      <c r="TBA31" s="73"/>
      <c r="TBB31" s="73"/>
      <c r="TBC31" s="73"/>
      <c r="TBD31" s="73"/>
      <c r="TBE31" s="73"/>
      <c r="TBF31" s="73"/>
      <c r="TBG31" s="73"/>
      <c r="TBH31" s="73"/>
      <c r="TBI31" s="73"/>
      <c r="TBJ31" s="73"/>
      <c r="TBK31" s="73"/>
      <c r="TBL31" s="73"/>
      <c r="TBM31" s="73"/>
      <c r="TBN31" s="73"/>
      <c r="TBO31" s="73"/>
      <c r="TBP31" s="73"/>
      <c r="TBQ31" s="73"/>
      <c r="TBR31" s="73"/>
      <c r="TBS31" s="73"/>
      <c r="TBT31" s="73"/>
      <c r="TBU31" s="73"/>
      <c r="TBV31" s="73"/>
      <c r="TBW31" s="73"/>
      <c r="TBX31" s="73"/>
      <c r="TBY31" s="73"/>
      <c r="TBZ31" s="73"/>
      <c r="TCA31" s="73"/>
      <c r="TCB31" s="73"/>
      <c r="TCC31" s="73"/>
      <c r="TCD31" s="73"/>
      <c r="TCE31" s="73"/>
      <c r="TCF31" s="73"/>
      <c r="TCG31" s="73"/>
      <c r="TCH31" s="73"/>
      <c r="TCI31" s="73"/>
      <c r="TCJ31" s="73"/>
      <c r="TCK31" s="73"/>
      <c r="TCL31" s="73"/>
      <c r="TCM31" s="73"/>
      <c r="TCN31" s="73"/>
      <c r="TCO31" s="73"/>
      <c r="TCP31" s="73"/>
      <c r="TCQ31" s="73"/>
      <c r="TCR31" s="73"/>
      <c r="TCS31" s="73"/>
      <c r="TCT31" s="73"/>
      <c r="TCU31" s="73"/>
      <c r="TCV31" s="73"/>
      <c r="TCW31" s="73"/>
      <c r="TCX31" s="73"/>
      <c r="TCY31" s="73"/>
      <c r="TCZ31" s="73"/>
      <c r="TDA31" s="73"/>
      <c r="TDB31" s="73"/>
      <c r="TDC31" s="73"/>
      <c r="TDD31" s="73"/>
      <c r="TDE31" s="73"/>
      <c r="TDF31" s="73"/>
      <c r="TDG31" s="73"/>
      <c r="TDH31" s="73"/>
      <c r="TDI31" s="73"/>
      <c r="TDJ31" s="73"/>
      <c r="TDK31" s="73"/>
      <c r="TDL31" s="73"/>
      <c r="TDM31" s="73"/>
      <c r="TDN31" s="73"/>
      <c r="TDO31" s="73"/>
      <c r="TDP31" s="73"/>
      <c r="TDQ31" s="73"/>
      <c r="TDR31" s="73"/>
      <c r="TDS31" s="73"/>
      <c r="TDT31" s="73"/>
      <c r="TDU31" s="73"/>
      <c r="TDV31" s="73"/>
      <c r="TDW31" s="73"/>
      <c r="TDX31" s="73"/>
      <c r="TDY31" s="73"/>
      <c r="TDZ31" s="73"/>
      <c r="TEA31" s="73"/>
      <c r="TEB31" s="73"/>
      <c r="TEC31" s="73"/>
      <c r="TED31" s="73"/>
      <c r="TEE31" s="73"/>
      <c r="TEF31" s="73"/>
      <c r="TEG31" s="73"/>
      <c r="TEH31" s="73"/>
      <c r="TEI31" s="73"/>
      <c r="TEJ31" s="73"/>
      <c r="TEK31" s="73"/>
      <c r="TEL31" s="73"/>
      <c r="TEM31" s="73"/>
      <c r="TEN31" s="73"/>
      <c r="TEO31" s="73"/>
      <c r="TEP31" s="73"/>
      <c r="TEQ31" s="73"/>
      <c r="TER31" s="73"/>
      <c r="TES31" s="73"/>
      <c r="TET31" s="73"/>
      <c r="TEU31" s="73"/>
      <c r="TEV31" s="73"/>
      <c r="TEW31" s="73"/>
      <c r="TEX31" s="73"/>
      <c r="TEY31" s="73"/>
      <c r="TEZ31" s="73"/>
      <c r="TFA31" s="73"/>
      <c r="TFB31" s="73"/>
      <c r="TFC31" s="73"/>
      <c r="TFD31" s="73"/>
      <c r="TFE31" s="73"/>
      <c r="TFF31" s="73"/>
      <c r="TFG31" s="73"/>
      <c r="TFH31" s="73"/>
      <c r="TFI31" s="73"/>
      <c r="TFJ31" s="73"/>
      <c r="TFK31" s="73"/>
      <c r="TFL31" s="73"/>
      <c r="TFM31" s="73"/>
      <c r="TFN31" s="73"/>
      <c r="TFO31" s="73"/>
      <c r="TFP31" s="73"/>
      <c r="TFQ31" s="73"/>
      <c r="TFR31" s="73"/>
      <c r="TFS31" s="73"/>
      <c r="TFT31" s="73"/>
      <c r="TFU31" s="73"/>
      <c r="TFV31" s="73"/>
      <c r="TFW31" s="73"/>
      <c r="TFX31" s="73"/>
      <c r="TFY31" s="73"/>
      <c r="TFZ31" s="73"/>
      <c r="TGA31" s="73"/>
      <c r="TGB31" s="73"/>
      <c r="TGC31" s="73"/>
      <c r="TGD31" s="73"/>
      <c r="TGE31" s="73"/>
      <c r="TGF31" s="73"/>
      <c r="TGG31" s="73"/>
      <c r="TGH31" s="73"/>
      <c r="TGI31" s="73"/>
      <c r="TGJ31" s="73"/>
      <c r="TGK31" s="73"/>
      <c r="TGL31" s="73"/>
      <c r="TGM31" s="73"/>
      <c r="TGN31" s="73"/>
      <c r="TGO31" s="73"/>
      <c r="TGP31" s="73"/>
      <c r="TGQ31" s="73"/>
      <c r="TGR31" s="73"/>
      <c r="TGS31" s="73"/>
      <c r="TGT31" s="73"/>
      <c r="TGU31" s="73"/>
      <c r="TGV31" s="73"/>
      <c r="TGW31" s="73"/>
      <c r="TGX31" s="73"/>
      <c r="TGY31" s="73"/>
      <c r="TGZ31" s="73"/>
      <c r="THA31" s="73"/>
      <c r="THB31" s="73"/>
      <c r="THC31" s="73"/>
      <c r="THD31" s="73"/>
      <c r="THE31" s="73"/>
      <c r="THF31" s="73"/>
      <c r="THG31" s="73"/>
      <c r="THH31" s="73"/>
      <c r="THI31" s="73"/>
      <c r="THJ31" s="73"/>
      <c r="THK31" s="73"/>
      <c r="THL31" s="73"/>
      <c r="THM31" s="73"/>
      <c r="THN31" s="73"/>
      <c r="THO31" s="73"/>
      <c r="THP31" s="73"/>
      <c r="THQ31" s="73"/>
      <c r="THR31" s="73"/>
      <c r="THS31" s="73"/>
      <c r="THT31" s="73"/>
      <c r="THU31" s="73"/>
      <c r="THV31" s="73"/>
      <c r="THW31" s="73"/>
      <c r="THX31" s="73"/>
      <c r="THY31" s="73"/>
      <c r="THZ31" s="73"/>
      <c r="TIA31" s="73"/>
      <c r="TIB31" s="73"/>
      <c r="TIC31" s="73"/>
      <c r="TID31" s="73"/>
      <c r="TIE31" s="73"/>
      <c r="TIF31" s="73"/>
      <c r="TIG31" s="73"/>
      <c r="TIH31" s="73"/>
      <c r="TII31" s="73"/>
      <c r="TIJ31" s="73"/>
      <c r="TIK31" s="73"/>
      <c r="TIL31" s="73"/>
      <c r="TIM31" s="73"/>
      <c r="TIN31" s="73"/>
      <c r="TIO31" s="73"/>
      <c r="TIP31" s="73"/>
      <c r="TIQ31" s="73"/>
      <c r="TIR31" s="73"/>
      <c r="TIS31" s="73"/>
      <c r="TIT31" s="73"/>
      <c r="TIU31" s="73"/>
      <c r="TIV31" s="73"/>
      <c r="TIW31" s="73"/>
      <c r="TIX31" s="73"/>
      <c r="TIY31" s="73"/>
      <c r="TIZ31" s="73"/>
      <c r="TJA31" s="73"/>
      <c r="TJB31" s="73"/>
      <c r="TJC31" s="73"/>
      <c r="TJD31" s="73"/>
      <c r="TJE31" s="73"/>
      <c r="TJF31" s="73"/>
      <c r="TJG31" s="73"/>
      <c r="TJH31" s="73"/>
      <c r="TJI31" s="73"/>
      <c r="TJJ31" s="73"/>
      <c r="TJK31" s="73"/>
      <c r="TJL31" s="73"/>
      <c r="TJM31" s="73"/>
      <c r="TJN31" s="73"/>
      <c r="TJO31" s="73"/>
      <c r="TJP31" s="73"/>
      <c r="TJQ31" s="73"/>
      <c r="TJR31" s="73"/>
      <c r="TJS31" s="73"/>
      <c r="TJT31" s="73"/>
      <c r="TJU31" s="73"/>
      <c r="TJV31" s="73"/>
      <c r="TJW31" s="73"/>
      <c r="TJX31" s="73"/>
      <c r="TJY31" s="73"/>
      <c r="TJZ31" s="73"/>
      <c r="TKA31" s="73"/>
      <c r="TKB31" s="73"/>
      <c r="TKC31" s="73"/>
      <c r="TKD31" s="73"/>
      <c r="TKE31" s="73"/>
      <c r="TKF31" s="73"/>
      <c r="TKG31" s="73"/>
      <c r="TKH31" s="73"/>
      <c r="TKI31" s="73"/>
      <c r="TKJ31" s="73"/>
      <c r="TKK31" s="73"/>
      <c r="TKL31" s="73"/>
      <c r="TKM31" s="73"/>
      <c r="TKN31" s="73"/>
      <c r="TKO31" s="73"/>
      <c r="TKP31" s="73"/>
      <c r="TKQ31" s="73"/>
      <c r="TKR31" s="73"/>
      <c r="TKS31" s="73"/>
      <c r="TKT31" s="73"/>
      <c r="TKU31" s="73"/>
      <c r="TKV31" s="73"/>
      <c r="TKW31" s="73"/>
      <c r="TKX31" s="73"/>
      <c r="TKY31" s="73"/>
      <c r="TKZ31" s="73"/>
      <c r="TLA31" s="73"/>
      <c r="TLB31" s="73"/>
      <c r="TLC31" s="73"/>
      <c r="TLD31" s="73"/>
      <c r="TLE31" s="73"/>
      <c r="TLF31" s="73"/>
      <c r="TLG31" s="73"/>
      <c r="TLH31" s="73"/>
      <c r="TLI31" s="73"/>
      <c r="TLJ31" s="73"/>
      <c r="TLK31" s="73"/>
      <c r="TLL31" s="73"/>
      <c r="TLM31" s="73"/>
      <c r="TLN31" s="73"/>
      <c r="TLO31" s="73"/>
      <c r="TLP31" s="73"/>
      <c r="TLQ31" s="73"/>
      <c r="TLR31" s="73"/>
      <c r="TLS31" s="73"/>
      <c r="TLT31" s="73"/>
      <c r="TLU31" s="73"/>
      <c r="TLV31" s="73"/>
      <c r="TLW31" s="73"/>
      <c r="TLX31" s="73"/>
      <c r="TLY31" s="73"/>
      <c r="TLZ31" s="73"/>
      <c r="TMA31" s="73"/>
      <c r="TMB31" s="73"/>
      <c r="TMC31" s="73"/>
      <c r="TMD31" s="73"/>
      <c r="TME31" s="73"/>
      <c r="TMF31" s="73"/>
      <c r="TMG31" s="73"/>
      <c r="TMH31" s="73"/>
      <c r="TMI31" s="73"/>
      <c r="TMJ31" s="73"/>
      <c r="TMK31" s="73"/>
      <c r="TML31" s="73"/>
      <c r="TMM31" s="73"/>
      <c r="TMN31" s="73"/>
      <c r="TMO31" s="73"/>
      <c r="TMP31" s="73"/>
      <c r="TMQ31" s="73"/>
      <c r="TMR31" s="73"/>
      <c r="TMS31" s="73"/>
      <c r="TMT31" s="73"/>
      <c r="TMU31" s="73"/>
      <c r="TMV31" s="73"/>
      <c r="TMW31" s="73"/>
      <c r="TMX31" s="73"/>
      <c r="TMY31" s="73"/>
      <c r="TMZ31" s="73"/>
      <c r="TNA31" s="73"/>
      <c r="TNB31" s="73"/>
      <c r="TNC31" s="73"/>
      <c r="TND31" s="73"/>
      <c r="TNE31" s="73"/>
      <c r="TNF31" s="73"/>
      <c r="TNG31" s="73"/>
      <c r="TNH31" s="73"/>
      <c r="TNI31" s="73"/>
      <c r="TNJ31" s="73"/>
      <c r="TNK31" s="73"/>
      <c r="TNL31" s="73"/>
      <c r="TNM31" s="73"/>
      <c r="TNN31" s="73"/>
      <c r="TNO31" s="73"/>
      <c r="TNP31" s="73"/>
      <c r="TNQ31" s="73"/>
      <c r="TNR31" s="73"/>
      <c r="TNS31" s="73"/>
      <c r="TNT31" s="73"/>
      <c r="TNU31" s="73"/>
      <c r="TNV31" s="73"/>
      <c r="TNW31" s="73"/>
      <c r="TNX31" s="73"/>
      <c r="TNY31" s="73"/>
      <c r="TNZ31" s="73"/>
      <c r="TOA31" s="73"/>
      <c r="TOB31" s="73"/>
      <c r="TOC31" s="73"/>
      <c r="TOD31" s="73"/>
      <c r="TOE31" s="73"/>
      <c r="TOF31" s="73"/>
      <c r="TOG31" s="73"/>
      <c r="TOH31" s="73"/>
      <c r="TOI31" s="73"/>
      <c r="TOJ31" s="73"/>
      <c r="TOK31" s="73"/>
      <c r="TOL31" s="73"/>
      <c r="TOM31" s="73"/>
      <c r="TON31" s="73"/>
      <c r="TOO31" s="73"/>
      <c r="TOP31" s="73"/>
      <c r="TOQ31" s="73"/>
      <c r="TOR31" s="73"/>
      <c r="TOS31" s="73"/>
      <c r="TOT31" s="73"/>
      <c r="TOU31" s="73"/>
      <c r="TOV31" s="73"/>
      <c r="TOW31" s="73"/>
      <c r="TOX31" s="73"/>
      <c r="TOY31" s="73"/>
      <c r="TOZ31" s="73"/>
      <c r="TPA31" s="73"/>
      <c r="TPB31" s="73"/>
      <c r="TPC31" s="73"/>
      <c r="TPD31" s="73"/>
      <c r="TPE31" s="73"/>
      <c r="TPF31" s="73"/>
      <c r="TPG31" s="73"/>
      <c r="TPH31" s="73"/>
      <c r="TPI31" s="73"/>
      <c r="TPJ31" s="73"/>
      <c r="TPK31" s="73"/>
      <c r="TPL31" s="73"/>
      <c r="TPM31" s="73"/>
      <c r="TPN31" s="73"/>
      <c r="TPO31" s="73"/>
      <c r="TPP31" s="73"/>
      <c r="TPQ31" s="73"/>
      <c r="TPR31" s="73"/>
      <c r="TPS31" s="73"/>
      <c r="TPT31" s="73"/>
      <c r="TPU31" s="73"/>
      <c r="TPV31" s="73"/>
      <c r="TPW31" s="73"/>
      <c r="TPX31" s="73"/>
      <c r="TPY31" s="73"/>
      <c r="TPZ31" s="73"/>
      <c r="TQA31" s="73"/>
      <c r="TQB31" s="73"/>
      <c r="TQC31" s="73"/>
      <c r="TQD31" s="73"/>
      <c r="TQE31" s="73"/>
      <c r="TQF31" s="73"/>
      <c r="TQG31" s="73"/>
      <c r="TQH31" s="73"/>
      <c r="TQI31" s="73"/>
      <c r="TQJ31" s="73"/>
      <c r="TQK31" s="73"/>
      <c r="TQL31" s="73"/>
      <c r="TQM31" s="73"/>
      <c r="TQN31" s="73"/>
      <c r="TQO31" s="73"/>
      <c r="TQP31" s="73"/>
      <c r="TQQ31" s="73"/>
      <c r="TQR31" s="73"/>
      <c r="TQS31" s="73"/>
      <c r="TQT31" s="73"/>
      <c r="TQU31" s="73"/>
      <c r="TQV31" s="73"/>
      <c r="TQW31" s="73"/>
      <c r="TQX31" s="73"/>
      <c r="TQY31" s="73"/>
      <c r="TQZ31" s="73"/>
      <c r="TRA31" s="73"/>
      <c r="TRB31" s="73"/>
      <c r="TRC31" s="73"/>
      <c r="TRD31" s="73"/>
      <c r="TRE31" s="73"/>
      <c r="TRF31" s="73"/>
      <c r="TRG31" s="73"/>
      <c r="TRH31" s="73"/>
      <c r="TRI31" s="73"/>
      <c r="TRJ31" s="73"/>
      <c r="TRK31" s="73"/>
      <c r="TRL31" s="73"/>
      <c r="TRM31" s="73"/>
      <c r="TRN31" s="73"/>
      <c r="TRO31" s="73"/>
      <c r="TRP31" s="73"/>
      <c r="TRQ31" s="73"/>
      <c r="TRR31" s="73"/>
      <c r="TRS31" s="73"/>
      <c r="TRT31" s="73"/>
      <c r="TRU31" s="73"/>
      <c r="TRV31" s="73"/>
      <c r="TRW31" s="73"/>
      <c r="TRX31" s="73"/>
      <c r="TRY31" s="73"/>
      <c r="TRZ31" s="73"/>
      <c r="TSA31" s="73"/>
      <c r="TSB31" s="73"/>
      <c r="TSC31" s="73"/>
      <c r="TSD31" s="73"/>
      <c r="TSE31" s="73"/>
      <c r="TSF31" s="73"/>
      <c r="TSG31" s="73"/>
      <c r="TSH31" s="73"/>
      <c r="TSI31" s="73"/>
      <c r="TSJ31" s="73"/>
      <c r="TSK31" s="73"/>
      <c r="TSL31" s="73"/>
      <c r="TSM31" s="73"/>
      <c r="TSN31" s="73"/>
      <c r="TSO31" s="73"/>
      <c r="TSP31" s="73"/>
      <c r="TSQ31" s="73"/>
      <c r="TSR31" s="73"/>
      <c r="TSS31" s="73"/>
      <c r="TST31" s="73"/>
      <c r="TSU31" s="73"/>
      <c r="TSV31" s="73"/>
      <c r="TSW31" s="73"/>
      <c r="TSX31" s="73"/>
      <c r="TSY31" s="73"/>
      <c r="TSZ31" s="73"/>
      <c r="TTA31" s="73"/>
      <c r="TTB31" s="73"/>
      <c r="TTC31" s="73"/>
      <c r="TTD31" s="73"/>
      <c r="TTE31" s="73"/>
      <c r="TTF31" s="73"/>
      <c r="TTG31" s="73"/>
      <c r="TTH31" s="73"/>
      <c r="TTI31" s="73"/>
      <c r="TTJ31" s="73"/>
      <c r="TTK31" s="73"/>
      <c r="TTL31" s="73"/>
      <c r="TTM31" s="73"/>
      <c r="TTN31" s="73"/>
      <c r="TTO31" s="73"/>
      <c r="TTP31" s="73"/>
      <c r="TTQ31" s="73"/>
      <c r="TTR31" s="73"/>
      <c r="TTS31" s="73"/>
      <c r="TTT31" s="73"/>
      <c r="TTU31" s="73"/>
      <c r="TTV31" s="73"/>
      <c r="TTW31" s="73"/>
      <c r="TTX31" s="73"/>
      <c r="TTY31" s="73"/>
      <c r="TTZ31" s="73"/>
      <c r="TUA31" s="73"/>
      <c r="TUB31" s="73"/>
      <c r="TUC31" s="73"/>
      <c r="TUD31" s="73"/>
      <c r="TUE31" s="73"/>
      <c r="TUF31" s="73"/>
      <c r="TUG31" s="73"/>
      <c r="TUH31" s="73"/>
      <c r="TUI31" s="73"/>
      <c r="TUJ31" s="73"/>
      <c r="TUK31" s="73"/>
      <c r="TUL31" s="73"/>
      <c r="TUM31" s="73"/>
      <c r="TUN31" s="73"/>
      <c r="TUO31" s="73"/>
      <c r="TUP31" s="73"/>
      <c r="TUQ31" s="73"/>
      <c r="TUR31" s="73"/>
      <c r="TUS31" s="73"/>
      <c r="TUT31" s="73"/>
      <c r="TUU31" s="73"/>
      <c r="TUV31" s="73"/>
      <c r="TUW31" s="73"/>
      <c r="TUX31" s="73"/>
      <c r="TUY31" s="73"/>
      <c r="TUZ31" s="73"/>
      <c r="TVA31" s="73"/>
      <c r="TVB31" s="73"/>
      <c r="TVC31" s="73"/>
      <c r="TVD31" s="73"/>
      <c r="TVE31" s="73"/>
      <c r="TVF31" s="73"/>
      <c r="TVG31" s="73"/>
      <c r="TVH31" s="73"/>
      <c r="TVI31" s="73"/>
      <c r="TVJ31" s="73"/>
      <c r="TVK31" s="73"/>
      <c r="TVL31" s="73"/>
      <c r="TVM31" s="73"/>
      <c r="TVN31" s="73"/>
      <c r="TVO31" s="73"/>
      <c r="TVP31" s="73"/>
      <c r="TVQ31" s="73"/>
      <c r="TVR31" s="73"/>
      <c r="TVS31" s="73"/>
      <c r="TVT31" s="73"/>
      <c r="TVU31" s="73"/>
      <c r="TVV31" s="73"/>
      <c r="TVW31" s="73"/>
      <c r="TVX31" s="73"/>
      <c r="TVY31" s="73"/>
      <c r="TVZ31" s="73"/>
      <c r="TWA31" s="73"/>
      <c r="TWB31" s="73"/>
      <c r="TWC31" s="73"/>
      <c r="TWD31" s="73"/>
      <c r="TWE31" s="73"/>
      <c r="TWF31" s="73"/>
      <c r="TWG31" s="73"/>
      <c r="TWH31" s="73"/>
      <c r="TWI31" s="73"/>
      <c r="TWJ31" s="73"/>
      <c r="TWK31" s="73"/>
      <c r="TWL31" s="73"/>
      <c r="TWM31" s="73"/>
      <c r="TWN31" s="73"/>
      <c r="TWO31" s="73"/>
      <c r="TWP31" s="73"/>
      <c r="TWQ31" s="73"/>
      <c r="TWR31" s="73"/>
      <c r="TWS31" s="73"/>
      <c r="TWT31" s="73"/>
      <c r="TWU31" s="73"/>
      <c r="TWV31" s="73"/>
      <c r="TWW31" s="73"/>
      <c r="TWX31" s="73"/>
      <c r="TWY31" s="73"/>
      <c r="TWZ31" s="73"/>
      <c r="TXA31" s="73"/>
      <c r="TXB31" s="73"/>
      <c r="TXC31" s="73"/>
      <c r="TXD31" s="73"/>
      <c r="TXE31" s="73"/>
      <c r="TXF31" s="73"/>
      <c r="TXG31" s="73"/>
      <c r="TXH31" s="73"/>
      <c r="TXI31" s="73"/>
      <c r="TXJ31" s="73"/>
      <c r="TXK31" s="73"/>
      <c r="TXL31" s="73"/>
      <c r="TXM31" s="73"/>
      <c r="TXN31" s="73"/>
      <c r="TXO31" s="73"/>
      <c r="TXP31" s="73"/>
      <c r="TXQ31" s="73"/>
      <c r="TXR31" s="73"/>
      <c r="TXS31" s="73"/>
      <c r="TXT31" s="73"/>
      <c r="TXU31" s="73"/>
      <c r="TXV31" s="73"/>
      <c r="TXW31" s="73"/>
      <c r="TXX31" s="73"/>
      <c r="TXY31" s="73"/>
      <c r="TXZ31" s="73"/>
      <c r="TYA31" s="73"/>
      <c r="TYB31" s="73"/>
      <c r="TYC31" s="73"/>
      <c r="TYD31" s="73"/>
      <c r="TYE31" s="73"/>
      <c r="TYF31" s="73"/>
      <c r="TYG31" s="73"/>
      <c r="TYH31" s="73"/>
      <c r="TYI31" s="73"/>
      <c r="TYJ31" s="73"/>
      <c r="TYK31" s="73"/>
      <c r="TYL31" s="73"/>
      <c r="TYM31" s="73"/>
      <c r="TYN31" s="73"/>
      <c r="TYO31" s="73"/>
      <c r="TYP31" s="73"/>
      <c r="TYQ31" s="73"/>
      <c r="TYR31" s="73"/>
      <c r="TYS31" s="73"/>
      <c r="TYT31" s="73"/>
      <c r="TYU31" s="73"/>
      <c r="TYV31" s="73"/>
      <c r="TYW31" s="73"/>
      <c r="TYX31" s="73"/>
      <c r="TYY31" s="73"/>
      <c r="TYZ31" s="73"/>
      <c r="TZA31" s="73"/>
      <c r="TZB31" s="73"/>
      <c r="TZC31" s="73"/>
      <c r="TZD31" s="73"/>
      <c r="TZE31" s="73"/>
      <c r="TZF31" s="73"/>
      <c r="TZG31" s="73"/>
      <c r="TZH31" s="73"/>
      <c r="TZI31" s="73"/>
      <c r="TZJ31" s="73"/>
      <c r="TZK31" s="73"/>
      <c r="TZL31" s="73"/>
      <c r="TZM31" s="73"/>
      <c r="TZN31" s="73"/>
      <c r="TZO31" s="73"/>
      <c r="TZP31" s="73"/>
      <c r="TZQ31" s="73"/>
      <c r="TZR31" s="73"/>
      <c r="TZS31" s="73"/>
      <c r="TZT31" s="73"/>
      <c r="TZU31" s="73"/>
      <c r="TZV31" s="73"/>
      <c r="TZW31" s="73"/>
      <c r="TZX31" s="73"/>
      <c r="TZY31" s="73"/>
      <c r="TZZ31" s="73"/>
      <c r="UAA31" s="73"/>
      <c r="UAB31" s="73"/>
      <c r="UAC31" s="73"/>
      <c r="UAD31" s="73"/>
      <c r="UAE31" s="73"/>
      <c r="UAF31" s="73"/>
      <c r="UAG31" s="73"/>
      <c r="UAH31" s="73"/>
      <c r="UAI31" s="73"/>
      <c r="UAJ31" s="73"/>
      <c r="UAK31" s="73"/>
      <c r="UAL31" s="73"/>
      <c r="UAM31" s="73"/>
      <c r="UAN31" s="73"/>
      <c r="UAO31" s="73"/>
      <c r="UAP31" s="73"/>
      <c r="UAQ31" s="73"/>
      <c r="UAR31" s="73"/>
      <c r="UAS31" s="73"/>
      <c r="UAT31" s="73"/>
      <c r="UAU31" s="73"/>
      <c r="UAV31" s="73"/>
      <c r="UAW31" s="73"/>
      <c r="UAX31" s="73"/>
      <c r="UAY31" s="73"/>
      <c r="UAZ31" s="73"/>
      <c r="UBA31" s="73"/>
      <c r="UBB31" s="73"/>
      <c r="UBC31" s="73"/>
      <c r="UBD31" s="73"/>
      <c r="UBE31" s="73"/>
      <c r="UBF31" s="73"/>
      <c r="UBG31" s="73"/>
      <c r="UBH31" s="73"/>
      <c r="UBI31" s="73"/>
      <c r="UBJ31" s="73"/>
      <c r="UBK31" s="73"/>
      <c r="UBL31" s="73"/>
      <c r="UBM31" s="73"/>
      <c r="UBN31" s="73"/>
      <c r="UBO31" s="73"/>
      <c r="UBP31" s="73"/>
      <c r="UBQ31" s="73"/>
      <c r="UBR31" s="73"/>
      <c r="UBS31" s="73"/>
      <c r="UBT31" s="73"/>
      <c r="UBU31" s="73"/>
      <c r="UBV31" s="73"/>
      <c r="UBW31" s="73"/>
      <c r="UBX31" s="73"/>
      <c r="UBY31" s="73"/>
      <c r="UBZ31" s="73"/>
      <c r="UCA31" s="73"/>
      <c r="UCB31" s="73"/>
      <c r="UCC31" s="73"/>
      <c r="UCD31" s="73"/>
      <c r="UCE31" s="73"/>
      <c r="UCF31" s="73"/>
      <c r="UCG31" s="73"/>
      <c r="UCH31" s="73"/>
      <c r="UCI31" s="73"/>
      <c r="UCJ31" s="73"/>
      <c r="UCK31" s="73"/>
      <c r="UCL31" s="73"/>
      <c r="UCM31" s="73"/>
      <c r="UCN31" s="73"/>
      <c r="UCO31" s="73"/>
      <c r="UCP31" s="73"/>
      <c r="UCQ31" s="73"/>
      <c r="UCR31" s="73"/>
      <c r="UCS31" s="73"/>
      <c r="UCT31" s="73"/>
      <c r="UCU31" s="73"/>
      <c r="UCV31" s="73"/>
      <c r="UCW31" s="73"/>
      <c r="UCX31" s="73"/>
      <c r="UCY31" s="73"/>
      <c r="UCZ31" s="73"/>
      <c r="UDA31" s="73"/>
      <c r="UDB31" s="73"/>
      <c r="UDC31" s="73"/>
      <c r="UDD31" s="73"/>
      <c r="UDE31" s="73"/>
      <c r="UDF31" s="73"/>
      <c r="UDG31" s="73"/>
      <c r="UDH31" s="73"/>
      <c r="UDI31" s="73"/>
      <c r="UDJ31" s="73"/>
      <c r="UDK31" s="73"/>
      <c r="UDL31" s="73"/>
      <c r="UDM31" s="73"/>
      <c r="UDN31" s="73"/>
      <c r="UDO31" s="73"/>
      <c r="UDP31" s="73"/>
      <c r="UDQ31" s="73"/>
      <c r="UDR31" s="73"/>
      <c r="UDS31" s="73"/>
      <c r="UDT31" s="73"/>
      <c r="UDU31" s="73"/>
      <c r="UDV31" s="73"/>
      <c r="UDW31" s="73"/>
      <c r="UDX31" s="73"/>
      <c r="UDY31" s="73"/>
      <c r="UDZ31" s="73"/>
      <c r="UEA31" s="73"/>
      <c r="UEB31" s="73"/>
      <c r="UEC31" s="73"/>
      <c r="UED31" s="73"/>
      <c r="UEE31" s="73"/>
      <c r="UEF31" s="73"/>
      <c r="UEG31" s="73"/>
      <c r="UEH31" s="73"/>
      <c r="UEI31" s="73"/>
      <c r="UEJ31" s="73"/>
      <c r="UEK31" s="73"/>
      <c r="UEL31" s="73"/>
      <c r="UEM31" s="73"/>
      <c r="UEN31" s="73"/>
      <c r="UEO31" s="73"/>
      <c r="UEP31" s="73"/>
      <c r="UEQ31" s="73"/>
      <c r="UER31" s="73"/>
      <c r="UES31" s="73"/>
      <c r="UET31" s="73"/>
      <c r="UEU31" s="73"/>
      <c r="UEV31" s="73"/>
      <c r="UEW31" s="73"/>
      <c r="UEX31" s="73"/>
      <c r="UEY31" s="73"/>
      <c r="UEZ31" s="73"/>
      <c r="UFA31" s="73"/>
      <c r="UFB31" s="73"/>
      <c r="UFC31" s="73"/>
      <c r="UFD31" s="73"/>
      <c r="UFE31" s="73"/>
      <c r="UFF31" s="73"/>
      <c r="UFG31" s="73"/>
      <c r="UFH31" s="73"/>
      <c r="UFI31" s="73"/>
      <c r="UFJ31" s="73"/>
      <c r="UFK31" s="73"/>
      <c r="UFL31" s="73"/>
      <c r="UFM31" s="73"/>
      <c r="UFN31" s="73"/>
      <c r="UFO31" s="73"/>
      <c r="UFP31" s="73"/>
      <c r="UFQ31" s="73"/>
      <c r="UFR31" s="73"/>
      <c r="UFS31" s="73"/>
      <c r="UFT31" s="73"/>
      <c r="UFU31" s="73"/>
      <c r="UFV31" s="73"/>
      <c r="UFW31" s="73"/>
      <c r="UFX31" s="73"/>
      <c r="UFY31" s="73"/>
      <c r="UFZ31" s="73"/>
      <c r="UGA31" s="73"/>
      <c r="UGB31" s="73"/>
      <c r="UGC31" s="73"/>
      <c r="UGD31" s="73"/>
      <c r="UGE31" s="73"/>
      <c r="UGF31" s="73"/>
      <c r="UGG31" s="73"/>
      <c r="UGH31" s="73"/>
      <c r="UGI31" s="73"/>
      <c r="UGJ31" s="73"/>
      <c r="UGK31" s="73"/>
      <c r="UGL31" s="73"/>
      <c r="UGM31" s="73"/>
      <c r="UGN31" s="73"/>
      <c r="UGO31" s="73"/>
      <c r="UGP31" s="73"/>
      <c r="UGQ31" s="73"/>
      <c r="UGR31" s="73"/>
      <c r="UGS31" s="73"/>
      <c r="UGT31" s="73"/>
      <c r="UGU31" s="73"/>
      <c r="UGV31" s="73"/>
      <c r="UGW31" s="73"/>
      <c r="UGX31" s="73"/>
      <c r="UGY31" s="73"/>
      <c r="UGZ31" s="73"/>
      <c r="UHA31" s="73"/>
      <c r="UHB31" s="73"/>
      <c r="UHC31" s="73"/>
      <c r="UHD31" s="73"/>
      <c r="UHE31" s="73"/>
      <c r="UHF31" s="73"/>
      <c r="UHG31" s="73"/>
      <c r="UHH31" s="73"/>
      <c r="UHI31" s="73"/>
      <c r="UHJ31" s="73"/>
      <c r="UHK31" s="73"/>
      <c r="UHL31" s="73"/>
      <c r="UHM31" s="73"/>
      <c r="UHN31" s="73"/>
      <c r="UHO31" s="73"/>
      <c r="UHP31" s="73"/>
      <c r="UHQ31" s="73"/>
      <c r="UHR31" s="73"/>
      <c r="UHS31" s="73"/>
      <c r="UHT31" s="73"/>
      <c r="UHU31" s="73"/>
      <c r="UHV31" s="73"/>
      <c r="UHW31" s="73"/>
      <c r="UHX31" s="73"/>
      <c r="UHY31" s="73"/>
      <c r="UHZ31" s="73"/>
      <c r="UIA31" s="73"/>
      <c r="UIB31" s="73"/>
      <c r="UIC31" s="73"/>
      <c r="UID31" s="73"/>
      <c r="UIE31" s="73"/>
      <c r="UIF31" s="73"/>
      <c r="UIG31" s="73"/>
      <c r="UIH31" s="73"/>
      <c r="UII31" s="73"/>
      <c r="UIJ31" s="73"/>
      <c r="UIK31" s="73"/>
      <c r="UIL31" s="73"/>
      <c r="UIM31" s="73"/>
      <c r="UIN31" s="73"/>
      <c r="UIO31" s="73"/>
      <c r="UIP31" s="73"/>
      <c r="UIQ31" s="73"/>
      <c r="UIR31" s="73"/>
      <c r="UIS31" s="73"/>
      <c r="UIT31" s="73"/>
      <c r="UIU31" s="73"/>
      <c r="UIV31" s="73"/>
      <c r="UIW31" s="73"/>
      <c r="UIX31" s="73"/>
      <c r="UIY31" s="73"/>
      <c r="UIZ31" s="73"/>
      <c r="UJA31" s="73"/>
      <c r="UJB31" s="73"/>
      <c r="UJC31" s="73"/>
      <c r="UJD31" s="73"/>
      <c r="UJE31" s="73"/>
      <c r="UJF31" s="73"/>
      <c r="UJG31" s="73"/>
      <c r="UJH31" s="73"/>
      <c r="UJI31" s="73"/>
      <c r="UJJ31" s="73"/>
      <c r="UJK31" s="73"/>
      <c r="UJL31" s="73"/>
      <c r="UJM31" s="73"/>
      <c r="UJN31" s="73"/>
      <c r="UJO31" s="73"/>
      <c r="UJP31" s="73"/>
      <c r="UJQ31" s="73"/>
      <c r="UJR31" s="73"/>
      <c r="UJS31" s="73"/>
      <c r="UJT31" s="73"/>
      <c r="UJU31" s="73"/>
      <c r="UJV31" s="73"/>
      <c r="UJW31" s="73"/>
      <c r="UJX31" s="73"/>
      <c r="UJY31" s="73"/>
      <c r="UJZ31" s="73"/>
      <c r="UKA31" s="73"/>
      <c r="UKB31" s="73"/>
      <c r="UKC31" s="73"/>
      <c r="UKD31" s="73"/>
      <c r="UKE31" s="73"/>
      <c r="UKF31" s="73"/>
      <c r="UKG31" s="73"/>
      <c r="UKH31" s="73"/>
      <c r="UKI31" s="73"/>
      <c r="UKJ31" s="73"/>
      <c r="UKK31" s="73"/>
      <c r="UKL31" s="73"/>
      <c r="UKM31" s="73"/>
      <c r="UKN31" s="73"/>
      <c r="UKO31" s="73"/>
      <c r="UKP31" s="73"/>
      <c r="UKQ31" s="73"/>
      <c r="UKR31" s="73"/>
      <c r="UKS31" s="73"/>
      <c r="UKT31" s="73"/>
      <c r="UKU31" s="73"/>
      <c r="UKV31" s="73"/>
      <c r="UKW31" s="73"/>
      <c r="UKX31" s="73"/>
      <c r="UKY31" s="73"/>
      <c r="UKZ31" s="73"/>
      <c r="ULA31" s="73"/>
      <c r="ULB31" s="73"/>
      <c r="ULC31" s="73"/>
      <c r="ULD31" s="73"/>
      <c r="ULE31" s="73"/>
      <c r="ULF31" s="73"/>
      <c r="ULG31" s="73"/>
      <c r="ULH31" s="73"/>
      <c r="ULI31" s="73"/>
      <c r="ULJ31" s="73"/>
      <c r="ULK31" s="73"/>
      <c r="ULL31" s="73"/>
      <c r="ULM31" s="73"/>
      <c r="ULN31" s="73"/>
      <c r="ULO31" s="73"/>
      <c r="ULP31" s="73"/>
      <c r="ULQ31" s="73"/>
      <c r="ULR31" s="73"/>
      <c r="ULS31" s="73"/>
      <c r="ULT31" s="73"/>
      <c r="ULU31" s="73"/>
      <c r="ULV31" s="73"/>
      <c r="ULW31" s="73"/>
      <c r="ULX31" s="73"/>
      <c r="ULY31" s="73"/>
      <c r="ULZ31" s="73"/>
      <c r="UMA31" s="73"/>
      <c r="UMB31" s="73"/>
      <c r="UMC31" s="73"/>
      <c r="UMD31" s="73"/>
      <c r="UME31" s="73"/>
      <c r="UMF31" s="73"/>
      <c r="UMG31" s="73"/>
      <c r="UMH31" s="73"/>
      <c r="UMI31" s="73"/>
      <c r="UMJ31" s="73"/>
      <c r="UMK31" s="73"/>
      <c r="UML31" s="73"/>
      <c r="UMM31" s="73"/>
      <c r="UMN31" s="73"/>
      <c r="UMO31" s="73"/>
      <c r="UMP31" s="73"/>
      <c r="UMQ31" s="73"/>
      <c r="UMR31" s="73"/>
      <c r="UMS31" s="73"/>
      <c r="UMT31" s="73"/>
      <c r="UMU31" s="73"/>
      <c r="UMV31" s="73"/>
      <c r="UMW31" s="73"/>
      <c r="UMX31" s="73"/>
      <c r="UMY31" s="73"/>
      <c r="UMZ31" s="73"/>
      <c r="UNA31" s="73"/>
      <c r="UNB31" s="73"/>
      <c r="UNC31" s="73"/>
      <c r="UND31" s="73"/>
      <c r="UNE31" s="73"/>
      <c r="UNF31" s="73"/>
      <c r="UNG31" s="73"/>
      <c r="UNH31" s="73"/>
      <c r="UNI31" s="73"/>
      <c r="UNJ31" s="73"/>
      <c r="UNK31" s="73"/>
      <c r="UNL31" s="73"/>
      <c r="UNM31" s="73"/>
      <c r="UNN31" s="73"/>
      <c r="UNO31" s="73"/>
      <c r="UNP31" s="73"/>
      <c r="UNQ31" s="73"/>
      <c r="UNR31" s="73"/>
      <c r="UNS31" s="73"/>
      <c r="UNT31" s="73"/>
      <c r="UNU31" s="73"/>
      <c r="UNV31" s="73"/>
      <c r="UNW31" s="73"/>
      <c r="UNX31" s="73"/>
      <c r="UNY31" s="73"/>
      <c r="UNZ31" s="73"/>
      <c r="UOA31" s="73"/>
      <c r="UOB31" s="73"/>
      <c r="UOC31" s="73"/>
      <c r="UOD31" s="73"/>
      <c r="UOE31" s="73"/>
      <c r="UOF31" s="73"/>
      <c r="UOG31" s="73"/>
      <c r="UOH31" s="73"/>
      <c r="UOI31" s="73"/>
      <c r="UOJ31" s="73"/>
      <c r="UOK31" s="73"/>
      <c r="UOL31" s="73"/>
      <c r="UOM31" s="73"/>
      <c r="UON31" s="73"/>
      <c r="UOO31" s="73"/>
      <c r="UOP31" s="73"/>
      <c r="UOQ31" s="73"/>
      <c r="UOR31" s="73"/>
      <c r="UOS31" s="73"/>
      <c r="UOT31" s="73"/>
      <c r="UOU31" s="73"/>
      <c r="UOV31" s="73"/>
      <c r="UOW31" s="73"/>
      <c r="UOX31" s="73"/>
      <c r="UOY31" s="73"/>
      <c r="UOZ31" s="73"/>
      <c r="UPA31" s="73"/>
      <c r="UPB31" s="73"/>
      <c r="UPC31" s="73"/>
      <c r="UPD31" s="73"/>
      <c r="UPE31" s="73"/>
      <c r="UPF31" s="73"/>
      <c r="UPG31" s="73"/>
      <c r="UPH31" s="73"/>
      <c r="UPI31" s="73"/>
      <c r="UPJ31" s="73"/>
      <c r="UPK31" s="73"/>
      <c r="UPL31" s="73"/>
      <c r="UPM31" s="73"/>
      <c r="UPN31" s="73"/>
      <c r="UPO31" s="73"/>
      <c r="UPP31" s="73"/>
      <c r="UPQ31" s="73"/>
      <c r="UPR31" s="73"/>
      <c r="UPS31" s="73"/>
      <c r="UPT31" s="73"/>
      <c r="UPU31" s="73"/>
      <c r="UPV31" s="73"/>
      <c r="UPW31" s="73"/>
      <c r="UPX31" s="73"/>
      <c r="UPY31" s="73"/>
      <c r="UPZ31" s="73"/>
      <c r="UQA31" s="73"/>
      <c r="UQB31" s="73"/>
      <c r="UQC31" s="73"/>
      <c r="UQD31" s="73"/>
      <c r="UQE31" s="73"/>
      <c r="UQF31" s="73"/>
      <c r="UQG31" s="73"/>
      <c r="UQH31" s="73"/>
      <c r="UQI31" s="73"/>
      <c r="UQJ31" s="73"/>
      <c r="UQK31" s="73"/>
      <c r="UQL31" s="73"/>
      <c r="UQM31" s="73"/>
      <c r="UQN31" s="73"/>
      <c r="UQO31" s="73"/>
      <c r="UQP31" s="73"/>
      <c r="UQQ31" s="73"/>
      <c r="UQR31" s="73"/>
      <c r="UQS31" s="73"/>
      <c r="UQT31" s="73"/>
      <c r="UQU31" s="73"/>
      <c r="UQV31" s="73"/>
      <c r="UQW31" s="73"/>
      <c r="UQX31" s="73"/>
      <c r="UQY31" s="73"/>
      <c r="UQZ31" s="73"/>
      <c r="URA31" s="73"/>
      <c r="URB31" s="73"/>
      <c r="URC31" s="73"/>
      <c r="URD31" s="73"/>
      <c r="URE31" s="73"/>
      <c r="URF31" s="73"/>
      <c r="URG31" s="73"/>
      <c r="URH31" s="73"/>
      <c r="URI31" s="73"/>
      <c r="URJ31" s="73"/>
      <c r="URK31" s="73"/>
      <c r="URL31" s="73"/>
      <c r="URM31" s="73"/>
      <c r="URN31" s="73"/>
      <c r="URO31" s="73"/>
      <c r="URP31" s="73"/>
      <c r="URQ31" s="73"/>
      <c r="URR31" s="73"/>
      <c r="URS31" s="73"/>
      <c r="URT31" s="73"/>
      <c r="URU31" s="73"/>
      <c r="URV31" s="73"/>
      <c r="URW31" s="73"/>
      <c r="URX31" s="73"/>
      <c r="URY31" s="73"/>
      <c r="URZ31" s="73"/>
      <c r="USA31" s="73"/>
      <c r="USB31" s="73"/>
      <c r="USC31" s="73"/>
      <c r="USD31" s="73"/>
      <c r="USE31" s="73"/>
      <c r="USF31" s="73"/>
      <c r="USG31" s="73"/>
      <c r="USH31" s="73"/>
      <c r="USI31" s="73"/>
      <c r="USJ31" s="73"/>
      <c r="USK31" s="73"/>
      <c r="USL31" s="73"/>
      <c r="USM31" s="73"/>
      <c r="USN31" s="73"/>
      <c r="USO31" s="73"/>
      <c r="USP31" s="73"/>
      <c r="USQ31" s="73"/>
      <c r="USR31" s="73"/>
      <c r="USS31" s="73"/>
      <c r="UST31" s="73"/>
      <c r="USU31" s="73"/>
      <c r="USV31" s="73"/>
      <c r="USW31" s="73"/>
      <c r="USX31" s="73"/>
      <c r="USY31" s="73"/>
      <c r="USZ31" s="73"/>
      <c r="UTA31" s="73"/>
      <c r="UTB31" s="73"/>
      <c r="UTC31" s="73"/>
      <c r="UTD31" s="73"/>
      <c r="UTE31" s="73"/>
      <c r="UTF31" s="73"/>
      <c r="UTG31" s="73"/>
      <c r="UTH31" s="73"/>
      <c r="UTI31" s="73"/>
      <c r="UTJ31" s="73"/>
      <c r="UTK31" s="73"/>
      <c r="UTL31" s="73"/>
      <c r="UTM31" s="73"/>
      <c r="UTN31" s="73"/>
      <c r="UTO31" s="73"/>
      <c r="UTP31" s="73"/>
      <c r="UTQ31" s="73"/>
      <c r="UTR31" s="73"/>
      <c r="UTS31" s="73"/>
      <c r="UTT31" s="73"/>
      <c r="UTU31" s="73"/>
      <c r="UTV31" s="73"/>
      <c r="UTW31" s="73"/>
      <c r="UTX31" s="73"/>
      <c r="UTY31" s="73"/>
      <c r="UTZ31" s="73"/>
      <c r="UUA31" s="73"/>
      <c r="UUB31" s="73"/>
      <c r="UUC31" s="73"/>
      <c r="UUD31" s="73"/>
      <c r="UUE31" s="73"/>
      <c r="UUF31" s="73"/>
      <c r="UUG31" s="73"/>
      <c r="UUH31" s="73"/>
      <c r="UUI31" s="73"/>
      <c r="UUJ31" s="73"/>
      <c r="UUK31" s="73"/>
      <c r="UUL31" s="73"/>
      <c r="UUM31" s="73"/>
      <c r="UUN31" s="73"/>
      <c r="UUO31" s="73"/>
      <c r="UUP31" s="73"/>
      <c r="UUQ31" s="73"/>
      <c r="UUR31" s="73"/>
      <c r="UUS31" s="73"/>
      <c r="UUT31" s="73"/>
      <c r="UUU31" s="73"/>
      <c r="UUV31" s="73"/>
      <c r="UUW31" s="73"/>
      <c r="UUX31" s="73"/>
      <c r="UUY31" s="73"/>
      <c r="UUZ31" s="73"/>
      <c r="UVA31" s="73"/>
      <c r="UVB31" s="73"/>
      <c r="UVC31" s="73"/>
      <c r="UVD31" s="73"/>
      <c r="UVE31" s="73"/>
      <c r="UVF31" s="73"/>
      <c r="UVG31" s="73"/>
      <c r="UVH31" s="73"/>
      <c r="UVI31" s="73"/>
      <c r="UVJ31" s="73"/>
      <c r="UVK31" s="73"/>
      <c r="UVL31" s="73"/>
      <c r="UVM31" s="73"/>
      <c r="UVN31" s="73"/>
      <c r="UVO31" s="73"/>
      <c r="UVP31" s="73"/>
      <c r="UVQ31" s="73"/>
      <c r="UVR31" s="73"/>
      <c r="UVS31" s="73"/>
      <c r="UVT31" s="73"/>
      <c r="UVU31" s="73"/>
      <c r="UVV31" s="73"/>
      <c r="UVW31" s="73"/>
      <c r="UVX31" s="73"/>
      <c r="UVY31" s="73"/>
      <c r="UVZ31" s="73"/>
      <c r="UWA31" s="73"/>
      <c r="UWB31" s="73"/>
      <c r="UWC31" s="73"/>
      <c r="UWD31" s="73"/>
      <c r="UWE31" s="73"/>
      <c r="UWF31" s="73"/>
      <c r="UWG31" s="73"/>
      <c r="UWH31" s="73"/>
      <c r="UWI31" s="73"/>
      <c r="UWJ31" s="73"/>
      <c r="UWK31" s="73"/>
      <c r="UWL31" s="73"/>
      <c r="UWM31" s="73"/>
      <c r="UWN31" s="73"/>
      <c r="UWO31" s="73"/>
      <c r="UWP31" s="73"/>
      <c r="UWQ31" s="73"/>
      <c r="UWR31" s="73"/>
      <c r="UWS31" s="73"/>
      <c r="UWT31" s="73"/>
      <c r="UWU31" s="73"/>
      <c r="UWV31" s="73"/>
      <c r="UWW31" s="73"/>
      <c r="UWX31" s="73"/>
      <c r="UWY31" s="73"/>
      <c r="UWZ31" s="73"/>
      <c r="UXA31" s="73"/>
      <c r="UXB31" s="73"/>
      <c r="UXC31" s="73"/>
      <c r="UXD31" s="73"/>
      <c r="UXE31" s="73"/>
      <c r="UXF31" s="73"/>
      <c r="UXG31" s="73"/>
      <c r="UXH31" s="73"/>
      <c r="UXI31" s="73"/>
      <c r="UXJ31" s="73"/>
      <c r="UXK31" s="73"/>
      <c r="UXL31" s="73"/>
      <c r="UXM31" s="73"/>
      <c r="UXN31" s="73"/>
      <c r="UXO31" s="73"/>
      <c r="UXP31" s="73"/>
      <c r="UXQ31" s="73"/>
      <c r="UXR31" s="73"/>
      <c r="UXS31" s="73"/>
      <c r="UXT31" s="73"/>
      <c r="UXU31" s="73"/>
      <c r="UXV31" s="73"/>
      <c r="UXW31" s="73"/>
      <c r="UXX31" s="73"/>
      <c r="UXY31" s="73"/>
      <c r="UXZ31" s="73"/>
      <c r="UYA31" s="73"/>
      <c r="UYB31" s="73"/>
      <c r="UYC31" s="73"/>
      <c r="UYD31" s="73"/>
      <c r="UYE31" s="73"/>
      <c r="UYF31" s="73"/>
      <c r="UYG31" s="73"/>
      <c r="UYH31" s="73"/>
      <c r="UYI31" s="73"/>
      <c r="UYJ31" s="73"/>
      <c r="UYK31" s="73"/>
      <c r="UYL31" s="73"/>
      <c r="UYM31" s="73"/>
      <c r="UYN31" s="73"/>
      <c r="UYO31" s="73"/>
      <c r="UYP31" s="73"/>
      <c r="UYQ31" s="73"/>
      <c r="UYR31" s="73"/>
      <c r="UYS31" s="73"/>
      <c r="UYT31" s="73"/>
      <c r="UYU31" s="73"/>
      <c r="UYV31" s="73"/>
      <c r="UYW31" s="73"/>
      <c r="UYX31" s="73"/>
      <c r="UYY31" s="73"/>
      <c r="UYZ31" s="73"/>
      <c r="UZA31" s="73"/>
      <c r="UZB31" s="73"/>
      <c r="UZC31" s="73"/>
      <c r="UZD31" s="73"/>
      <c r="UZE31" s="73"/>
      <c r="UZF31" s="73"/>
      <c r="UZG31" s="73"/>
      <c r="UZH31" s="73"/>
      <c r="UZI31" s="73"/>
      <c r="UZJ31" s="73"/>
      <c r="UZK31" s="73"/>
      <c r="UZL31" s="73"/>
      <c r="UZM31" s="73"/>
      <c r="UZN31" s="73"/>
      <c r="UZO31" s="73"/>
      <c r="UZP31" s="73"/>
      <c r="UZQ31" s="73"/>
      <c r="UZR31" s="73"/>
      <c r="UZS31" s="73"/>
      <c r="UZT31" s="73"/>
      <c r="UZU31" s="73"/>
      <c r="UZV31" s="73"/>
      <c r="UZW31" s="73"/>
      <c r="UZX31" s="73"/>
      <c r="UZY31" s="73"/>
      <c r="UZZ31" s="73"/>
      <c r="VAA31" s="73"/>
      <c r="VAB31" s="73"/>
      <c r="VAC31" s="73"/>
      <c r="VAD31" s="73"/>
      <c r="VAE31" s="73"/>
      <c r="VAF31" s="73"/>
      <c r="VAG31" s="73"/>
      <c r="VAH31" s="73"/>
      <c r="VAI31" s="73"/>
      <c r="VAJ31" s="73"/>
      <c r="VAK31" s="73"/>
      <c r="VAL31" s="73"/>
      <c r="VAM31" s="73"/>
      <c r="VAN31" s="73"/>
      <c r="VAO31" s="73"/>
      <c r="VAP31" s="73"/>
      <c r="VAQ31" s="73"/>
      <c r="VAR31" s="73"/>
      <c r="VAS31" s="73"/>
      <c r="VAT31" s="73"/>
      <c r="VAU31" s="73"/>
      <c r="VAV31" s="73"/>
      <c r="VAW31" s="73"/>
      <c r="VAX31" s="73"/>
      <c r="VAY31" s="73"/>
      <c r="VAZ31" s="73"/>
      <c r="VBA31" s="73"/>
      <c r="VBB31" s="73"/>
      <c r="VBC31" s="73"/>
      <c r="VBD31" s="73"/>
      <c r="VBE31" s="73"/>
      <c r="VBF31" s="73"/>
      <c r="VBG31" s="73"/>
      <c r="VBH31" s="73"/>
      <c r="VBI31" s="73"/>
      <c r="VBJ31" s="73"/>
      <c r="VBK31" s="73"/>
      <c r="VBL31" s="73"/>
      <c r="VBM31" s="73"/>
      <c r="VBN31" s="73"/>
      <c r="VBO31" s="73"/>
      <c r="VBP31" s="73"/>
      <c r="VBQ31" s="73"/>
      <c r="VBR31" s="73"/>
      <c r="VBS31" s="73"/>
      <c r="VBT31" s="73"/>
      <c r="VBU31" s="73"/>
      <c r="VBV31" s="73"/>
      <c r="VBW31" s="73"/>
      <c r="VBX31" s="73"/>
      <c r="VBY31" s="73"/>
      <c r="VBZ31" s="73"/>
      <c r="VCA31" s="73"/>
      <c r="VCB31" s="73"/>
      <c r="VCC31" s="73"/>
      <c r="VCD31" s="73"/>
      <c r="VCE31" s="73"/>
      <c r="VCF31" s="73"/>
      <c r="VCG31" s="73"/>
      <c r="VCH31" s="73"/>
      <c r="VCI31" s="73"/>
      <c r="VCJ31" s="73"/>
      <c r="VCK31" s="73"/>
      <c r="VCL31" s="73"/>
      <c r="VCM31" s="73"/>
      <c r="VCN31" s="73"/>
      <c r="VCO31" s="73"/>
      <c r="VCP31" s="73"/>
      <c r="VCQ31" s="73"/>
      <c r="VCR31" s="73"/>
      <c r="VCS31" s="73"/>
      <c r="VCT31" s="73"/>
      <c r="VCU31" s="73"/>
      <c r="VCV31" s="73"/>
      <c r="VCW31" s="73"/>
      <c r="VCX31" s="73"/>
      <c r="VCY31" s="73"/>
      <c r="VCZ31" s="73"/>
      <c r="VDA31" s="73"/>
      <c r="VDB31" s="73"/>
      <c r="VDC31" s="73"/>
      <c r="VDD31" s="73"/>
      <c r="VDE31" s="73"/>
      <c r="VDF31" s="73"/>
      <c r="VDG31" s="73"/>
      <c r="VDH31" s="73"/>
      <c r="VDI31" s="73"/>
      <c r="VDJ31" s="73"/>
      <c r="VDK31" s="73"/>
      <c r="VDL31" s="73"/>
      <c r="VDM31" s="73"/>
      <c r="VDN31" s="73"/>
      <c r="VDO31" s="73"/>
      <c r="VDP31" s="73"/>
      <c r="VDQ31" s="73"/>
      <c r="VDR31" s="73"/>
      <c r="VDS31" s="73"/>
      <c r="VDT31" s="73"/>
      <c r="VDU31" s="73"/>
      <c r="VDV31" s="73"/>
      <c r="VDW31" s="73"/>
      <c r="VDX31" s="73"/>
      <c r="VDY31" s="73"/>
      <c r="VDZ31" s="73"/>
      <c r="VEA31" s="73"/>
      <c r="VEB31" s="73"/>
      <c r="VEC31" s="73"/>
      <c r="VED31" s="73"/>
      <c r="VEE31" s="73"/>
      <c r="VEF31" s="73"/>
      <c r="VEG31" s="73"/>
      <c r="VEH31" s="73"/>
      <c r="VEI31" s="73"/>
      <c r="VEJ31" s="73"/>
      <c r="VEK31" s="73"/>
      <c r="VEL31" s="73"/>
      <c r="VEM31" s="73"/>
      <c r="VEN31" s="73"/>
      <c r="VEO31" s="73"/>
      <c r="VEP31" s="73"/>
      <c r="VEQ31" s="73"/>
      <c r="VER31" s="73"/>
      <c r="VES31" s="73"/>
      <c r="VET31" s="73"/>
      <c r="VEU31" s="73"/>
      <c r="VEV31" s="73"/>
      <c r="VEW31" s="73"/>
      <c r="VEX31" s="73"/>
      <c r="VEY31" s="73"/>
      <c r="VEZ31" s="73"/>
      <c r="VFA31" s="73"/>
      <c r="VFB31" s="73"/>
      <c r="VFC31" s="73"/>
      <c r="VFD31" s="73"/>
      <c r="VFE31" s="73"/>
      <c r="VFF31" s="73"/>
      <c r="VFG31" s="73"/>
      <c r="VFH31" s="73"/>
      <c r="VFI31" s="73"/>
      <c r="VFJ31" s="73"/>
      <c r="VFK31" s="73"/>
      <c r="VFL31" s="73"/>
      <c r="VFM31" s="73"/>
      <c r="VFN31" s="73"/>
      <c r="VFO31" s="73"/>
      <c r="VFP31" s="73"/>
      <c r="VFQ31" s="73"/>
      <c r="VFR31" s="73"/>
      <c r="VFS31" s="73"/>
      <c r="VFT31" s="73"/>
      <c r="VFU31" s="73"/>
      <c r="VFV31" s="73"/>
      <c r="VFW31" s="73"/>
      <c r="VFX31" s="73"/>
      <c r="VFY31" s="73"/>
      <c r="VFZ31" s="73"/>
      <c r="VGA31" s="73"/>
      <c r="VGB31" s="73"/>
      <c r="VGC31" s="73"/>
      <c r="VGD31" s="73"/>
      <c r="VGE31" s="73"/>
      <c r="VGF31" s="73"/>
      <c r="VGG31" s="73"/>
      <c r="VGH31" s="73"/>
      <c r="VGI31" s="73"/>
      <c r="VGJ31" s="73"/>
      <c r="VGK31" s="73"/>
      <c r="VGL31" s="73"/>
      <c r="VGM31" s="73"/>
      <c r="VGN31" s="73"/>
      <c r="VGO31" s="73"/>
      <c r="VGP31" s="73"/>
      <c r="VGQ31" s="73"/>
      <c r="VGR31" s="73"/>
      <c r="VGS31" s="73"/>
      <c r="VGT31" s="73"/>
      <c r="VGU31" s="73"/>
      <c r="VGV31" s="73"/>
      <c r="VGW31" s="73"/>
      <c r="VGX31" s="73"/>
      <c r="VGY31" s="73"/>
      <c r="VGZ31" s="73"/>
      <c r="VHA31" s="73"/>
      <c r="VHB31" s="73"/>
      <c r="VHC31" s="73"/>
      <c r="VHD31" s="73"/>
      <c r="VHE31" s="73"/>
      <c r="VHF31" s="73"/>
      <c r="VHG31" s="73"/>
      <c r="VHH31" s="73"/>
      <c r="VHI31" s="73"/>
      <c r="VHJ31" s="73"/>
      <c r="VHK31" s="73"/>
      <c r="VHL31" s="73"/>
      <c r="VHM31" s="73"/>
      <c r="VHN31" s="73"/>
      <c r="VHO31" s="73"/>
      <c r="VHP31" s="73"/>
      <c r="VHQ31" s="73"/>
      <c r="VHR31" s="73"/>
      <c r="VHS31" s="73"/>
      <c r="VHT31" s="73"/>
      <c r="VHU31" s="73"/>
      <c r="VHV31" s="73"/>
      <c r="VHW31" s="73"/>
      <c r="VHX31" s="73"/>
      <c r="VHY31" s="73"/>
      <c r="VHZ31" s="73"/>
      <c r="VIA31" s="73"/>
      <c r="VIB31" s="73"/>
      <c r="VIC31" s="73"/>
      <c r="VID31" s="73"/>
      <c r="VIE31" s="73"/>
      <c r="VIF31" s="73"/>
      <c r="VIG31" s="73"/>
      <c r="VIH31" s="73"/>
      <c r="VII31" s="73"/>
      <c r="VIJ31" s="73"/>
      <c r="VIK31" s="73"/>
      <c r="VIL31" s="73"/>
      <c r="VIM31" s="73"/>
      <c r="VIN31" s="73"/>
      <c r="VIO31" s="73"/>
      <c r="VIP31" s="73"/>
      <c r="VIQ31" s="73"/>
      <c r="VIR31" s="73"/>
      <c r="VIS31" s="73"/>
      <c r="VIT31" s="73"/>
      <c r="VIU31" s="73"/>
      <c r="VIV31" s="73"/>
      <c r="VIW31" s="73"/>
      <c r="VIX31" s="73"/>
      <c r="VIY31" s="73"/>
      <c r="VIZ31" s="73"/>
      <c r="VJA31" s="73"/>
      <c r="VJB31" s="73"/>
      <c r="VJC31" s="73"/>
      <c r="VJD31" s="73"/>
      <c r="VJE31" s="73"/>
      <c r="VJF31" s="73"/>
      <c r="VJG31" s="73"/>
      <c r="VJH31" s="73"/>
      <c r="VJI31" s="73"/>
      <c r="VJJ31" s="73"/>
      <c r="VJK31" s="73"/>
      <c r="VJL31" s="73"/>
      <c r="VJM31" s="73"/>
      <c r="VJN31" s="73"/>
      <c r="VJO31" s="73"/>
      <c r="VJP31" s="73"/>
      <c r="VJQ31" s="73"/>
      <c r="VJR31" s="73"/>
      <c r="VJS31" s="73"/>
      <c r="VJT31" s="73"/>
      <c r="VJU31" s="73"/>
      <c r="VJV31" s="73"/>
      <c r="VJW31" s="73"/>
      <c r="VJX31" s="73"/>
      <c r="VJY31" s="73"/>
      <c r="VJZ31" s="73"/>
      <c r="VKA31" s="73"/>
      <c r="VKB31" s="73"/>
      <c r="VKC31" s="73"/>
      <c r="VKD31" s="73"/>
      <c r="VKE31" s="73"/>
      <c r="VKF31" s="73"/>
      <c r="VKG31" s="73"/>
      <c r="VKH31" s="73"/>
      <c r="VKI31" s="73"/>
      <c r="VKJ31" s="73"/>
      <c r="VKK31" s="73"/>
      <c r="VKL31" s="73"/>
      <c r="VKM31" s="73"/>
      <c r="VKN31" s="73"/>
      <c r="VKO31" s="73"/>
      <c r="VKP31" s="73"/>
      <c r="VKQ31" s="73"/>
      <c r="VKR31" s="73"/>
      <c r="VKS31" s="73"/>
      <c r="VKT31" s="73"/>
      <c r="VKU31" s="73"/>
      <c r="VKV31" s="73"/>
      <c r="VKW31" s="73"/>
      <c r="VKX31" s="73"/>
      <c r="VKY31" s="73"/>
      <c r="VKZ31" s="73"/>
      <c r="VLA31" s="73"/>
      <c r="VLB31" s="73"/>
      <c r="VLC31" s="73"/>
      <c r="VLD31" s="73"/>
      <c r="VLE31" s="73"/>
      <c r="VLF31" s="73"/>
      <c r="VLG31" s="73"/>
      <c r="VLH31" s="73"/>
      <c r="VLI31" s="73"/>
      <c r="VLJ31" s="73"/>
      <c r="VLK31" s="73"/>
      <c r="VLL31" s="73"/>
      <c r="VLM31" s="73"/>
      <c r="VLN31" s="73"/>
      <c r="VLO31" s="73"/>
      <c r="VLP31" s="73"/>
      <c r="VLQ31" s="73"/>
      <c r="VLR31" s="73"/>
      <c r="VLS31" s="73"/>
      <c r="VLT31" s="73"/>
      <c r="VLU31" s="73"/>
      <c r="VLV31" s="73"/>
      <c r="VLW31" s="73"/>
      <c r="VLX31" s="73"/>
      <c r="VLY31" s="73"/>
      <c r="VLZ31" s="73"/>
      <c r="VMA31" s="73"/>
      <c r="VMB31" s="73"/>
      <c r="VMC31" s="73"/>
      <c r="VMD31" s="73"/>
      <c r="VME31" s="73"/>
      <c r="VMF31" s="73"/>
      <c r="VMG31" s="73"/>
      <c r="VMH31" s="73"/>
      <c r="VMI31" s="73"/>
      <c r="VMJ31" s="73"/>
      <c r="VMK31" s="73"/>
      <c r="VML31" s="73"/>
      <c r="VMM31" s="73"/>
      <c r="VMN31" s="73"/>
      <c r="VMO31" s="73"/>
      <c r="VMP31" s="73"/>
      <c r="VMQ31" s="73"/>
      <c r="VMR31" s="73"/>
      <c r="VMS31" s="73"/>
      <c r="VMT31" s="73"/>
      <c r="VMU31" s="73"/>
      <c r="VMV31" s="73"/>
      <c r="VMW31" s="73"/>
      <c r="VMX31" s="73"/>
      <c r="VMY31" s="73"/>
      <c r="VMZ31" s="73"/>
      <c r="VNA31" s="73"/>
      <c r="VNB31" s="73"/>
      <c r="VNC31" s="73"/>
      <c r="VND31" s="73"/>
      <c r="VNE31" s="73"/>
      <c r="VNF31" s="73"/>
      <c r="VNG31" s="73"/>
      <c r="VNH31" s="73"/>
      <c r="VNI31" s="73"/>
      <c r="VNJ31" s="73"/>
      <c r="VNK31" s="73"/>
      <c r="VNL31" s="73"/>
      <c r="VNM31" s="73"/>
      <c r="VNN31" s="73"/>
      <c r="VNO31" s="73"/>
      <c r="VNP31" s="73"/>
      <c r="VNQ31" s="73"/>
      <c r="VNR31" s="73"/>
      <c r="VNS31" s="73"/>
      <c r="VNT31" s="73"/>
      <c r="VNU31" s="73"/>
      <c r="VNV31" s="73"/>
      <c r="VNW31" s="73"/>
      <c r="VNX31" s="73"/>
      <c r="VNY31" s="73"/>
      <c r="VNZ31" s="73"/>
      <c r="VOA31" s="73"/>
      <c r="VOB31" s="73"/>
      <c r="VOC31" s="73"/>
      <c r="VOD31" s="73"/>
      <c r="VOE31" s="73"/>
      <c r="VOF31" s="73"/>
      <c r="VOG31" s="73"/>
      <c r="VOH31" s="73"/>
      <c r="VOI31" s="73"/>
      <c r="VOJ31" s="73"/>
      <c r="VOK31" s="73"/>
      <c r="VOL31" s="73"/>
      <c r="VOM31" s="73"/>
      <c r="VON31" s="73"/>
      <c r="VOO31" s="73"/>
      <c r="VOP31" s="73"/>
      <c r="VOQ31" s="73"/>
      <c r="VOR31" s="73"/>
      <c r="VOS31" s="73"/>
      <c r="VOT31" s="73"/>
      <c r="VOU31" s="73"/>
      <c r="VOV31" s="73"/>
      <c r="VOW31" s="73"/>
      <c r="VOX31" s="73"/>
      <c r="VOY31" s="73"/>
      <c r="VOZ31" s="73"/>
      <c r="VPA31" s="73"/>
      <c r="VPB31" s="73"/>
      <c r="VPC31" s="73"/>
      <c r="VPD31" s="73"/>
      <c r="VPE31" s="73"/>
      <c r="VPF31" s="73"/>
      <c r="VPG31" s="73"/>
      <c r="VPH31" s="73"/>
      <c r="VPI31" s="73"/>
      <c r="VPJ31" s="73"/>
      <c r="VPK31" s="73"/>
      <c r="VPL31" s="73"/>
      <c r="VPM31" s="73"/>
      <c r="VPN31" s="73"/>
      <c r="VPO31" s="73"/>
      <c r="VPP31" s="73"/>
      <c r="VPQ31" s="73"/>
      <c r="VPR31" s="73"/>
      <c r="VPS31" s="73"/>
      <c r="VPT31" s="73"/>
      <c r="VPU31" s="73"/>
      <c r="VPV31" s="73"/>
      <c r="VPW31" s="73"/>
      <c r="VPX31" s="73"/>
      <c r="VPY31" s="73"/>
      <c r="VPZ31" s="73"/>
      <c r="VQA31" s="73"/>
      <c r="VQB31" s="73"/>
      <c r="VQC31" s="73"/>
      <c r="VQD31" s="73"/>
      <c r="VQE31" s="73"/>
      <c r="VQF31" s="73"/>
      <c r="VQG31" s="73"/>
      <c r="VQH31" s="73"/>
      <c r="VQI31" s="73"/>
      <c r="VQJ31" s="73"/>
      <c r="VQK31" s="73"/>
      <c r="VQL31" s="73"/>
      <c r="VQM31" s="73"/>
      <c r="VQN31" s="73"/>
      <c r="VQO31" s="73"/>
      <c r="VQP31" s="73"/>
      <c r="VQQ31" s="73"/>
      <c r="VQR31" s="73"/>
      <c r="VQS31" s="73"/>
      <c r="VQT31" s="73"/>
      <c r="VQU31" s="73"/>
      <c r="VQV31" s="73"/>
      <c r="VQW31" s="73"/>
      <c r="VQX31" s="73"/>
      <c r="VQY31" s="73"/>
      <c r="VQZ31" s="73"/>
      <c r="VRA31" s="73"/>
      <c r="VRB31" s="73"/>
      <c r="VRC31" s="73"/>
      <c r="VRD31" s="73"/>
      <c r="VRE31" s="73"/>
      <c r="VRF31" s="73"/>
      <c r="VRG31" s="73"/>
      <c r="VRH31" s="73"/>
      <c r="VRI31" s="73"/>
      <c r="VRJ31" s="73"/>
      <c r="VRK31" s="73"/>
      <c r="VRL31" s="73"/>
      <c r="VRM31" s="73"/>
      <c r="VRN31" s="73"/>
      <c r="VRO31" s="73"/>
      <c r="VRP31" s="73"/>
      <c r="VRQ31" s="73"/>
      <c r="VRR31" s="73"/>
      <c r="VRS31" s="73"/>
      <c r="VRT31" s="73"/>
      <c r="VRU31" s="73"/>
      <c r="VRV31" s="73"/>
      <c r="VRW31" s="73"/>
      <c r="VRX31" s="73"/>
      <c r="VRY31" s="73"/>
      <c r="VRZ31" s="73"/>
      <c r="VSA31" s="73"/>
      <c r="VSB31" s="73"/>
      <c r="VSC31" s="73"/>
      <c r="VSD31" s="73"/>
      <c r="VSE31" s="73"/>
      <c r="VSF31" s="73"/>
      <c r="VSG31" s="73"/>
      <c r="VSH31" s="73"/>
      <c r="VSI31" s="73"/>
      <c r="VSJ31" s="73"/>
      <c r="VSK31" s="73"/>
      <c r="VSL31" s="73"/>
      <c r="VSM31" s="73"/>
      <c r="VSN31" s="73"/>
      <c r="VSO31" s="73"/>
      <c r="VSP31" s="73"/>
      <c r="VSQ31" s="73"/>
      <c r="VSR31" s="73"/>
      <c r="VSS31" s="73"/>
      <c r="VST31" s="73"/>
      <c r="VSU31" s="73"/>
      <c r="VSV31" s="73"/>
      <c r="VSW31" s="73"/>
      <c r="VSX31" s="73"/>
      <c r="VSY31" s="73"/>
      <c r="VSZ31" s="73"/>
      <c r="VTA31" s="73"/>
      <c r="VTB31" s="73"/>
      <c r="VTC31" s="73"/>
      <c r="VTD31" s="73"/>
      <c r="VTE31" s="73"/>
      <c r="VTF31" s="73"/>
      <c r="VTG31" s="73"/>
      <c r="VTH31" s="73"/>
      <c r="VTI31" s="73"/>
      <c r="VTJ31" s="73"/>
      <c r="VTK31" s="73"/>
      <c r="VTL31" s="73"/>
      <c r="VTM31" s="73"/>
      <c r="VTN31" s="73"/>
      <c r="VTO31" s="73"/>
      <c r="VTP31" s="73"/>
      <c r="VTQ31" s="73"/>
      <c r="VTR31" s="73"/>
      <c r="VTS31" s="73"/>
      <c r="VTT31" s="73"/>
      <c r="VTU31" s="73"/>
      <c r="VTV31" s="73"/>
      <c r="VTW31" s="73"/>
      <c r="VTX31" s="73"/>
      <c r="VTY31" s="73"/>
      <c r="VTZ31" s="73"/>
      <c r="VUA31" s="73"/>
      <c r="VUB31" s="73"/>
      <c r="VUC31" s="73"/>
      <c r="VUD31" s="73"/>
      <c r="VUE31" s="73"/>
      <c r="VUF31" s="73"/>
      <c r="VUG31" s="73"/>
      <c r="VUH31" s="73"/>
      <c r="VUI31" s="73"/>
      <c r="VUJ31" s="73"/>
      <c r="VUK31" s="73"/>
      <c r="VUL31" s="73"/>
      <c r="VUM31" s="73"/>
      <c r="VUN31" s="73"/>
      <c r="VUO31" s="73"/>
      <c r="VUP31" s="73"/>
      <c r="VUQ31" s="73"/>
      <c r="VUR31" s="73"/>
      <c r="VUS31" s="73"/>
      <c r="VUT31" s="73"/>
      <c r="VUU31" s="73"/>
      <c r="VUV31" s="73"/>
      <c r="VUW31" s="73"/>
      <c r="VUX31" s="73"/>
      <c r="VUY31" s="73"/>
      <c r="VUZ31" s="73"/>
      <c r="VVA31" s="73"/>
      <c r="VVB31" s="73"/>
      <c r="VVC31" s="73"/>
      <c r="VVD31" s="73"/>
      <c r="VVE31" s="73"/>
      <c r="VVF31" s="73"/>
      <c r="VVG31" s="73"/>
      <c r="VVH31" s="73"/>
      <c r="VVI31" s="73"/>
      <c r="VVJ31" s="73"/>
      <c r="VVK31" s="73"/>
      <c r="VVL31" s="73"/>
      <c r="VVM31" s="73"/>
      <c r="VVN31" s="73"/>
      <c r="VVO31" s="73"/>
      <c r="VVP31" s="73"/>
      <c r="VVQ31" s="73"/>
      <c r="VVR31" s="73"/>
      <c r="VVS31" s="73"/>
      <c r="VVT31" s="73"/>
      <c r="VVU31" s="73"/>
      <c r="VVV31" s="73"/>
      <c r="VVW31" s="73"/>
      <c r="VVX31" s="73"/>
      <c r="VVY31" s="73"/>
      <c r="VVZ31" s="73"/>
      <c r="VWA31" s="73"/>
      <c r="VWB31" s="73"/>
      <c r="VWC31" s="73"/>
      <c r="VWD31" s="73"/>
      <c r="VWE31" s="73"/>
      <c r="VWF31" s="73"/>
      <c r="VWG31" s="73"/>
      <c r="VWH31" s="73"/>
      <c r="VWI31" s="73"/>
      <c r="VWJ31" s="73"/>
      <c r="VWK31" s="73"/>
      <c r="VWL31" s="73"/>
      <c r="VWM31" s="73"/>
      <c r="VWN31" s="73"/>
      <c r="VWO31" s="73"/>
      <c r="VWP31" s="73"/>
      <c r="VWQ31" s="73"/>
      <c r="VWR31" s="73"/>
      <c r="VWS31" s="73"/>
      <c r="VWT31" s="73"/>
      <c r="VWU31" s="73"/>
      <c r="VWV31" s="73"/>
      <c r="VWW31" s="73"/>
      <c r="VWX31" s="73"/>
      <c r="VWY31" s="73"/>
      <c r="VWZ31" s="73"/>
      <c r="VXA31" s="73"/>
      <c r="VXB31" s="73"/>
      <c r="VXC31" s="73"/>
      <c r="VXD31" s="73"/>
      <c r="VXE31" s="73"/>
      <c r="VXF31" s="73"/>
      <c r="VXG31" s="73"/>
      <c r="VXH31" s="73"/>
      <c r="VXI31" s="73"/>
      <c r="VXJ31" s="73"/>
      <c r="VXK31" s="73"/>
      <c r="VXL31" s="73"/>
      <c r="VXM31" s="73"/>
      <c r="VXN31" s="73"/>
      <c r="VXO31" s="73"/>
      <c r="VXP31" s="73"/>
      <c r="VXQ31" s="73"/>
      <c r="VXR31" s="73"/>
      <c r="VXS31" s="73"/>
      <c r="VXT31" s="73"/>
      <c r="VXU31" s="73"/>
      <c r="VXV31" s="73"/>
      <c r="VXW31" s="73"/>
      <c r="VXX31" s="73"/>
      <c r="VXY31" s="73"/>
      <c r="VXZ31" s="73"/>
      <c r="VYA31" s="73"/>
      <c r="VYB31" s="73"/>
      <c r="VYC31" s="73"/>
      <c r="VYD31" s="73"/>
      <c r="VYE31" s="73"/>
      <c r="VYF31" s="73"/>
      <c r="VYG31" s="73"/>
      <c r="VYH31" s="73"/>
      <c r="VYI31" s="73"/>
      <c r="VYJ31" s="73"/>
      <c r="VYK31" s="73"/>
      <c r="VYL31" s="73"/>
      <c r="VYM31" s="73"/>
      <c r="VYN31" s="73"/>
      <c r="VYO31" s="73"/>
      <c r="VYP31" s="73"/>
      <c r="VYQ31" s="73"/>
      <c r="VYR31" s="73"/>
      <c r="VYS31" s="73"/>
      <c r="VYT31" s="73"/>
      <c r="VYU31" s="73"/>
      <c r="VYV31" s="73"/>
      <c r="VYW31" s="73"/>
      <c r="VYX31" s="73"/>
      <c r="VYY31" s="73"/>
      <c r="VYZ31" s="73"/>
      <c r="VZA31" s="73"/>
      <c r="VZB31" s="73"/>
      <c r="VZC31" s="73"/>
      <c r="VZD31" s="73"/>
      <c r="VZE31" s="73"/>
      <c r="VZF31" s="73"/>
      <c r="VZG31" s="73"/>
      <c r="VZH31" s="73"/>
      <c r="VZI31" s="73"/>
      <c r="VZJ31" s="73"/>
      <c r="VZK31" s="73"/>
      <c r="VZL31" s="73"/>
      <c r="VZM31" s="73"/>
      <c r="VZN31" s="73"/>
      <c r="VZO31" s="73"/>
      <c r="VZP31" s="73"/>
      <c r="VZQ31" s="73"/>
      <c r="VZR31" s="73"/>
      <c r="VZS31" s="73"/>
      <c r="VZT31" s="73"/>
      <c r="VZU31" s="73"/>
      <c r="VZV31" s="73"/>
      <c r="VZW31" s="73"/>
      <c r="VZX31" s="73"/>
      <c r="VZY31" s="73"/>
      <c r="VZZ31" s="73"/>
      <c r="WAA31" s="73"/>
      <c r="WAB31" s="73"/>
      <c r="WAC31" s="73"/>
      <c r="WAD31" s="73"/>
      <c r="WAE31" s="73"/>
      <c r="WAF31" s="73"/>
      <c r="WAG31" s="73"/>
      <c r="WAH31" s="73"/>
      <c r="WAI31" s="73"/>
      <c r="WAJ31" s="73"/>
      <c r="WAK31" s="73"/>
      <c r="WAL31" s="73"/>
      <c r="WAM31" s="73"/>
      <c r="WAN31" s="73"/>
      <c r="WAO31" s="73"/>
      <c r="WAP31" s="73"/>
      <c r="WAQ31" s="73"/>
      <c r="WAR31" s="73"/>
      <c r="WAS31" s="73"/>
      <c r="WAT31" s="73"/>
      <c r="WAU31" s="73"/>
      <c r="WAV31" s="73"/>
      <c r="WAW31" s="73"/>
      <c r="WAX31" s="73"/>
      <c r="WAY31" s="73"/>
      <c r="WAZ31" s="73"/>
      <c r="WBA31" s="73"/>
      <c r="WBB31" s="73"/>
      <c r="WBC31" s="73"/>
      <c r="WBD31" s="73"/>
      <c r="WBE31" s="73"/>
      <c r="WBF31" s="73"/>
      <c r="WBG31" s="73"/>
      <c r="WBH31" s="73"/>
      <c r="WBI31" s="73"/>
      <c r="WBJ31" s="73"/>
      <c r="WBK31" s="73"/>
      <c r="WBL31" s="73"/>
      <c r="WBM31" s="73"/>
      <c r="WBN31" s="73"/>
      <c r="WBO31" s="73"/>
      <c r="WBP31" s="73"/>
      <c r="WBQ31" s="73"/>
      <c r="WBR31" s="73"/>
      <c r="WBS31" s="73"/>
      <c r="WBT31" s="73"/>
      <c r="WBU31" s="73"/>
      <c r="WBV31" s="73"/>
      <c r="WBW31" s="73"/>
      <c r="WBX31" s="73"/>
      <c r="WBY31" s="73"/>
      <c r="WBZ31" s="73"/>
      <c r="WCA31" s="73"/>
      <c r="WCB31" s="73"/>
      <c r="WCC31" s="73"/>
      <c r="WCD31" s="73"/>
      <c r="WCE31" s="73"/>
      <c r="WCF31" s="73"/>
      <c r="WCG31" s="73"/>
      <c r="WCH31" s="73"/>
      <c r="WCI31" s="73"/>
      <c r="WCJ31" s="73"/>
      <c r="WCK31" s="73"/>
      <c r="WCL31" s="73"/>
      <c r="WCM31" s="73"/>
      <c r="WCN31" s="73"/>
      <c r="WCO31" s="73"/>
      <c r="WCP31" s="73"/>
      <c r="WCQ31" s="73"/>
      <c r="WCR31" s="73"/>
      <c r="WCS31" s="73"/>
      <c r="WCT31" s="73"/>
      <c r="WCU31" s="73"/>
      <c r="WCV31" s="73"/>
      <c r="WCW31" s="73"/>
      <c r="WCX31" s="73"/>
      <c r="WCY31" s="73"/>
      <c r="WCZ31" s="73"/>
      <c r="WDA31" s="73"/>
      <c r="WDB31" s="73"/>
      <c r="WDC31" s="73"/>
      <c r="WDD31" s="73"/>
      <c r="WDE31" s="73"/>
      <c r="WDF31" s="73"/>
      <c r="WDG31" s="73"/>
      <c r="WDH31" s="73"/>
      <c r="WDI31" s="73"/>
      <c r="WDJ31" s="73"/>
      <c r="WDK31" s="73"/>
      <c r="WDL31" s="73"/>
      <c r="WDM31" s="73"/>
      <c r="WDN31" s="73"/>
      <c r="WDO31" s="73"/>
      <c r="WDP31" s="73"/>
      <c r="WDQ31" s="73"/>
      <c r="WDR31" s="73"/>
      <c r="WDS31" s="73"/>
      <c r="WDT31" s="73"/>
      <c r="WDU31" s="73"/>
      <c r="WDV31" s="73"/>
      <c r="WDW31" s="73"/>
      <c r="WDX31" s="73"/>
      <c r="WDY31" s="73"/>
      <c r="WDZ31" s="73"/>
      <c r="WEA31" s="73"/>
      <c r="WEB31" s="73"/>
      <c r="WEC31" s="73"/>
      <c r="WED31" s="73"/>
      <c r="WEE31" s="73"/>
      <c r="WEF31" s="73"/>
      <c r="WEG31" s="73"/>
      <c r="WEH31" s="73"/>
      <c r="WEI31" s="73"/>
      <c r="WEJ31" s="73"/>
      <c r="WEK31" s="73"/>
      <c r="WEL31" s="73"/>
      <c r="WEM31" s="73"/>
      <c r="WEN31" s="73"/>
      <c r="WEO31" s="73"/>
      <c r="WEP31" s="73"/>
      <c r="WEQ31" s="73"/>
      <c r="WER31" s="73"/>
      <c r="WES31" s="73"/>
      <c r="WET31" s="73"/>
      <c r="WEU31" s="73"/>
      <c r="WEV31" s="73"/>
      <c r="WEW31" s="73"/>
      <c r="WEX31" s="73"/>
      <c r="WEY31" s="73"/>
      <c r="WEZ31" s="73"/>
      <c r="WFA31" s="73"/>
      <c r="WFB31" s="73"/>
      <c r="WFC31" s="73"/>
      <c r="WFD31" s="73"/>
      <c r="WFE31" s="73"/>
      <c r="WFF31" s="73"/>
      <c r="WFG31" s="73"/>
      <c r="WFH31" s="73"/>
      <c r="WFI31" s="73"/>
      <c r="WFJ31" s="73"/>
      <c r="WFK31" s="73"/>
      <c r="WFL31" s="73"/>
      <c r="WFM31" s="73"/>
      <c r="WFN31" s="73"/>
      <c r="WFO31" s="73"/>
      <c r="WFP31" s="73"/>
      <c r="WFQ31" s="73"/>
      <c r="WFR31" s="73"/>
      <c r="WFS31" s="73"/>
      <c r="WFT31" s="73"/>
      <c r="WFU31" s="73"/>
      <c r="WFV31" s="73"/>
      <c r="WFW31" s="73"/>
      <c r="WFX31" s="73"/>
      <c r="WFY31" s="73"/>
      <c r="WFZ31" s="73"/>
      <c r="WGA31" s="73"/>
      <c r="WGB31" s="73"/>
      <c r="WGC31" s="73"/>
      <c r="WGD31" s="73"/>
      <c r="WGE31" s="73"/>
      <c r="WGF31" s="73"/>
      <c r="WGG31" s="73"/>
      <c r="WGH31" s="73"/>
      <c r="WGI31" s="73"/>
      <c r="WGJ31" s="73"/>
      <c r="WGK31" s="73"/>
      <c r="WGL31" s="73"/>
      <c r="WGM31" s="73"/>
      <c r="WGN31" s="73"/>
      <c r="WGO31" s="73"/>
      <c r="WGP31" s="73"/>
      <c r="WGQ31" s="73"/>
      <c r="WGR31" s="73"/>
      <c r="WGS31" s="73"/>
      <c r="WGT31" s="73"/>
      <c r="WGU31" s="73"/>
      <c r="WGV31" s="73"/>
      <c r="WGW31" s="73"/>
      <c r="WGX31" s="73"/>
      <c r="WGY31" s="73"/>
      <c r="WGZ31" s="73"/>
      <c r="WHA31" s="73"/>
      <c r="WHB31" s="73"/>
      <c r="WHC31" s="73"/>
      <c r="WHD31" s="73"/>
      <c r="WHE31" s="73"/>
      <c r="WHF31" s="73"/>
      <c r="WHG31" s="73"/>
      <c r="WHH31" s="73"/>
      <c r="WHI31" s="73"/>
      <c r="WHJ31" s="73"/>
      <c r="WHK31" s="73"/>
      <c r="WHL31" s="73"/>
      <c r="WHM31" s="73"/>
      <c r="WHN31" s="73"/>
      <c r="WHO31" s="73"/>
      <c r="WHP31" s="73"/>
      <c r="WHQ31" s="73"/>
      <c r="WHR31" s="73"/>
      <c r="WHS31" s="73"/>
      <c r="WHT31" s="73"/>
      <c r="WHU31" s="73"/>
      <c r="WHV31" s="73"/>
      <c r="WHW31" s="73"/>
      <c r="WHX31" s="73"/>
      <c r="WHY31" s="73"/>
      <c r="WHZ31" s="73"/>
      <c r="WIA31" s="73"/>
      <c r="WIB31" s="73"/>
      <c r="WIC31" s="73"/>
      <c r="WID31" s="73"/>
      <c r="WIE31" s="73"/>
      <c r="WIF31" s="73"/>
      <c r="WIG31" s="73"/>
      <c r="WIH31" s="73"/>
      <c r="WII31" s="73"/>
      <c r="WIJ31" s="73"/>
      <c r="WIK31" s="73"/>
      <c r="WIL31" s="73"/>
      <c r="WIM31" s="73"/>
      <c r="WIN31" s="73"/>
      <c r="WIO31" s="73"/>
      <c r="WIP31" s="73"/>
      <c r="WIQ31" s="73"/>
      <c r="WIR31" s="73"/>
      <c r="WIS31" s="73"/>
      <c r="WIT31" s="73"/>
      <c r="WIU31" s="73"/>
      <c r="WIV31" s="73"/>
      <c r="WIW31" s="73"/>
      <c r="WIX31" s="73"/>
      <c r="WIY31" s="73"/>
      <c r="WIZ31" s="73"/>
      <c r="WJA31" s="73"/>
      <c r="WJB31" s="73"/>
      <c r="WJC31" s="73"/>
      <c r="WJD31" s="73"/>
      <c r="WJE31" s="73"/>
      <c r="WJF31" s="73"/>
      <c r="WJG31" s="73"/>
      <c r="WJH31" s="73"/>
      <c r="WJI31" s="73"/>
      <c r="WJJ31" s="73"/>
      <c r="WJK31" s="73"/>
      <c r="WJL31" s="73"/>
      <c r="WJM31" s="73"/>
      <c r="WJN31" s="73"/>
      <c r="WJO31" s="73"/>
      <c r="WJP31" s="73"/>
      <c r="WJQ31" s="73"/>
      <c r="WJR31" s="73"/>
      <c r="WJS31" s="73"/>
      <c r="WJT31" s="73"/>
      <c r="WJU31" s="73"/>
      <c r="WJV31" s="73"/>
      <c r="WJW31" s="73"/>
      <c r="WJX31" s="73"/>
      <c r="WJY31" s="73"/>
      <c r="WJZ31" s="73"/>
      <c r="WKA31" s="73"/>
      <c r="WKB31" s="73"/>
      <c r="WKC31" s="73"/>
      <c r="WKD31" s="73"/>
      <c r="WKE31" s="73"/>
      <c r="WKF31" s="73"/>
      <c r="WKG31" s="73"/>
      <c r="WKH31" s="73"/>
      <c r="WKI31" s="73"/>
      <c r="WKJ31" s="73"/>
      <c r="WKK31" s="73"/>
      <c r="WKL31" s="73"/>
      <c r="WKM31" s="73"/>
      <c r="WKN31" s="73"/>
      <c r="WKO31" s="73"/>
      <c r="WKP31" s="73"/>
      <c r="WKQ31" s="73"/>
      <c r="WKR31" s="73"/>
      <c r="WKS31" s="73"/>
      <c r="WKT31" s="73"/>
      <c r="WKU31" s="73"/>
      <c r="WKV31" s="73"/>
      <c r="WKW31" s="73"/>
      <c r="WKX31" s="73"/>
      <c r="WKY31" s="73"/>
      <c r="WKZ31" s="73"/>
      <c r="WLA31" s="73"/>
      <c r="WLB31" s="73"/>
      <c r="WLC31" s="73"/>
      <c r="WLD31" s="73"/>
      <c r="WLE31" s="73"/>
      <c r="WLF31" s="73"/>
      <c r="WLG31" s="73"/>
      <c r="WLH31" s="73"/>
      <c r="WLI31" s="73"/>
      <c r="WLJ31" s="73"/>
      <c r="WLK31" s="73"/>
      <c r="WLL31" s="73"/>
      <c r="WLM31" s="73"/>
      <c r="WLN31" s="73"/>
      <c r="WLO31" s="73"/>
      <c r="WLP31" s="73"/>
      <c r="WLQ31" s="73"/>
      <c r="WLR31" s="73"/>
      <c r="WLS31" s="73"/>
      <c r="WLT31" s="73"/>
      <c r="WLU31" s="73"/>
      <c r="WLV31" s="73"/>
      <c r="WLW31" s="73"/>
      <c r="WLX31" s="73"/>
      <c r="WLY31" s="73"/>
      <c r="WLZ31" s="73"/>
      <c r="WMA31" s="73"/>
      <c r="WMB31" s="73"/>
      <c r="WMC31" s="73"/>
      <c r="WMD31" s="73"/>
      <c r="WME31" s="73"/>
      <c r="WMF31" s="73"/>
      <c r="WMG31" s="73"/>
      <c r="WMH31" s="73"/>
      <c r="WMI31" s="73"/>
      <c r="WMJ31" s="73"/>
      <c r="WMK31" s="73"/>
      <c r="WML31" s="73"/>
      <c r="WMM31" s="73"/>
      <c r="WMN31" s="73"/>
      <c r="WMO31" s="73"/>
      <c r="WMP31" s="73"/>
      <c r="WMQ31" s="73"/>
      <c r="WMR31" s="73"/>
      <c r="WMS31" s="73"/>
      <c r="WMT31" s="73"/>
      <c r="WMU31" s="73"/>
      <c r="WMV31" s="73"/>
      <c r="WMW31" s="73"/>
      <c r="WMX31" s="73"/>
      <c r="WMY31" s="73"/>
      <c r="WMZ31" s="73"/>
      <c r="WNA31" s="73"/>
      <c r="WNB31" s="73"/>
      <c r="WNC31" s="73"/>
      <c r="WND31" s="73"/>
      <c r="WNE31" s="73"/>
      <c r="WNF31" s="73"/>
      <c r="WNG31" s="73"/>
      <c r="WNH31" s="73"/>
      <c r="WNI31" s="73"/>
      <c r="WNJ31" s="73"/>
      <c r="WNK31" s="73"/>
      <c r="WNL31" s="73"/>
      <c r="WNM31" s="73"/>
      <c r="WNN31" s="73"/>
      <c r="WNO31" s="73"/>
      <c r="WNP31" s="73"/>
      <c r="WNQ31" s="73"/>
      <c r="WNR31" s="73"/>
      <c r="WNS31" s="73"/>
      <c r="WNT31" s="73"/>
      <c r="WNU31" s="73"/>
      <c r="WNV31" s="73"/>
      <c r="WNW31" s="73"/>
      <c r="WNX31" s="73"/>
      <c r="WNY31" s="73"/>
      <c r="WNZ31" s="73"/>
      <c r="WOA31" s="73"/>
      <c r="WOB31" s="73"/>
      <c r="WOC31" s="73"/>
      <c r="WOD31" s="73"/>
      <c r="WOE31" s="73"/>
      <c r="WOF31" s="73"/>
      <c r="WOG31" s="73"/>
      <c r="WOH31" s="73"/>
      <c r="WOI31" s="73"/>
      <c r="WOJ31" s="73"/>
      <c r="WOK31" s="73"/>
      <c r="WOL31" s="73"/>
      <c r="WOM31" s="73"/>
      <c r="WON31" s="73"/>
      <c r="WOO31" s="73"/>
      <c r="WOP31" s="73"/>
      <c r="WOQ31" s="73"/>
      <c r="WOR31" s="73"/>
      <c r="WOS31" s="73"/>
      <c r="WOT31" s="73"/>
      <c r="WOU31" s="73"/>
      <c r="WOV31" s="73"/>
      <c r="WOW31" s="73"/>
      <c r="WOX31" s="73"/>
      <c r="WOY31" s="73"/>
      <c r="WOZ31" s="73"/>
      <c r="WPA31" s="73"/>
      <c r="WPB31" s="73"/>
      <c r="WPC31" s="73"/>
      <c r="WPD31" s="73"/>
      <c r="WPE31" s="73"/>
      <c r="WPF31" s="73"/>
      <c r="WPG31" s="73"/>
      <c r="WPH31" s="73"/>
      <c r="WPI31" s="73"/>
      <c r="WPJ31" s="73"/>
      <c r="WPK31" s="73"/>
      <c r="WPL31" s="73"/>
      <c r="WPM31" s="73"/>
      <c r="WPN31" s="73"/>
      <c r="WPO31" s="73"/>
      <c r="WPP31" s="73"/>
      <c r="WPQ31" s="73"/>
      <c r="WPR31" s="73"/>
      <c r="WPS31" s="73"/>
      <c r="WPT31" s="73"/>
      <c r="WPU31" s="73"/>
      <c r="WPV31" s="73"/>
      <c r="WPW31" s="73"/>
      <c r="WPX31" s="73"/>
      <c r="WPY31" s="73"/>
      <c r="WPZ31" s="73"/>
      <c r="WQA31" s="73"/>
      <c r="WQB31" s="73"/>
      <c r="WQC31" s="73"/>
      <c r="WQD31" s="73"/>
      <c r="WQE31" s="73"/>
      <c r="WQF31" s="73"/>
      <c r="WQG31" s="73"/>
      <c r="WQH31" s="73"/>
      <c r="WQI31" s="73"/>
      <c r="WQJ31" s="73"/>
      <c r="WQK31" s="73"/>
      <c r="WQL31" s="73"/>
      <c r="WQM31" s="73"/>
      <c r="WQN31" s="73"/>
      <c r="WQO31" s="73"/>
      <c r="WQP31" s="73"/>
      <c r="WQQ31" s="73"/>
      <c r="WQR31" s="73"/>
      <c r="WQS31" s="73"/>
      <c r="WQT31" s="73"/>
      <c r="WQU31" s="73"/>
      <c r="WQV31" s="73"/>
      <c r="WQW31" s="73"/>
      <c r="WQX31" s="73"/>
      <c r="WQY31" s="73"/>
      <c r="WQZ31" s="73"/>
      <c r="WRA31" s="73"/>
      <c r="WRB31" s="73"/>
      <c r="WRC31" s="73"/>
      <c r="WRD31" s="73"/>
      <c r="WRE31" s="73"/>
      <c r="WRF31" s="73"/>
      <c r="WRG31" s="73"/>
      <c r="WRH31" s="73"/>
      <c r="WRI31" s="73"/>
      <c r="WRJ31" s="73"/>
      <c r="WRK31" s="73"/>
      <c r="WRL31" s="73"/>
      <c r="WRM31" s="73"/>
      <c r="WRN31" s="73"/>
      <c r="WRO31" s="73"/>
      <c r="WRP31" s="73"/>
      <c r="WRQ31" s="73"/>
      <c r="WRR31" s="73"/>
      <c r="WRS31" s="73"/>
      <c r="WRT31" s="73"/>
      <c r="WRU31" s="73"/>
      <c r="WRV31" s="73"/>
      <c r="WRW31" s="73"/>
      <c r="WRX31" s="73"/>
      <c r="WRY31" s="73"/>
      <c r="WRZ31" s="73"/>
      <c r="WSA31" s="73"/>
      <c r="WSB31" s="73"/>
      <c r="WSC31" s="73"/>
      <c r="WSD31" s="73"/>
      <c r="WSE31" s="73"/>
      <c r="WSF31" s="73"/>
      <c r="WSG31" s="73"/>
      <c r="WSH31" s="73"/>
      <c r="WSI31" s="73"/>
      <c r="WSJ31" s="73"/>
      <c r="WSK31" s="73"/>
      <c r="WSL31" s="73"/>
      <c r="WSM31" s="73"/>
      <c r="WSN31" s="73"/>
      <c r="WSO31" s="73"/>
      <c r="WSP31" s="73"/>
      <c r="WSQ31" s="73"/>
      <c r="WSR31" s="73"/>
      <c r="WSS31" s="73"/>
      <c r="WST31" s="73"/>
      <c r="WSU31" s="73"/>
      <c r="WSV31" s="73"/>
      <c r="WSW31" s="73"/>
      <c r="WSX31" s="73"/>
      <c r="WSY31" s="73"/>
      <c r="WSZ31" s="73"/>
      <c r="WTA31" s="73"/>
      <c r="WTB31" s="73"/>
      <c r="WTC31" s="73"/>
      <c r="WTD31" s="73"/>
      <c r="WTE31" s="73"/>
      <c r="WTF31" s="73"/>
      <c r="WTG31" s="73"/>
      <c r="WTH31" s="73"/>
      <c r="WTI31" s="73"/>
      <c r="WTJ31" s="73"/>
      <c r="WTK31" s="73"/>
      <c r="WTL31" s="73"/>
      <c r="WTM31" s="73"/>
      <c r="WTN31" s="73"/>
      <c r="WTO31" s="73"/>
      <c r="WTP31" s="73"/>
      <c r="WTQ31" s="73"/>
      <c r="WTR31" s="73"/>
      <c r="WTS31" s="73"/>
      <c r="WTT31" s="73"/>
      <c r="WTU31" s="73"/>
      <c r="WTV31" s="73"/>
      <c r="WTW31" s="73"/>
      <c r="WTX31" s="73"/>
      <c r="WTY31" s="73"/>
      <c r="WTZ31" s="73"/>
      <c r="WUA31" s="73"/>
      <c r="WUB31" s="73"/>
      <c r="WUC31" s="73"/>
      <c r="WUD31" s="73"/>
      <c r="WUE31" s="73"/>
      <c r="WUF31" s="73"/>
      <c r="WUG31" s="73"/>
      <c r="WUH31" s="73"/>
      <c r="WUI31" s="73"/>
      <c r="WUJ31" s="73"/>
      <c r="WUK31" s="73"/>
      <c r="WUL31" s="73"/>
      <c r="WUM31" s="73"/>
      <c r="WUN31" s="73"/>
      <c r="WUO31" s="73"/>
      <c r="WUP31" s="73"/>
      <c r="WUQ31" s="73"/>
      <c r="WUR31" s="73"/>
      <c r="WUS31" s="73"/>
      <c r="WUT31" s="73"/>
      <c r="WUU31" s="73"/>
      <c r="WUV31" s="73"/>
      <c r="WUW31" s="73"/>
      <c r="WUX31" s="73"/>
      <c r="WUY31" s="73"/>
      <c r="WUZ31" s="73"/>
      <c r="WVA31" s="73"/>
      <c r="WVB31" s="73"/>
      <c r="WVC31" s="73"/>
      <c r="WVD31" s="73"/>
      <c r="WVE31" s="73"/>
      <c r="WVF31" s="73"/>
      <c r="WVG31" s="73"/>
      <c r="WVH31" s="73"/>
      <c r="WVI31" s="73"/>
      <c r="WVJ31" s="73"/>
      <c r="WVK31" s="73"/>
      <c r="WVL31" s="73"/>
      <c r="WVM31" s="73"/>
      <c r="WVN31" s="73"/>
      <c r="WVO31" s="73"/>
      <c r="WVP31" s="73"/>
      <c r="WVQ31" s="73"/>
      <c r="WVR31" s="73"/>
      <c r="WVS31" s="73"/>
      <c r="WVT31" s="73"/>
      <c r="WVU31" s="73"/>
      <c r="WVV31" s="73"/>
      <c r="WVW31" s="73"/>
      <c r="WVX31" s="73"/>
      <c r="WVY31" s="73"/>
      <c r="WVZ31" s="73"/>
      <c r="WWA31" s="73"/>
      <c r="WWB31" s="73"/>
      <c r="WWC31" s="73"/>
      <c r="WWD31" s="73"/>
      <c r="WWE31" s="73"/>
      <c r="WWF31" s="73"/>
      <c r="WWG31" s="73"/>
      <c r="WWH31" s="73"/>
      <c r="WWI31" s="73"/>
      <c r="WWJ31" s="73"/>
      <c r="WWK31" s="73"/>
      <c r="WWL31" s="73"/>
      <c r="WWM31" s="73"/>
      <c r="WWN31" s="73"/>
      <c r="WWO31" s="73"/>
      <c r="WWP31" s="73"/>
      <c r="WWQ31" s="73"/>
      <c r="WWR31" s="73"/>
      <c r="WWS31" s="73"/>
      <c r="WWT31" s="73"/>
      <c r="WWU31" s="73"/>
      <c r="WWV31" s="73"/>
      <c r="WWW31" s="73"/>
      <c r="WWX31" s="73"/>
      <c r="WWY31" s="73"/>
      <c r="WWZ31" s="73"/>
      <c r="WXA31" s="73"/>
      <c r="WXB31" s="73"/>
      <c r="WXC31" s="73"/>
      <c r="WXD31" s="73"/>
      <c r="WXE31" s="73"/>
      <c r="WXF31" s="73"/>
      <c r="WXG31" s="73"/>
      <c r="WXH31" s="73"/>
      <c r="WXI31" s="73"/>
      <c r="WXJ31" s="73"/>
      <c r="WXK31" s="73"/>
      <c r="WXL31" s="73"/>
      <c r="WXM31" s="73"/>
      <c r="WXN31" s="73"/>
      <c r="WXO31" s="73"/>
      <c r="WXP31" s="73"/>
      <c r="WXQ31" s="73"/>
      <c r="WXR31" s="73"/>
      <c r="WXS31" s="73"/>
      <c r="WXT31" s="73"/>
      <c r="WXU31" s="73"/>
      <c r="WXV31" s="73"/>
      <c r="WXW31" s="73"/>
      <c r="WXX31" s="73"/>
      <c r="WXY31" s="73"/>
      <c r="WXZ31" s="73"/>
      <c r="WYA31" s="73"/>
      <c r="WYB31" s="73"/>
      <c r="WYC31" s="73"/>
      <c r="WYD31" s="73"/>
      <c r="WYE31" s="73"/>
      <c r="WYF31" s="73"/>
      <c r="WYG31" s="73"/>
      <c r="WYH31" s="73"/>
      <c r="WYI31" s="73"/>
      <c r="WYJ31" s="73"/>
      <c r="WYK31" s="73"/>
      <c r="WYL31" s="73"/>
      <c r="WYM31" s="73"/>
      <c r="WYN31" s="73"/>
      <c r="WYO31" s="73"/>
      <c r="WYP31" s="73"/>
      <c r="WYQ31" s="73"/>
      <c r="WYR31" s="73"/>
      <c r="WYS31" s="73"/>
      <c r="WYT31" s="73"/>
      <c r="WYU31" s="73"/>
      <c r="WYV31" s="73"/>
      <c r="WYW31" s="73"/>
      <c r="WYX31" s="73"/>
      <c r="WYY31" s="73"/>
      <c r="WYZ31" s="73"/>
      <c r="WZA31" s="73"/>
      <c r="WZB31" s="73"/>
      <c r="WZC31" s="73"/>
      <c r="WZD31" s="73"/>
      <c r="WZE31" s="73"/>
      <c r="WZF31" s="73"/>
      <c r="WZG31" s="73"/>
      <c r="WZH31" s="73"/>
      <c r="WZI31" s="73"/>
      <c r="WZJ31" s="73"/>
      <c r="WZK31" s="73"/>
      <c r="WZL31" s="73"/>
      <c r="WZM31" s="73"/>
      <c r="WZN31" s="73"/>
      <c r="WZO31" s="73"/>
      <c r="WZP31" s="73"/>
      <c r="WZQ31" s="73"/>
      <c r="WZR31" s="73"/>
      <c r="WZS31" s="73"/>
      <c r="WZT31" s="73"/>
      <c r="WZU31" s="73"/>
      <c r="WZV31" s="73"/>
      <c r="WZW31" s="73"/>
      <c r="WZX31" s="73"/>
      <c r="WZY31" s="73"/>
      <c r="WZZ31" s="73"/>
      <c r="XAA31" s="73"/>
      <c r="XAB31" s="73"/>
      <c r="XAC31" s="73"/>
      <c r="XAD31" s="73"/>
      <c r="XAE31" s="73"/>
      <c r="XAF31" s="73"/>
      <c r="XAG31" s="73"/>
      <c r="XAH31" s="73"/>
      <c r="XAI31" s="73"/>
      <c r="XAJ31" s="73"/>
      <c r="XAK31" s="73"/>
      <c r="XAL31" s="73"/>
      <c r="XAM31" s="73"/>
      <c r="XAN31" s="73"/>
      <c r="XAO31" s="73"/>
      <c r="XAP31" s="73"/>
      <c r="XAQ31" s="73"/>
      <c r="XAR31" s="73"/>
      <c r="XAS31" s="73"/>
      <c r="XAT31" s="73"/>
      <c r="XAU31" s="73"/>
      <c r="XAV31" s="73"/>
      <c r="XAW31" s="73"/>
      <c r="XAX31" s="73"/>
      <c r="XAY31" s="73"/>
      <c r="XAZ31" s="73"/>
      <c r="XBA31" s="73"/>
      <c r="XBB31" s="73"/>
      <c r="XBC31" s="73"/>
      <c r="XBD31" s="73"/>
      <c r="XBE31" s="73"/>
      <c r="XBF31" s="73"/>
      <c r="XBG31" s="73"/>
      <c r="XBH31" s="73"/>
      <c r="XBI31" s="73"/>
      <c r="XBJ31" s="73"/>
      <c r="XBK31" s="73"/>
      <c r="XBL31" s="73"/>
      <c r="XBM31" s="73"/>
      <c r="XBN31" s="73"/>
      <c r="XBO31" s="73"/>
      <c r="XBP31" s="73"/>
      <c r="XBQ31" s="73"/>
      <c r="XBR31" s="73"/>
      <c r="XBS31" s="73"/>
      <c r="XBT31" s="73"/>
      <c r="XBU31" s="73"/>
      <c r="XBV31" s="73"/>
      <c r="XBW31" s="73"/>
      <c r="XBX31" s="73"/>
      <c r="XBY31" s="73"/>
      <c r="XBZ31" s="73"/>
      <c r="XCA31" s="73"/>
      <c r="XCB31" s="73"/>
      <c r="XCC31" s="73"/>
      <c r="XCD31" s="73"/>
      <c r="XCE31" s="73"/>
      <c r="XCF31" s="73"/>
      <c r="XCG31" s="73"/>
      <c r="XCH31" s="73"/>
      <c r="XCI31" s="73"/>
      <c r="XCJ31" s="73"/>
      <c r="XCK31" s="73"/>
      <c r="XCL31" s="73"/>
      <c r="XCM31" s="73"/>
      <c r="XCN31" s="73"/>
      <c r="XCO31" s="73"/>
      <c r="XCP31" s="73"/>
      <c r="XCQ31" s="73"/>
      <c r="XCR31" s="73"/>
      <c r="XCS31" s="73"/>
      <c r="XCT31" s="73"/>
      <c r="XCU31" s="73"/>
      <c r="XCV31" s="73"/>
      <c r="XCW31" s="73"/>
      <c r="XCX31" s="73"/>
      <c r="XCY31" s="73"/>
      <c r="XCZ31" s="73"/>
      <c r="XDA31" s="73"/>
      <c r="XDB31" s="73"/>
      <c r="XDC31" s="73"/>
      <c r="XDD31" s="73"/>
      <c r="XDE31" s="73"/>
      <c r="XDF31" s="73"/>
      <c r="XDG31" s="73"/>
      <c r="XDH31" s="73"/>
      <c r="XDI31" s="73"/>
      <c r="XDJ31" s="73"/>
      <c r="XDK31" s="73"/>
      <c r="XDL31" s="73"/>
      <c r="XDM31" s="73"/>
      <c r="XDN31" s="73"/>
      <c r="XDO31" s="73"/>
      <c r="XDP31" s="73"/>
      <c r="XDQ31" s="73"/>
      <c r="XDR31" s="73"/>
      <c r="XDS31" s="73"/>
      <c r="XDT31" s="73"/>
      <c r="XDU31" s="73"/>
      <c r="XDV31" s="73"/>
      <c r="XDW31" s="73"/>
      <c r="XDX31" s="73"/>
      <c r="XDY31" s="73"/>
      <c r="XDZ31" s="73"/>
      <c r="XEA31" s="73"/>
      <c r="XEB31" s="73"/>
      <c r="XEC31" s="73"/>
      <c r="XED31" s="73"/>
      <c r="XEE31" s="73"/>
      <c r="XEF31" s="73"/>
      <c r="XEG31" s="73"/>
      <c r="XEH31" s="73"/>
      <c r="XEI31" s="73"/>
      <c r="XEJ31" s="73"/>
      <c r="XEK31" s="73"/>
      <c r="XEL31" s="73"/>
      <c r="XEM31" s="73"/>
      <c r="XEN31" s="73"/>
      <c r="XEO31" s="73"/>
      <c r="XEP31" s="73"/>
      <c r="XEQ31" s="73"/>
      <c r="XER31" s="73"/>
      <c r="XES31" s="73"/>
      <c r="XET31" s="73"/>
      <c r="XEU31" s="73"/>
      <c r="XEV31" s="73"/>
      <c r="XEW31" s="73"/>
      <c r="XEX31" s="73"/>
      <c r="XEY31" s="73"/>
      <c r="XEZ31" s="73"/>
      <c r="XFA31" s="73"/>
      <c r="XFB31" s="73"/>
      <c r="XFC31" s="73"/>
      <c r="XFD31" s="73"/>
    </row>
    <row r="32" spans="1:16384" s="64" customFormat="1" ht="27" customHeight="1" x14ac:dyDescent="0.25">
      <c r="A32" s="1"/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71"/>
      <c r="P32" s="63"/>
      <c r="R32" s="66"/>
    </row>
    <row r="33" spans="1:18" s="64" customFormat="1" ht="27" customHeight="1" x14ac:dyDescent="0.25">
      <c r="A33" s="1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71"/>
      <c r="P33" s="63"/>
      <c r="R33" s="73"/>
    </row>
    <row r="34" spans="1:18" s="64" customFormat="1" ht="27" customHeight="1" x14ac:dyDescent="0.25">
      <c r="A34" s="1"/>
      <c r="B34" s="60"/>
      <c r="C34" s="6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1"/>
      <c r="O34" s="71"/>
      <c r="R34" s="66"/>
    </row>
    <row r="35" spans="1:18" s="70" customFormat="1" ht="15" x14ac:dyDescent="0.25">
      <c r="A35" s="1"/>
      <c r="B35" s="60"/>
      <c r="C35" s="68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74"/>
      <c r="R35" s="74"/>
    </row>
    <row r="36" spans="1:18" s="70" customFormat="1" ht="15.75" customHeight="1" x14ac:dyDescent="0.25">
      <c r="A36" s="1"/>
      <c r="B36" s="60"/>
      <c r="C36" s="68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74"/>
      <c r="R36" s="74"/>
    </row>
    <row r="37" spans="1:18" s="70" customFormat="1" ht="15.75" customHeight="1" x14ac:dyDescent="0.25">
      <c r="A37" s="1"/>
      <c r="B37" s="60"/>
      <c r="C37" s="68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74"/>
      <c r="R37" s="74"/>
    </row>
    <row r="38" spans="1:18" s="70" customFormat="1" ht="15.75" customHeight="1" x14ac:dyDescent="0.25">
      <c r="A38" s="1"/>
      <c r="B38" s="60"/>
      <c r="C38" s="68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75"/>
      <c r="R38" s="74"/>
    </row>
    <row r="39" spans="1:18" s="70" customFormat="1" ht="15.75" customHeight="1" x14ac:dyDescent="0.25">
      <c r="A39" s="1"/>
      <c r="B39" s="60"/>
      <c r="C39" s="6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75"/>
      <c r="R39" s="74"/>
    </row>
    <row r="40" spans="1:18" s="70" customFormat="1" ht="15.75" customHeight="1" x14ac:dyDescent="0.25">
      <c r="A40" s="1"/>
      <c r="B40" s="60"/>
      <c r="C40" s="6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74"/>
      <c r="R40" s="74"/>
    </row>
    <row r="41" spans="1:18" s="70" customFormat="1" ht="15.75" customHeight="1" x14ac:dyDescent="0.25">
      <c r="A41" s="1"/>
      <c r="B41" s="60"/>
      <c r="C41" s="68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75"/>
      <c r="R41" s="74"/>
    </row>
    <row r="42" spans="1:18" s="70" customFormat="1" ht="15.75" customHeight="1" x14ac:dyDescent="0.25">
      <c r="A42" s="1"/>
      <c r="B42" s="60"/>
      <c r="C42" s="68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75"/>
      <c r="R42" s="74"/>
    </row>
    <row r="43" spans="1:18" s="70" customFormat="1" ht="15.75" customHeight="1" x14ac:dyDescent="0.25">
      <c r="A43" s="1"/>
      <c r="B43" s="60"/>
      <c r="C43" s="68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75"/>
      <c r="R43" s="74"/>
    </row>
    <row r="44" spans="1:18" s="70" customFormat="1" ht="15.75" customHeight="1" x14ac:dyDescent="0.25">
      <c r="A44" s="1"/>
      <c r="B44" s="60"/>
      <c r="C44" s="68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75"/>
      <c r="R44" s="74"/>
    </row>
    <row r="45" spans="1:18" s="70" customFormat="1" ht="15.75" customHeight="1" x14ac:dyDescent="0.25">
      <c r="A45" s="1"/>
      <c r="B45" s="60"/>
      <c r="C45" s="6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75"/>
      <c r="R45" s="74"/>
    </row>
    <row r="46" spans="1:18" s="70" customFormat="1" ht="15" x14ac:dyDescent="0.25">
      <c r="A46" s="1"/>
      <c r="B46" s="60"/>
      <c r="C46" s="68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74"/>
      <c r="R46" s="74"/>
    </row>
    <row r="47" spans="1:18" s="70" customFormat="1" ht="15.75" customHeight="1" x14ac:dyDescent="0.25">
      <c r="A47" s="1"/>
      <c r="B47" s="60"/>
      <c r="C47" s="68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74"/>
      <c r="R47" s="74"/>
    </row>
    <row r="48" spans="1:18" s="70" customFormat="1" ht="15.75" customHeight="1" x14ac:dyDescent="0.25">
      <c r="A48" s="1"/>
      <c r="B48" s="60"/>
      <c r="C48" s="68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75"/>
      <c r="R48" s="74"/>
    </row>
    <row r="49" spans="1:18" s="70" customFormat="1" ht="15" x14ac:dyDescent="0.25">
      <c r="A49" s="1"/>
      <c r="B49" s="60"/>
      <c r="C49" s="68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74"/>
      <c r="R49" s="74"/>
    </row>
    <row r="50" spans="1:18" s="70" customFormat="1" ht="15.75" customHeight="1" x14ac:dyDescent="0.25">
      <c r="A50" s="1"/>
      <c r="B50" s="60"/>
      <c r="C50" s="76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74"/>
      <c r="R50" s="74"/>
    </row>
    <row r="51" spans="1:18" s="70" customFormat="1" ht="15" x14ac:dyDescent="0.25">
      <c r="A51" s="1"/>
      <c r="B51" s="60"/>
      <c r="C51" s="68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74"/>
      <c r="R51" s="74"/>
    </row>
    <row r="52" spans="1:18" s="70" customFormat="1" ht="15" x14ac:dyDescent="0.25">
      <c r="A52" s="1"/>
      <c r="B52" s="60"/>
      <c r="C52" s="68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74"/>
      <c r="R52" s="74"/>
    </row>
    <row r="53" spans="1:18" s="70" customFormat="1" ht="15.75" customHeight="1" x14ac:dyDescent="0.25">
      <c r="A53" s="1"/>
      <c r="B53" s="60"/>
      <c r="C53" s="68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74"/>
      <c r="R53" s="74"/>
    </row>
    <row r="54" spans="1:18" s="70" customFormat="1" ht="15.75" customHeight="1" x14ac:dyDescent="0.25">
      <c r="A54" s="1"/>
      <c r="B54" s="60"/>
      <c r="C54" s="68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75"/>
      <c r="R54" s="74"/>
    </row>
    <row r="55" spans="1:18" s="70" customFormat="1" ht="15.75" customHeight="1" x14ac:dyDescent="0.25">
      <c r="A55" s="1"/>
      <c r="B55" s="60"/>
      <c r="C55" s="68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75"/>
      <c r="R55" s="74"/>
    </row>
    <row r="56" spans="1:18" s="70" customFormat="1" ht="15.75" customHeight="1" x14ac:dyDescent="0.25">
      <c r="A56" s="1"/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75"/>
      <c r="R56" s="74"/>
    </row>
    <row r="57" spans="1:18" s="64" customFormat="1" ht="27" customHeight="1" x14ac:dyDescent="0.25">
      <c r="A57" s="1"/>
      <c r="B57" s="60"/>
      <c r="C57" s="61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1"/>
      <c r="O57" s="71"/>
      <c r="R57" s="74"/>
    </row>
    <row r="58" spans="1:18" s="64" customFormat="1" ht="27" customHeight="1" x14ac:dyDescent="0.25">
      <c r="A58" s="1"/>
      <c r="B58" s="60"/>
      <c r="C58" s="61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1"/>
      <c r="O58" s="71"/>
      <c r="R58" s="74"/>
    </row>
    <row r="59" spans="1:18" s="64" customFormat="1" ht="27" customHeight="1" x14ac:dyDescent="0.25">
      <c r="A59" s="1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71"/>
      <c r="R59" s="74"/>
    </row>
    <row r="60" spans="1:18" s="64" customFormat="1" ht="27" customHeight="1" x14ac:dyDescent="0.25">
      <c r="A60" s="1"/>
      <c r="B60" s="60"/>
      <c r="C60" s="61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71"/>
      <c r="R60" s="66"/>
    </row>
    <row r="61" spans="1:18" s="64" customFormat="1" ht="27" customHeight="1" x14ac:dyDescent="0.25">
      <c r="A61" s="1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71"/>
      <c r="R61" s="66"/>
    </row>
    <row r="62" spans="1:18" s="64" customFormat="1" ht="27" customHeight="1" x14ac:dyDescent="0.25">
      <c r="A62" s="1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71"/>
      <c r="R62" s="66"/>
    </row>
    <row r="63" spans="1:18" s="64" customFormat="1" ht="27" customHeight="1" x14ac:dyDescent="0.25">
      <c r="A63" s="1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71"/>
      <c r="R63" s="66"/>
    </row>
    <row r="64" spans="1:18" s="64" customFormat="1" ht="27" customHeight="1" x14ac:dyDescent="0.25">
      <c r="A64" s="1"/>
      <c r="B64" s="69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2"/>
      <c r="R64" s="66"/>
    </row>
    <row r="65" spans="1:18" s="64" customFormat="1" ht="15" x14ac:dyDescent="0.25">
      <c r="A65" s="1"/>
      <c r="B65" s="69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2"/>
      <c r="R65" s="66"/>
    </row>
    <row r="66" spans="1:18" s="64" customFormat="1" ht="15.75" customHeight="1" x14ac:dyDescent="0.25">
      <c r="A66" s="1"/>
      <c r="B66" s="69"/>
      <c r="C66" s="68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8"/>
      <c r="O66" s="62"/>
      <c r="R66" s="66"/>
    </row>
    <row r="67" spans="1:18" s="64" customFormat="1" ht="15.75" customHeight="1" x14ac:dyDescent="0.25">
      <c r="A67" s="1"/>
      <c r="B67" s="69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2"/>
      <c r="R67" s="74"/>
    </row>
    <row r="68" spans="1:18" s="64" customFormat="1" ht="15.75" customHeight="1" x14ac:dyDescent="0.25">
      <c r="A68" s="1"/>
      <c r="B68" s="69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2"/>
      <c r="R68" s="66"/>
    </row>
    <row r="69" spans="1:18" s="64" customFormat="1" ht="15.75" customHeight="1" x14ac:dyDescent="0.25">
      <c r="A69" s="1"/>
      <c r="B69" s="69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2"/>
      <c r="R69" s="66"/>
    </row>
    <row r="70" spans="1:18" s="64" customFormat="1" ht="15.75" customHeight="1" x14ac:dyDescent="0.25">
      <c r="A70" s="1"/>
      <c r="B70" s="77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8"/>
      <c r="O70" s="68"/>
      <c r="R70" s="65"/>
    </row>
    <row r="71" spans="1:18" s="64" customFormat="1" ht="15.75" customHeight="1" x14ac:dyDescent="0.25">
      <c r="A71" s="1"/>
      <c r="B71" s="69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R71" s="66"/>
    </row>
    <row r="72" spans="1:18" s="64" customFormat="1" ht="15.75" customHeight="1" x14ac:dyDescent="0.25">
      <c r="A72" s="1"/>
      <c r="B72" s="69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3"/>
      <c r="R72" s="66"/>
    </row>
    <row r="73" spans="1:18" s="64" customFormat="1" ht="15.75" customHeight="1" x14ac:dyDescent="0.25">
      <c r="A73" s="1"/>
      <c r="B73" s="69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3"/>
      <c r="R73" s="66"/>
    </row>
    <row r="74" spans="1:18" s="64" customFormat="1" ht="15.75" customHeight="1" x14ac:dyDescent="0.25">
      <c r="A74" s="1"/>
      <c r="B74" s="69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3"/>
      <c r="R74" s="56"/>
    </row>
    <row r="75" spans="1:18" s="64" customFormat="1" ht="15.75" customHeight="1" x14ac:dyDescent="0.25">
      <c r="A75" s="1"/>
      <c r="B75" s="69"/>
      <c r="C75" s="68"/>
      <c r="D75" s="78"/>
      <c r="E75" s="68"/>
      <c r="F75" s="68"/>
      <c r="G75" s="68"/>
      <c r="H75" s="68"/>
      <c r="I75" s="79"/>
      <c r="J75" s="68"/>
      <c r="K75" s="68"/>
      <c r="L75" s="68"/>
      <c r="M75" s="68"/>
      <c r="N75" s="68"/>
      <c r="O75" s="68"/>
      <c r="P75" s="63"/>
      <c r="R75" s="66"/>
    </row>
    <row r="76" spans="1:18" s="64" customFormat="1" ht="15.75" customHeight="1" x14ac:dyDescent="0.25">
      <c r="A76" s="1"/>
      <c r="B76" s="69"/>
      <c r="C76" s="68"/>
      <c r="D76" s="7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3"/>
      <c r="R76" s="74"/>
    </row>
    <row r="77" spans="1:18" s="64" customFormat="1" ht="15" x14ac:dyDescent="0.25">
      <c r="A77" s="1"/>
      <c r="B77" s="69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3"/>
      <c r="R77" s="74"/>
    </row>
    <row r="78" spans="1:18" s="64" customFormat="1" ht="15" x14ac:dyDescent="0.25">
      <c r="A78" s="1"/>
      <c r="B78" s="69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74"/>
      <c r="R78" s="74"/>
    </row>
    <row r="79" spans="1:18" s="64" customFormat="1" ht="15.75" customHeight="1" x14ac:dyDescent="0.25">
      <c r="A79" s="1"/>
      <c r="B79" s="69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74"/>
      <c r="R79" s="66"/>
    </row>
    <row r="80" spans="1:18" s="64" customFormat="1" ht="15.75" customHeight="1" x14ac:dyDescent="0.25">
      <c r="A80" s="1"/>
      <c r="B80" s="69"/>
      <c r="C80" s="7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74"/>
      <c r="R80" s="66"/>
    </row>
    <row r="81" spans="1:18" s="64" customFormat="1" ht="26.7" customHeight="1" x14ac:dyDescent="0.25">
      <c r="A81" s="1"/>
      <c r="B81" s="69"/>
      <c r="C81" s="7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74"/>
      <c r="R81" s="66"/>
    </row>
    <row r="82" spans="1:18" s="64" customFormat="1" ht="15.75" customHeight="1" x14ac:dyDescent="0.25">
      <c r="A82" s="1"/>
      <c r="B82" s="69"/>
      <c r="C82" s="7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74"/>
      <c r="R82" s="66"/>
    </row>
    <row r="83" spans="1:18" s="64" customFormat="1" ht="15.75" customHeight="1" x14ac:dyDescent="0.25">
      <c r="A83" s="1"/>
      <c r="B83" s="69"/>
      <c r="C83" s="7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74"/>
      <c r="R83" s="66"/>
    </row>
    <row r="84" spans="1:18" s="64" customFormat="1" ht="15.75" customHeight="1" x14ac:dyDescent="0.25">
      <c r="A84" s="1"/>
      <c r="B84" s="69"/>
      <c r="C84" s="7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3"/>
      <c r="R84" s="66"/>
    </row>
    <row r="85" spans="1:18" s="64" customFormat="1" ht="15.75" customHeight="1" x14ac:dyDescent="0.25">
      <c r="A85" s="1"/>
      <c r="B85" s="69"/>
      <c r="C85" s="7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3"/>
      <c r="R85" s="74"/>
    </row>
    <row r="86" spans="1:18" s="64" customFormat="1" ht="15.75" customHeight="1" x14ac:dyDescent="0.25">
      <c r="A86" s="1"/>
      <c r="B86" s="69"/>
      <c r="C86" s="7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3"/>
      <c r="R86" s="66"/>
    </row>
    <row r="87" spans="1:18" s="64" customFormat="1" ht="15.75" customHeight="1" x14ac:dyDescent="0.25">
      <c r="A87" s="1"/>
      <c r="B87" s="69"/>
      <c r="C87" s="7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3"/>
      <c r="R87" s="66"/>
    </row>
    <row r="88" spans="1:18" s="64" customFormat="1" ht="15.75" customHeight="1" x14ac:dyDescent="0.25">
      <c r="A88" s="1"/>
      <c r="B88" s="69"/>
      <c r="C88" s="7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3"/>
      <c r="R88" s="66"/>
    </row>
    <row r="89" spans="1:18" s="64" customFormat="1" ht="15.75" customHeight="1" x14ac:dyDescent="0.25">
      <c r="A89" s="1"/>
      <c r="B89" s="69"/>
      <c r="C89" s="7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3"/>
      <c r="R89" s="66"/>
    </row>
    <row r="90" spans="1:18" s="64" customFormat="1" ht="15.75" customHeight="1" x14ac:dyDescent="0.25">
      <c r="A90" s="1"/>
      <c r="B90" s="69"/>
      <c r="C90" s="7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3"/>
      <c r="R90" s="66"/>
    </row>
    <row r="91" spans="1:18" s="64" customFormat="1" ht="15.75" customHeight="1" x14ac:dyDescent="0.25">
      <c r="A91" s="1"/>
      <c r="B91" s="69"/>
      <c r="C91" s="7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3"/>
      <c r="R91" s="66"/>
    </row>
    <row r="92" spans="1:18" s="64" customFormat="1" ht="15.75" customHeight="1" x14ac:dyDescent="0.25">
      <c r="A92" s="1"/>
      <c r="B92" s="69"/>
      <c r="C92" s="7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3"/>
      <c r="R92" s="66"/>
    </row>
    <row r="93" spans="1:18" s="64" customFormat="1" ht="15.75" customHeight="1" x14ac:dyDescent="0.25">
      <c r="A93" s="1"/>
      <c r="B93" s="69"/>
      <c r="C93" s="7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3"/>
      <c r="R93" s="66"/>
    </row>
    <row r="94" spans="1:18" s="64" customFormat="1" ht="99.75" customHeight="1" x14ac:dyDescent="0.25">
      <c r="A94" s="1"/>
      <c r="B94" s="6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9"/>
      <c r="P94" s="63"/>
      <c r="R94" s="65"/>
    </row>
    <row r="95" spans="1:18" s="64" customFormat="1" ht="47.25" customHeight="1" x14ac:dyDescent="0.25">
      <c r="A95" s="1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80"/>
      <c r="P95" s="80"/>
      <c r="R95" s="66"/>
    </row>
    <row r="96" spans="1:18" s="41" customFormat="1" ht="15" x14ac:dyDescent="0.25">
      <c r="A96" s="1"/>
    </row>
    <row r="97" spans="1:1" s="41" customFormat="1" ht="15" x14ac:dyDescent="0.25">
      <c r="A97" s="1"/>
    </row>
    <row r="98" spans="1:1" s="41" customFormat="1" ht="15" x14ac:dyDescent="0.25">
      <c r="A98" s="1"/>
    </row>
    <row r="99" spans="1:1" s="41" customFormat="1" ht="15" x14ac:dyDescent="0.25">
      <c r="A99" s="1"/>
    </row>
    <row r="100" spans="1:1" s="41" customFormat="1" ht="15" x14ac:dyDescent="0.25">
      <c r="A100" s="1"/>
    </row>
    <row r="101" spans="1:1" s="41" customFormat="1" ht="15" x14ac:dyDescent="0.25">
      <c r="A101" s="1"/>
    </row>
    <row r="102" spans="1:1" s="41" customFormat="1" ht="15" x14ac:dyDescent="0.25">
      <c r="A102" s="1"/>
    </row>
    <row r="103" spans="1:1" s="41" customFormat="1" ht="15" x14ac:dyDescent="0.25">
      <c r="A103" s="1"/>
    </row>
    <row r="104" spans="1:1" s="41" customFormat="1" ht="15" x14ac:dyDescent="0.25">
      <c r="A104" s="1"/>
    </row>
    <row r="105" spans="1:1" s="41" customFormat="1" ht="15" x14ac:dyDescent="0.25">
      <c r="A105" s="1"/>
    </row>
    <row r="106" spans="1:1" s="41" customFormat="1" ht="15" x14ac:dyDescent="0.25">
      <c r="A106" s="1"/>
    </row>
    <row r="107" spans="1:1" s="41" customFormat="1" ht="15" x14ac:dyDescent="0.25">
      <c r="A107" s="1"/>
    </row>
    <row r="108" spans="1:1" s="41" customFormat="1" ht="15" x14ac:dyDescent="0.25">
      <c r="A108" s="1"/>
    </row>
    <row r="109" spans="1:1" s="41" customFormat="1" ht="15" x14ac:dyDescent="0.25">
      <c r="A109" s="1"/>
    </row>
    <row r="110" spans="1:1" s="41" customFormat="1" ht="15" x14ac:dyDescent="0.25">
      <c r="A110" s="1"/>
    </row>
  </sheetData>
  <hyperlinks>
    <hyperlink ref="B4" r:id="rId1" xr:uid="{919C697A-BF1F-4699-A566-8C56BA8C9B4D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56189-B452-4D63-BB60-C47813DB1EDB}">
  <dimension ref="A1:P16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8671875" defaultRowHeight="13.2" x14ac:dyDescent="0.25"/>
  <cols>
    <col min="1" max="1" width="28.5546875" style="28" bestFit="1" customWidth="1"/>
    <col min="2" max="2" width="15.44140625" style="28" customWidth="1"/>
    <col min="3" max="3" width="14.21875" style="28" customWidth="1"/>
    <col min="4" max="4" width="14.77734375" style="28" customWidth="1"/>
    <col min="5" max="5" width="17.109375" style="28" customWidth="1"/>
    <col min="6" max="6" width="13.44140625" style="28" bestFit="1" customWidth="1"/>
    <col min="7" max="7" width="11.5546875" style="28" bestFit="1" customWidth="1"/>
    <col min="8" max="8" width="11.77734375" style="28" bestFit="1" customWidth="1"/>
    <col min="9" max="9" width="11.5546875" style="28" bestFit="1" customWidth="1"/>
    <col min="10" max="10" width="14.44140625" style="28" bestFit="1" customWidth="1"/>
    <col min="11" max="11" width="10.21875" style="28" bestFit="1" customWidth="1"/>
    <col min="12" max="12" width="8.77734375" style="28" bestFit="1" customWidth="1"/>
    <col min="13" max="13" width="10.21875" style="28" bestFit="1" customWidth="1"/>
    <col min="14" max="14" width="15.77734375" style="28" customWidth="1"/>
    <col min="15" max="16384" width="8.88671875" style="28"/>
  </cols>
  <sheetData>
    <row r="1" spans="1:16" ht="15" customHeight="1" x14ac:dyDescent="0.25">
      <c r="A1" s="39" t="s">
        <v>712</v>
      </c>
    </row>
    <row r="3" spans="1:16" ht="66" x14ac:dyDescent="0.25">
      <c r="B3" s="29" t="s">
        <v>716</v>
      </c>
      <c r="C3" s="29" t="s">
        <v>33</v>
      </c>
      <c r="D3" s="29" t="s">
        <v>34</v>
      </c>
      <c r="E3" s="29" t="s">
        <v>717</v>
      </c>
      <c r="F3" s="29" t="s">
        <v>581</v>
      </c>
      <c r="G3" s="29" t="s">
        <v>641</v>
      </c>
      <c r="H3" s="29" t="s">
        <v>718</v>
      </c>
      <c r="I3" s="29" t="s">
        <v>35</v>
      </c>
      <c r="J3" s="29" t="s">
        <v>36</v>
      </c>
      <c r="K3" s="29" t="s">
        <v>37</v>
      </c>
      <c r="L3" s="29" t="s">
        <v>719</v>
      </c>
      <c r="M3" s="29" t="s">
        <v>720</v>
      </c>
      <c r="N3" s="30" t="s">
        <v>661</v>
      </c>
    </row>
    <row r="4" spans="1:16" x14ac:dyDescent="0.25">
      <c r="A4" s="31" t="s">
        <v>6</v>
      </c>
      <c r="B4" s="32">
        <f>B5+B15+B27+B61+B89+B113+B133+B149</f>
        <v>0</v>
      </c>
      <c r="C4" s="32">
        <f t="shared" ref="C4:N4" si="0">C5+C15+C27+C61+C89+C113+C133+C149</f>
        <v>3</v>
      </c>
      <c r="D4" s="32">
        <f t="shared" si="0"/>
        <v>820</v>
      </c>
      <c r="E4" s="32">
        <f t="shared" si="0"/>
        <v>0</v>
      </c>
      <c r="F4" s="32">
        <f t="shared" ref="F4:M4" si="1">F5+F15+F27+F61+F89+F113+F133+F149</f>
        <v>32</v>
      </c>
      <c r="G4" s="32">
        <f t="shared" si="1"/>
        <v>3</v>
      </c>
      <c r="H4" s="32">
        <f t="shared" si="1"/>
        <v>0</v>
      </c>
      <c r="I4" s="32">
        <f t="shared" si="1"/>
        <v>17</v>
      </c>
      <c r="J4" s="32">
        <f t="shared" si="1"/>
        <v>23</v>
      </c>
      <c r="K4" s="32">
        <f t="shared" si="1"/>
        <v>12</v>
      </c>
      <c r="L4" s="32">
        <f t="shared" si="1"/>
        <v>0</v>
      </c>
      <c r="M4" s="32">
        <f t="shared" si="1"/>
        <v>0</v>
      </c>
      <c r="N4" s="32">
        <f t="shared" si="0"/>
        <v>910</v>
      </c>
      <c r="O4" s="33"/>
      <c r="P4" s="33"/>
    </row>
    <row r="5" spans="1:16" x14ac:dyDescent="0.25">
      <c r="A5" s="33" t="s">
        <v>39</v>
      </c>
      <c r="B5" s="32">
        <f>SUM(B6:B14)</f>
        <v>0</v>
      </c>
      <c r="C5" s="32">
        <f t="shared" ref="C5:N5" si="2">SUM(C6:C14)</f>
        <v>0</v>
      </c>
      <c r="D5" s="32">
        <f t="shared" si="2"/>
        <v>98</v>
      </c>
      <c r="E5" s="32">
        <f t="shared" si="2"/>
        <v>0</v>
      </c>
      <c r="F5" s="32">
        <f t="shared" ref="F5:M5" si="3">SUM(F6:F14)</f>
        <v>3</v>
      </c>
      <c r="G5" s="32">
        <f t="shared" si="3"/>
        <v>0</v>
      </c>
      <c r="H5" s="32">
        <f t="shared" si="3"/>
        <v>0</v>
      </c>
      <c r="I5" s="32">
        <f t="shared" si="3"/>
        <v>1</v>
      </c>
      <c r="J5" s="32">
        <f t="shared" si="3"/>
        <v>4</v>
      </c>
      <c r="K5" s="32">
        <f t="shared" si="3"/>
        <v>2</v>
      </c>
      <c r="L5" s="32">
        <f t="shared" si="3"/>
        <v>0</v>
      </c>
      <c r="M5" s="32">
        <f t="shared" si="3"/>
        <v>0</v>
      </c>
      <c r="N5" s="32">
        <f t="shared" si="2"/>
        <v>108</v>
      </c>
      <c r="O5" s="33"/>
      <c r="P5" s="33"/>
    </row>
    <row r="6" spans="1:16" x14ac:dyDescent="0.25">
      <c r="A6" s="28" t="s">
        <v>40</v>
      </c>
      <c r="B6" s="34">
        <f>IFERROR(VLOOKUP($A6,Pivot!$A:$I,1+MATCH(B$3,Pivot!$B$4:$I$4,0),FALSE),0)</f>
        <v>0</v>
      </c>
      <c r="C6" s="34">
        <f>IFERROR(VLOOKUP($A6,Pivot!$A:$I,1+MATCH(C$3,Pivot!$B$4:$I$4,0),FALSE),0)</f>
        <v>0</v>
      </c>
      <c r="D6" s="34">
        <f>IFERROR(VLOOKUP($A6,Pivot!$A:$I,1+MATCH(D$3,Pivot!$B$4:$I$4,0),FALSE),0)</f>
        <v>6</v>
      </c>
      <c r="E6" s="34">
        <f>IFERROR(VLOOKUP($A6,Pivot!$A:$I,1+MATCH(E$3,Pivot!$B$4:$I$4,0),FALSE),0)</f>
        <v>0</v>
      </c>
      <c r="F6" s="34">
        <f>IFERROR(VLOOKUP($A6,Pivot!$A:$I,1+MATCH(F$3,Pivot!$B$4:$I$4,0),FALSE),0)</f>
        <v>0</v>
      </c>
      <c r="G6" s="34">
        <f>IFERROR(VLOOKUP($A6,Pivot!$A:$I,1+MATCH(G$3,Pivot!$B$4:$I$4,0),FALSE),0)</f>
        <v>0</v>
      </c>
      <c r="H6" s="34">
        <f>IFERROR(VLOOKUP($A6,Pivot!$A:$I,1+MATCH(H$3,Pivot!$B$4:$I$4,0),FALSE),0)</f>
        <v>0</v>
      </c>
      <c r="I6" s="34">
        <f>IFERROR(VLOOKUP($A6,Pivot!$A:$I,1+MATCH(I$3,Pivot!$B$4:$I$4,0),FALSE),0)</f>
        <v>0</v>
      </c>
      <c r="J6" s="34">
        <f>IFERROR(VLOOKUP($A6,Pivot!$A:$I,1+MATCH(J$3,Pivot!$B$4:$I$4,0),FALSE),0)</f>
        <v>0</v>
      </c>
      <c r="K6" s="34">
        <f>IFERROR(VLOOKUP($A6,Pivot!$A:$I,1+MATCH(K$3,Pivot!$B$4:$I$4,0),FALSE),0)</f>
        <v>0</v>
      </c>
      <c r="L6" s="34">
        <f>IFERROR(VLOOKUP($A6,Pivot!$A:$I,1+MATCH(L$3,Pivot!$B$4:$I$4,0),FALSE),0)</f>
        <v>0</v>
      </c>
      <c r="M6" s="34">
        <f>IFERROR(VLOOKUP($A6,Pivot!$A:$I,1+MATCH(M$3,Pivot!$B$4:$I$4,0),FALSE),0)</f>
        <v>0</v>
      </c>
      <c r="N6" s="34">
        <f t="shared" ref="N6:N14" si="4">SUM(B6:M6)</f>
        <v>6</v>
      </c>
    </row>
    <row r="7" spans="1:16" x14ac:dyDescent="0.25">
      <c r="A7" s="28" t="s">
        <v>41</v>
      </c>
      <c r="B7" s="34">
        <f>IFERROR(VLOOKUP($A7,Pivot!$A:$I,1+MATCH(B$3,Pivot!$B$4:$I$4,0),FALSE),0)</f>
        <v>0</v>
      </c>
      <c r="C7" s="34">
        <f>IFERROR(VLOOKUP($A7,Pivot!$A:$I,1+MATCH(C$3,Pivot!$B$4:$I$4,0),FALSE),0)</f>
        <v>0</v>
      </c>
      <c r="D7" s="34">
        <f>IFERROR(VLOOKUP($A7,Pivot!$A:$I,1+MATCH(D$3,Pivot!$B$4:$I$4,0),FALSE),0)</f>
        <v>13</v>
      </c>
      <c r="E7" s="34">
        <f>IFERROR(VLOOKUP($A7,Pivot!$A:$I,1+MATCH(E$3,Pivot!$B$4:$I$4,0),FALSE),0)</f>
        <v>0</v>
      </c>
      <c r="F7" s="34">
        <f>IFERROR(VLOOKUP($A7,Pivot!$A:$I,1+MATCH(F$3,Pivot!$B$4:$I$4,0),FALSE),0)</f>
        <v>0</v>
      </c>
      <c r="G7" s="34">
        <f>IFERROR(VLOOKUP($A7,Pivot!$A:$I,1+MATCH(G$3,Pivot!$B$4:$I$4,0),FALSE),0)</f>
        <v>0</v>
      </c>
      <c r="H7" s="34">
        <f>IFERROR(VLOOKUP($A7,Pivot!$A:$I,1+MATCH(H$3,Pivot!$B$4:$I$4,0),FALSE),0)</f>
        <v>0</v>
      </c>
      <c r="I7" s="34">
        <f>IFERROR(VLOOKUP($A7,Pivot!$A:$I,1+MATCH(I$3,Pivot!$B$4:$I$4,0),FALSE),0)</f>
        <v>0</v>
      </c>
      <c r="J7" s="34">
        <f>IFERROR(VLOOKUP($A7,Pivot!$A:$I,1+MATCH(J$3,Pivot!$B$4:$I$4,0),FALSE),0)</f>
        <v>2</v>
      </c>
      <c r="K7" s="34">
        <f>IFERROR(VLOOKUP($A7,Pivot!$A:$I,1+MATCH(K$3,Pivot!$B$4:$I$4,0),FALSE),0)</f>
        <v>0</v>
      </c>
      <c r="L7" s="34">
        <f>IFERROR(VLOOKUP($A7,Pivot!$A:$I,1+MATCH(L$3,Pivot!$B$4:$I$4,0),FALSE),0)</f>
        <v>0</v>
      </c>
      <c r="M7" s="34">
        <f>IFERROR(VLOOKUP($A7,Pivot!$A:$I,1+MATCH(M$3,Pivot!$B$4:$I$4,0),FALSE),0)</f>
        <v>0</v>
      </c>
      <c r="N7" s="34">
        <f t="shared" si="4"/>
        <v>15</v>
      </c>
    </row>
    <row r="8" spans="1:16" x14ac:dyDescent="0.25">
      <c r="A8" s="28" t="s">
        <v>662</v>
      </c>
      <c r="B8" s="34">
        <f>IFERROR(VLOOKUP($A8,Pivot!$A:$I,1+MATCH(B$3,Pivot!$B$4:$I$4,0),FALSE),0)</f>
        <v>0</v>
      </c>
      <c r="C8" s="34">
        <f>IFERROR(VLOOKUP($A8,Pivot!$A:$I,1+MATCH(C$3,Pivot!$B$4:$I$4,0),FALSE),0)</f>
        <v>0</v>
      </c>
      <c r="D8" s="34">
        <f>IFERROR(VLOOKUP($A8,Pivot!$A:$I,1+MATCH(D$3,Pivot!$B$4:$I$4,0),FALSE),0)</f>
        <v>3</v>
      </c>
      <c r="E8" s="34">
        <f>IFERROR(VLOOKUP($A8,Pivot!$A:$I,1+MATCH(E$3,Pivot!$B$4:$I$4,0),FALSE),0)</f>
        <v>0</v>
      </c>
      <c r="F8" s="34">
        <f>IFERROR(VLOOKUP($A8,Pivot!$A:$I,1+MATCH(F$3,Pivot!$B$4:$I$4,0),FALSE),0)</f>
        <v>0</v>
      </c>
      <c r="G8" s="34">
        <f>IFERROR(VLOOKUP($A8,Pivot!$A:$I,1+MATCH(G$3,Pivot!$B$4:$I$4,0),FALSE),0)</f>
        <v>0</v>
      </c>
      <c r="H8" s="34">
        <f>IFERROR(VLOOKUP($A8,Pivot!$A:$I,1+MATCH(H$3,Pivot!$B$4:$I$4,0),FALSE),0)</f>
        <v>0</v>
      </c>
      <c r="I8" s="34">
        <f>IFERROR(VLOOKUP($A8,Pivot!$A:$I,1+MATCH(I$3,Pivot!$B$4:$I$4,0),FALSE),0)</f>
        <v>0</v>
      </c>
      <c r="J8" s="34">
        <f>IFERROR(VLOOKUP($A8,Pivot!$A:$I,1+MATCH(J$3,Pivot!$B$4:$I$4,0),FALSE),0)</f>
        <v>0</v>
      </c>
      <c r="K8" s="34">
        <f>IFERROR(VLOOKUP($A8,Pivot!$A:$I,1+MATCH(K$3,Pivot!$B$4:$I$4,0),FALSE),0)</f>
        <v>0</v>
      </c>
      <c r="L8" s="34">
        <f>IFERROR(VLOOKUP($A8,Pivot!$A:$I,1+MATCH(L$3,Pivot!$B$4:$I$4,0),FALSE),0)</f>
        <v>0</v>
      </c>
      <c r="M8" s="34">
        <f>IFERROR(VLOOKUP($A8,Pivot!$A:$I,1+MATCH(M$3,Pivot!$B$4:$I$4,0),FALSE),0)</f>
        <v>0</v>
      </c>
      <c r="N8" s="34">
        <f t="shared" si="4"/>
        <v>3</v>
      </c>
    </row>
    <row r="9" spans="1:16" x14ac:dyDescent="0.25">
      <c r="A9" s="28" t="s">
        <v>42</v>
      </c>
      <c r="B9" s="34">
        <f>IFERROR(VLOOKUP($A9,Pivot!$A:$I,1+MATCH(B$3,Pivot!$B$4:$I$4,0),FALSE),0)</f>
        <v>0</v>
      </c>
      <c r="C9" s="34">
        <f>IFERROR(VLOOKUP($A9,Pivot!$A:$I,1+MATCH(C$3,Pivot!$B$4:$I$4,0),FALSE),0)</f>
        <v>0</v>
      </c>
      <c r="D9" s="34">
        <f>IFERROR(VLOOKUP($A9,Pivot!$A:$I,1+MATCH(D$3,Pivot!$B$4:$I$4,0),FALSE),0)</f>
        <v>21</v>
      </c>
      <c r="E9" s="34">
        <f>IFERROR(VLOOKUP($A9,Pivot!$A:$I,1+MATCH(E$3,Pivot!$B$4:$I$4,0),FALSE),0)</f>
        <v>0</v>
      </c>
      <c r="F9" s="34">
        <f>IFERROR(VLOOKUP($A9,Pivot!$A:$I,1+MATCH(F$3,Pivot!$B$4:$I$4,0),FALSE),0)</f>
        <v>0</v>
      </c>
      <c r="G9" s="34">
        <f>IFERROR(VLOOKUP($A9,Pivot!$A:$I,1+MATCH(G$3,Pivot!$B$4:$I$4,0),FALSE),0)</f>
        <v>0</v>
      </c>
      <c r="H9" s="34">
        <f>IFERROR(VLOOKUP($A9,Pivot!$A:$I,1+MATCH(H$3,Pivot!$B$4:$I$4,0),FALSE),0)</f>
        <v>0</v>
      </c>
      <c r="I9" s="34">
        <f>IFERROR(VLOOKUP($A9,Pivot!$A:$I,1+MATCH(I$3,Pivot!$B$4:$I$4,0),FALSE),0)</f>
        <v>1</v>
      </c>
      <c r="J9" s="34">
        <f>IFERROR(VLOOKUP($A9,Pivot!$A:$I,1+MATCH(J$3,Pivot!$B$4:$I$4,0),FALSE),0)</f>
        <v>0</v>
      </c>
      <c r="K9" s="34">
        <f>IFERROR(VLOOKUP($A9,Pivot!$A:$I,1+MATCH(K$3,Pivot!$B$4:$I$4,0),FALSE),0)</f>
        <v>0</v>
      </c>
      <c r="L9" s="34">
        <f>IFERROR(VLOOKUP($A9,Pivot!$A:$I,1+MATCH(L$3,Pivot!$B$4:$I$4,0),FALSE),0)</f>
        <v>0</v>
      </c>
      <c r="M9" s="34">
        <f>IFERROR(VLOOKUP($A9,Pivot!$A:$I,1+MATCH(M$3,Pivot!$B$4:$I$4,0),FALSE),0)</f>
        <v>0</v>
      </c>
      <c r="N9" s="34">
        <f t="shared" si="4"/>
        <v>22</v>
      </c>
    </row>
    <row r="10" spans="1:16" x14ac:dyDescent="0.25">
      <c r="A10" s="28" t="s">
        <v>43</v>
      </c>
      <c r="B10" s="34">
        <f>IFERROR(VLOOKUP($A10,Pivot!$A:$I,1+MATCH(B$3,Pivot!$B$4:$I$4,0),FALSE),0)</f>
        <v>0</v>
      </c>
      <c r="C10" s="34">
        <f>IFERROR(VLOOKUP($A10,Pivot!$A:$I,1+MATCH(C$3,Pivot!$B$4:$I$4,0),FALSE),0)</f>
        <v>0</v>
      </c>
      <c r="D10" s="34">
        <f>IFERROR(VLOOKUP($A10,Pivot!$A:$I,1+MATCH(D$3,Pivot!$B$4:$I$4,0),FALSE),0)</f>
        <v>9</v>
      </c>
      <c r="E10" s="34">
        <f>IFERROR(VLOOKUP($A10,Pivot!$A:$I,1+MATCH(E$3,Pivot!$B$4:$I$4,0),FALSE),0)</f>
        <v>0</v>
      </c>
      <c r="F10" s="34">
        <f>IFERROR(VLOOKUP($A10,Pivot!$A:$I,1+MATCH(F$3,Pivot!$B$4:$I$4,0),FALSE),0)</f>
        <v>0</v>
      </c>
      <c r="G10" s="34">
        <f>IFERROR(VLOOKUP($A10,Pivot!$A:$I,1+MATCH(G$3,Pivot!$B$4:$I$4,0),FALSE),0)</f>
        <v>0</v>
      </c>
      <c r="H10" s="34">
        <f>IFERROR(VLOOKUP($A10,Pivot!$A:$I,1+MATCH(H$3,Pivot!$B$4:$I$4,0),FALSE),0)</f>
        <v>0</v>
      </c>
      <c r="I10" s="34">
        <f>IFERROR(VLOOKUP($A10,Pivot!$A:$I,1+MATCH(I$3,Pivot!$B$4:$I$4,0),FALSE),0)</f>
        <v>0</v>
      </c>
      <c r="J10" s="34">
        <f>IFERROR(VLOOKUP($A10,Pivot!$A:$I,1+MATCH(J$3,Pivot!$B$4:$I$4,0),FALSE),0)</f>
        <v>2</v>
      </c>
      <c r="K10" s="34">
        <f>IFERROR(VLOOKUP($A10,Pivot!$A:$I,1+MATCH(K$3,Pivot!$B$4:$I$4,0),FALSE),0)</f>
        <v>1</v>
      </c>
      <c r="L10" s="34">
        <f>IFERROR(VLOOKUP($A10,Pivot!$A:$I,1+MATCH(L$3,Pivot!$B$4:$I$4,0),FALSE),0)</f>
        <v>0</v>
      </c>
      <c r="M10" s="34">
        <f>IFERROR(VLOOKUP($A10,Pivot!$A:$I,1+MATCH(M$3,Pivot!$B$4:$I$4,0),FALSE),0)</f>
        <v>0</v>
      </c>
      <c r="N10" s="34">
        <f t="shared" si="4"/>
        <v>12</v>
      </c>
    </row>
    <row r="11" spans="1:16" x14ac:dyDescent="0.25">
      <c r="A11" s="28" t="s">
        <v>44</v>
      </c>
      <c r="B11" s="34">
        <f>IFERROR(VLOOKUP($A11,Pivot!$A:$I,1+MATCH(B$3,Pivot!$B$4:$I$4,0),FALSE),0)</f>
        <v>0</v>
      </c>
      <c r="C11" s="34">
        <f>IFERROR(VLOOKUP($A11,Pivot!$A:$I,1+MATCH(C$3,Pivot!$B$4:$I$4,0),FALSE),0)</f>
        <v>0</v>
      </c>
      <c r="D11" s="34">
        <f>IFERROR(VLOOKUP($A11,Pivot!$A:$I,1+MATCH(D$3,Pivot!$B$4:$I$4,0),FALSE),0)</f>
        <v>17</v>
      </c>
      <c r="E11" s="34">
        <f>IFERROR(VLOOKUP($A11,Pivot!$A:$I,1+MATCH(E$3,Pivot!$B$4:$I$4,0),FALSE),0)</f>
        <v>0</v>
      </c>
      <c r="F11" s="34">
        <f>IFERROR(VLOOKUP($A11,Pivot!$A:$I,1+MATCH(F$3,Pivot!$B$4:$I$4,0),FALSE),0)</f>
        <v>1</v>
      </c>
      <c r="G11" s="34">
        <f>IFERROR(VLOOKUP($A11,Pivot!$A:$I,1+MATCH(G$3,Pivot!$B$4:$I$4,0),FALSE),0)</f>
        <v>0</v>
      </c>
      <c r="H11" s="34">
        <f>IFERROR(VLOOKUP($A11,Pivot!$A:$I,1+MATCH(H$3,Pivot!$B$4:$I$4,0),FALSE),0)</f>
        <v>0</v>
      </c>
      <c r="I11" s="34">
        <f>IFERROR(VLOOKUP($A11,Pivot!$A:$I,1+MATCH(I$3,Pivot!$B$4:$I$4,0),FALSE),0)</f>
        <v>0</v>
      </c>
      <c r="J11" s="34">
        <f>IFERROR(VLOOKUP($A11,Pivot!$A:$I,1+MATCH(J$3,Pivot!$B$4:$I$4,0),FALSE),0)</f>
        <v>0</v>
      </c>
      <c r="K11" s="34">
        <f>IFERROR(VLOOKUP($A11,Pivot!$A:$I,1+MATCH(K$3,Pivot!$B$4:$I$4,0),FALSE),0)</f>
        <v>0</v>
      </c>
      <c r="L11" s="34">
        <f>IFERROR(VLOOKUP($A11,Pivot!$A:$I,1+MATCH(L$3,Pivot!$B$4:$I$4,0),FALSE),0)</f>
        <v>0</v>
      </c>
      <c r="M11" s="34">
        <f>IFERROR(VLOOKUP($A11,Pivot!$A:$I,1+MATCH(M$3,Pivot!$B$4:$I$4,0),FALSE),0)</f>
        <v>0</v>
      </c>
      <c r="N11" s="34">
        <f t="shared" si="4"/>
        <v>18</v>
      </c>
    </row>
    <row r="12" spans="1:16" x14ac:dyDescent="0.25">
      <c r="A12" s="28" t="s">
        <v>45</v>
      </c>
      <c r="B12" s="34">
        <f>IFERROR(VLOOKUP($A12,Pivot!$A:$I,1+MATCH(B$3,Pivot!$B$4:$I$4,0),FALSE),0)</f>
        <v>0</v>
      </c>
      <c r="C12" s="34">
        <f>IFERROR(VLOOKUP($A12,Pivot!$A:$I,1+MATCH(C$3,Pivot!$B$4:$I$4,0),FALSE),0)</f>
        <v>0</v>
      </c>
      <c r="D12" s="34">
        <f>IFERROR(VLOOKUP($A12,Pivot!$A:$I,1+MATCH(D$3,Pivot!$B$4:$I$4,0),FALSE),0)</f>
        <v>11</v>
      </c>
      <c r="E12" s="34">
        <f>IFERROR(VLOOKUP($A12,Pivot!$A:$I,1+MATCH(E$3,Pivot!$B$4:$I$4,0),FALSE),0)</f>
        <v>0</v>
      </c>
      <c r="F12" s="34">
        <f>IFERROR(VLOOKUP($A12,Pivot!$A:$I,1+MATCH(F$3,Pivot!$B$4:$I$4,0),FALSE),0)</f>
        <v>0</v>
      </c>
      <c r="G12" s="34">
        <f>IFERROR(VLOOKUP($A12,Pivot!$A:$I,1+MATCH(G$3,Pivot!$B$4:$I$4,0),FALSE),0)</f>
        <v>0</v>
      </c>
      <c r="H12" s="34">
        <f>IFERROR(VLOOKUP($A12,Pivot!$A:$I,1+MATCH(H$3,Pivot!$B$4:$I$4,0),FALSE),0)</f>
        <v>0</v>
      </c>
      <c r="I12" s="34">
        <f>IFERROR(VLOOKUP($A12,Pivot!$A:$I,1+MATCH(I$3,Pivot!$B$4:$I$4,0),FALSE),0)</f>
        <v>0</v>
      </c>
      <c r="J12" s="34">
        <f>IFERROR(VLOOKUP($A12,Pivot!$A:$I,1+MATCH(J$3,Pivot!$B$4:$I$4,0),FALSE),0)</f>
        <v>0</v>
      </c>
      <c r="K12" s="34">
        <f>IFERROR(VLOOKUP($A12,Pivot!$A:$I,1+MATCH(K$3,Pivot!$B$4:$I$4,0),FALSE),0)</f>
        <v>0</v>
      </c>
      <c r="L12" s="34">
        <f>IFERROR(VLOOKUP($A12,Pivot!$A:$I,1+MATCH(L$3,Pivot!$B$4:$I$4,0),FALSE),0)</f>
        <v>0</v>
      </c>
      <c r="M12" s="34">
        <f>IFERROR(VLOOKUP($A12,Pivot!$A:$I,1+MATCH(M$3,Pivot!$B$4:$I$4,0),FALSE),0)</f>
        <v>0</v>
      </c>
      <c r="N12" s="34">
        <f t="shared" si="4"/>
        <v>11</v>
      </c>
    </row>
    <row r="13" spans="1:16" x14ac:dyDescent="0.25">
      <c r="A13" s="28" t="s">
        <v>46</v>
      </c>
      <c r="B13" s="34">
        <f>IFERROR(VLOOKUP($A13,Pivot!$A:$I,1+MATCH(B$3,Pivot!$B$4:$I$4,0),FALSE),0)</f>
        <v>0</v>
      </c>
      <c r="C13" s="34">
        <f>IFERROR(VLOOKUP($A13,Pivot!$A:$I,1+MATCH(C$3,Pivot!$B$4:$I$4,0),FALSE),0)</f>
        <v>0</v>
      </c>
      <c r="D13" s="34">
        <f>IFERROR(VLOOKUP($A13,Pivot!$A:$I,1+MATCH(D$3,Pivot!$B$4:$I$4,0),FALSE),0)</f>
        <v>17</v>
      </c>
      <c r="E13" s="34">
        <f>IFERROR(VLOOKUP($A13,Pivot!$A:$I,1+MATCH(E$3,Pivot!$B$4:$I$4,0),FALSE),0)</f>
        <v>0</v>
      </c>
      <c r="F13" s="34">
        <f>IFERROR(VLOOKUP($A13,Pivot!$A:$I,1+MATCH(F$3,Pivot!$B$4:$I$4,0),FALSE),0)</f>
        <v>2</v>
      </c>
      <c r="G13" s="34">
        <f>IFERROR(VLOOKUP($A13,Pivot!$A:$I,1+MATCH(G$3,Pivot!$B$4:$I$4,0),FALSE),0)</f>
        <v>0</v>
      </c>
      <c r="H13" s="34">
        <f>IFERROR(VLOOKUP($A13,Pivot!$A:$I,1+MATCH(H$3,Pivot!$B$4:$I$4,0),FALSE),0)</f>
        <v>0</v>
      </c>
      <c r="I13" s="34">
        <f>IFERROR(VLOOKUP($A13,Pivot!$A:$I,1+MATCH(I$3,Pivot!$B$4:$I$4,0),FALSE),0)</f>
        <v>0</v>
      </c>
      <c r="J13" s="34">
        <f>IFERROR(VLOOKUP($A13,Pivot!$A:$I,1+MATCH(J$3,Pivot!$B$4:$I$4,0),FALSE),0)</f>
        <v>0</v>
      </c>
      <c r="K13" s="34">
        <f>IFERROR(VLOOKUP($A13,Pivot!$A:$I,1+MATCH(K$3,Pivot!$B$4:$I$4,0),FALSE),0)</f>
        <v>1</v>
      </c>
      <c r="L13" s="34">
        <f>IFERROR(VLOOKUP($A13,Pivot!$A:$I,1+MATCH(L$3,Pivot!$B$4:$I$4,0),FALSE),0)</f>
        <v>0</v>
      </c>
      <c r="M13" s="34">
        <f>IFERROR(VLOOKUP($A13,Pivot!$A:$I,1+MATCH(M$3,Pivot!$B$4:$I$4,0),FALSE),0)</f>
        <v>0</v>
      </c>
      <c r="N13" s="34">
        <f t="shared" si="4"/>
        <v>20</v>
      </c>
    </row>
    <row r="14" spans="1:16" x14ac:dyDescent="0.25">
      <c r="A14" s="28" t="s">
        <v>47</v>
      </c>
      <c r="B14" s="34">
        <f>IFERROR(VLOOKUP($A14,Pivot!$A:$I,1+MATCH(B$3,Pivot!$B$4:$I$4,0),FALSE),0)</f>
        <v>0</v>
      </c>
      <c r="C14" s="34">
        <f>IFERROR(VLOOKUP($A14,Pivot!$A:$I,1+MATCH(C$3,Pivot!$B$4:$I$4,0),FALSE),0)</f>
        <v>0</v>
      </c>
      <c r="D14" s="34">
        <f>IFERROR(VLOOKUP($A14,Pivot!$A:$I,1+MATCH(D$3,Pivot!$B$4:$I$4,0),FALSE),0)</f>
        <v>1</v>
      </c>
      <c r="E14" s="34">
        <f>IFERROR(VLOOKUP($A14,Pivot!$A:$I,1+MATCH(E$3,Pivot!$B$4:$I$4,0),FALSE),0)</f>
        <v>0</v>
      </c>
      <c r="F14" s="34">
        <f>IFERROR(VLOOKUP($A14,Pivot!$A:$I,1+MATCH(F$3,Pivot!$B$4:$I$4,0),FALSE),0)</f>
        <v>0</v>
      </c>
      <c r="G14" s="34">
        <f>IFERROR(VLOOKUP($A14,Pivot!$A:$I,1+MATCH(G$3,Pivot!$B$4:$I$4,0),FALSE),0)</f>
        <v>0</v>
      </c>
      <c r="H14" s="34">
        <f>IFERROR(VLOOKUP($A14,Pivot!$A:$I,1+MATCH(H$3,Pivot!$B$4:$I$4,0),FALSE),0)</f>
        <v>0</v>
      </c>
      <c r="I14" s="34">
        <f>IFERROR(VLOOKUP($A14,Pivot!$A:$I,1+MATCH(I$3,Pivot!$B$4:$I$4,0),FALSE),0)</f>
        <v>0</v>
      </c>
      <c r="J14" s="34">
        <f>IFERROR(VLOOKUP($A14,Pivot!$A:$I,1+MATCH(J$3,Pivot!$B$4:$I$4,0),FALSE),0)</f>
        <v>0</v>
      </c>
      <c r="K14" s="34">
        <f>IFERROR(VLOOKUP($A14,Pivot!$A:$I,1+MATCH(K$3,Pivot!$B$4:$I$4,0),FALSE),0)</f>
        <v>0</v>
      </c>
      <c r="L14" s="34">
        <f>IFERROR(VLOOKUP($A14,Pivot!$A:$I,1+MATCH(L$3,Pivot!$B$4:$I$4,0),FALSE),0)</f>
        <v>0</v>
      </c>
      <c r="M14" s="34">
        <f>IFERROR(VLOOKUP($A14,Pivot!$A:$I,1+MATCH(M$3,Pivot!$B$4:$I$4,0),FALSE),0)</f>
        <v>0</v>
      </c>
      <c r="N14" s="34">
        <f t="shared" si="4"/>
        <v>1</v>
      </c>
    </row>
    <row r="15" spans="1:16" x14ac:dyDescent="0.25">
      <c r="A15" s="33" t="s">
        <v>48</v>
      </c>
      <c r="B15" s="32">
        <f>SUM(B16:B26)</f>
        <v>0</v>
      </c>
      <c r="C15" s="32">
        <f t="shared" ref="C15:N15" si="5">SUM(C16:C26)</f>
        <v>0</v>
      </c>
      <c r="D15" s="32">
        <f t="shared" si="5"/>
        <v>69</v>
      </c>
      <c r="E15" s="32">
        <f t="shared" si="5"/>
        <v>0</v>
      </c>
      <c r="F15" s="32">
        <f t="shared" ref="F15:M15" si="6">SUM(F16:F26)</f>
        <v>3</v>
      </c>
      <c r="G15" s="32">
        <f t="shared" si="6"/>
        <v>0</v>
      </c>
      <c r="H15" s="32">
        <f t="shared" si="6"/>
        <v>0</v>
      </c>
      <c r="I15" s="32">
        <f t="shared" si="6"/>
        <v>3</v>
      </c>
      <c r="J15" s="32">
        <f t="shared" si="6"/>
        <v>3</v>
      </c>
      <c r="K15" s="32">
        <f t="shared" si="6"/>
        <v>1</v>
      </c>
      <c r="L15" s="32">
        <f t="shared" si="6"/>
        <v>0</v>
      </c>
      <c r="M15" s="32">
        <f t="shared" si="6"/>
        <v>0</v>
      </c>
      <c r="N15" s="32">
        <f t="shared" si="5"/>
        <v>79</v>
      </c>
      <c r="O15" s="33"/>
      <c r="P15" s="33"/>
    </row>
    <row r="16" spans="1:16" x14ac:dyDescent="0.25">
      <c r="A16" s="28" t="s">
        <v>663</v>
      </c>
      <c r="B16" s="34">
        <f>IFERROR(VLOOKUP($A16,Pivot!$A:$I,1+MATCH(B$3,Pivot!$B$4:$I$4,0),FALSE),0)</f>
        <v>0</v>
      </c>
      <c r="C16" s="34">
        <f>IFERROR(VLOOKUP($A16,Pivot!$A:$I,1+MATCH(C$3,Pivot!$B$4:$I$4,0),FALSE),0)</f>
        <v>0</v>
      </c>
      <c r="D16" s="34">
        <f>IFERROR(VLOOKUP($A16,Pivot!$A:$I,1+MATCH(D$3,Pivot!$B$4:$I$4,0),FALSE),0)</f>
        <v>1</v>
      </c>
      <c r="E16" s="34">
        <f>IFERROR(VLOOKUP($A16,Pivot!$A:$I,1+MATCH(E$3,Pivot!$B$4:$I$4,0),FALSE),0)</f>
        <v>0</v>
      </c>
      <c r="F16" s="34">
        <f>IFERROR(VLOOKUP($A16,Pivot!$A:$I,1+MATCH(F$3,Pivot!$B$4:$I$4,0),FALSE),0)</f>
        <v>0</v>
      </c>
      <c r="G16" s="34">
        <f>IFERROR(VLOOKUP($A16,Pivot!$A:$I,1+MATCH(G$3,Pivot!$B$4:$I$4,0),FALSE),0)</f>
        <v>0</v>
      </c>
      <c r="H16" s="34">
        <f>IFERROR(VLOOKUP($A16,Pivot!$A:$I,1+MATCH(H$3,Pivot!$B$4:$I$4,0),FALSE),0)</f>
        <v>0</v>
      </c>
      <c r="I16" s="34">
        <f>IFERROR(VLOOKUP($A16,Pivot!$A:$I,1+MATCH(I$3,Pivot!$B$4:$I$4,0),FALSE),0)</f>
        <v>0</v>
      </c>
      <c r="J16" s="34">
        <f>IFERROR(VLOOKUP($A16,Pivot!$A:$I,1+MATCH(J$3,Pivot!$B$4:$I$4,0),FALSE),0)</f>
        <v>0</v>
      </c>
      <c r="K16" s="34">
        <f>IFERROR(VLOOKUP($A16,Pivot!$A:$I,1+MATCH(K$3,Pivot!$B$4:$I$4,0),FALSE),0)</f>
        <v>0</v>
      </c>
      <c r="L16" s="34">
        <f>IFERROR(VLOOKUP($A16,Pivot!$A:$I,1+MATCH(L$3,Pivot!$B$4:$I$4,0),FALSE),0)</f>
        <v>0</v>
      </c>
      <c r="M16" s="34">
        <f>IFERROR(VLOOKUP($A16,Pivot!$A:$I,1+MATCH(M$3,Pivot!$B$4:$I$4,0),FALSE),0)</f>
        <v>0</v>
      </c>
      <c r="N16" s="34">
        <f t="shared" ref="N16:N26" si="7">SUM(B16:M16)</f>
        <v>1</v>
      </c>
    </row>
    <row r="17" spans="1:16" x14ac:dyDescent="0.25">
      <c r="A17" s="28" t="s">
        <v>49</v>
      </c>
      <c r="B17" s="34">
        <f>IFERROR(VLOOKUP($A17,Pivot!$A:$I,1+MATCH(B$3,Pivot!$B$4:$I$4,0),FALSE),0)</f>
        <v>0</v>
      </c>
      <c r="C17" s="34">
        <f>IFERROR(VLOOKUP($A17,Pivot!$A:$I,1+MATCH(C$3,Pivot!$B$4:$I$4,0),FALSE),0)</f>
        <v>0</v>
      </c>
      <c r="D17" s="34">
        <f>IFERROR(VLOOKUP($A17,Pivot!$A:$I,1+MATCH(D$3,Pivot!$B$4:$I$4,0),FALSE),0)</f>
        <v>10</v>
      </c>
      <c r="E17" s="34">
        <f>IFERROR(VLOOKUP($A17,Pivot!$A:$I,1+MATCH(E$3,Pivot!$B$4:$I$4,0),FALSE),0)</f>
        <v>0</v>
      </c>
      <c r="F17" s="34">
        <f>IFERROR(VLOOKUP($A17,Pivot!$A:$I,1+MATCH(F$3,Pivot!$B$4:$I$4,0),FALSE),0)</f>
        <v>0</v>
      </c>
      <c r="G17" s="34">
        <f>IFERROR(VLOOKUP($A17,Pivot!$A:$I,1+MATCH(G$3,Pivot!$B$4:$I$4,0),FALSE),0)</f>
        <v>0</v>
      </c>
      <c r="H17" s="34">
        <f>IFERROR(VLOOKUP($A17,Pivot!$A:$I,1+MATCH(H$3,Pivot!$B$4:$I$4,0),FALSE),0)</f>
        <v>0</v>
      </c>
      <c r="I17" s="34">
        <f>IFERROR(VLOOKUP($A17,Pivot!$A:$I,1+MATCH(I$3,Pivot!$B$4:$I$4,0),FALSE),0)</f>
        <v>1</v>
      </c>
      <c r="J17" s="34">
        <f>IFERROR(VLOOKUP($A17,Pivot!$A:$I,1+MATCH(J$3,Pivot!$B$4:$I$4,0),FALSE),0)</f>
        <v>1</v>
      </c>
      <c r="K17" s="34">
        <f>IFERROR(VLOOKUP($A17,Pivot!$A:$I,1+MATCH(K$3,Pivot!$B$4:$I$4,0),FALSE),0)</f>
        <v>0</v>
      </c>
      <c r="L17" s="34">
        <f>IFERROR(VLOOKUP($A17,Pivot!$A:$I,1+MATCH(L$3,Pivot!$B$4:$I$4,0),FALSE),0)</f>
        <v>0</v>
      </c>
      <c r="M17" s="34">
        <f>IFERROR(VLOOKUP($A17,Pivot!$A:$I,1+MATCH(M$3,Pivot!$B$4:$I$4,0),FALSE),0)</f>
        <v>0</v>
      </c>
      <c r="N17" s="34">
        <f t="shared" si="7"/>
        <v>12</v>
      </c>
    </row>
    <row r="18" spans="1:16" x14ac:dyDescent="0.25">
      <c r="A18" s="28" t="s">
        <v>50</v>
      </c>
      <c r="B18" s="34">
        <f>IFERROR(VLOOKUP($A18,Pivot!$A:$I,1+MATCH(B$3,Pivot!$B$4:$I$4,0),FALSE),0)</f>
        <v>0</v>
      </c>
      <c r="C18" s="34">
        <f>IFERROR(VLOOKUP($A18,Pivot!$A:$I,1+MATCH(C$3,Pivot!$B$4:$I$4,0),FALSE),0)</f>
        <v>0</v>
      </c>
      <c r="D18" s="34">
        <f>IFERROR(VLOOKUP($A18,Pivot!$A:$I,1+MATCH(D$3,Pivot!$B$4:$I$4,0),FALSE),0)</f>
        <v>4</v>
      </c>
      <c r="E18" s="34">
        <f>IFERROR(VLOOKUP($A18,Pivot!$A:$I,1+MATCH(E$3,Pivot!$B$4:$I$4,0),FALSE),0)</f>
        <v>0</v>
      </c>
      <c r="F18" s="34">
        <f>IFERROR(VLOOKUP($A18,Pivot!$A:$I,1+MATCH(F$3,Pivot!$B$4:$I$4,0),FALSE),0)</f>
        <v>0</v>
      </c>
      <c r="G18" s="34">
        <f>IFERROR(VLOOKUP($A18,Pivot!$A:$I,1+MATCH(G$3,Pivot!$B$4:$I$4,0),FALSE),0)</f>
        <v>0</v>
      </c>
      <c r="H18" s="34">
        <f>IFERROR(VLOOKUP($A18,Pivot!$A:$I,1+MATCH(H$3,Pivot!$B$4:$I$4,0),FALSE),0)</f>
        <v>0</v>
      </c>
      <c r="I18" s="34">
        <f>IFERROR(VLOOKUP($A18,Pivot!$A:$I,1+MATCH(I$3,Pivot!$B$4:$I$4,0),FALSE),0)</f>
        <v>0</v>
      </c>
      <c r="J18" s="34">
        <f>IFERROR(VLOOKUP($A18,Pivot!$A:$I,1+MATCH(J$3,Pivot!$B$4:$I$4,0),FALSE),0)</f>
        <v>0</v>
      </c>
      <c r="K18" s="34">
        <f>IFERROR(VLOOKUP($A18,Pivot!$A:$I,1+MATCH(K$3,Pivot!$B$4:$I$4,0),FALSE),0)</f>
        <v>0</v>
      </c>
      <c r="L18" s="34">
        <f>IFERROR(VLOOKUP($A18,Pivot!$A:$I,1+MATCH(L$3,Pivot!$B$4:$I$4,0),FALSE),0)</f>
        <v>0</v>
      </c>
      <c r="M18" s="34">
        <f>IFERROR(VLOOKUP($A18,Pivot!$A:$I,1+MATCH(M$3,Pivot!$B$4:$I$4,0),FALSE),0)</f>
        <v>0</v>
      </c>
      <c r="N18" s="34">
        <f t="shared" si="7"/>
        <v>4</v>
      </c>
    </row>
    <row r="19" spans="1:16" x14ac:dyDescent="0.25">
      <c r="A19" s="28" t="s">
        <v>51</v>
      </c>
      <c r="B19" s="34">
        <f>IFERROR(VLOOKUP($A19,Pivot!$A:$I,1+MATCH(B$3,Pivot!$B$4:$I$4,0),FALSE),0)</f>
        <v>0</v>
      </c>
      <c r="C19" s="34">
        <f>IFERROR(VLOOKUP($A19,Pivot!$A:$I,1+MATCH(C$3,Pivot!$B$4:$I$4,0),FALSE),0)</f>
        <v>0</v>
      </c>
      <c r="D19" s="34">
        <f>IFERROR(VLOOKUP($A19,Pivot!$A:$I,1+MATCH(D$3,Pivot!$B$4:$I$4,0),FALSE),0)</f>
        <v>11</v>
      </c>
      <c r="E19" s="34">
        <f>IFERROR(VLOOKUP($A19,Pivot!$A:$I,1+MATCH(E$3,Pivot!$B$4:$I$4,0),FALSE),0)</f>
        <v>0</v>
      </c>
      <c r="F19" s="34">
        <f>IFERROR(VLOOKUP($A19,Pivot!$A:$I,1+MATCH(F$3,Pivot!$B$4:$I$4,0),FALSE),0)</f>
        <v>1</v>
      </c>
      <c r="G19" s="34">
        <f>IFERROR(VLOOKUP($A19,Pivot!$A:$I,1+MATCH(G$3,Pivot!$B$4:$I$4,0),FALSE),0)</f>
        <v>0</v>
      </c>
      <c r="H19" s="34">
        <f>IFERROR(VLOOKUP($A19,Pivot!$A:$I,1+MATCH(H$3,Pivot!$B$4:$I$4,0),FALSE),0)</f>
        <v>0</v>
      </c>
      <c r="I19" s="34">
        <f>IFERROR(VLOOKUP($A19,Pivot!$A:$I,1+MATCH(I$3,Pivot!$B$4:$I$4,0),FALSE),0)</f>
        <v>0</v>
      </c>
      <c r="J19" s="34">
        <f>IFERROR(VLOOKUP($A19,Pivot!$A:$I,1+MATCH(J$3,Pivot!$B$4:$I$4,0),FALSE),0)</f>
        <v>0</v>
      </c>
      <c r="K19" s="34">
        <f>IFERROR(VLOOKUP($A19,Pivot!$A:$I,1+MATCH(K$3,Pivot!$B$4:$I$4,0),FALSE),0)</f>
        <v>0</v>
      </c>
      <c r="L19" s="34">
        <f>IFERROR(VLOOKUP($A19,Pivot!$A:$I,1+MATCH(L$3,Pivot!$B$4:$I$4,0),FALSE),0)</f>
        <v>0</v>
      </c>
      <c r="M19" s="34">
        <f>IFERROR(VLOOKUP($A19,Pivot!$A:$I,1+MATCH(M$3,Pivot!$B$4:$I$4,0),FALSE),0)</f>
        <v>0</v>
      </c>
      <c r="N19" s="34">
        <f t="shared" si="7"/>
        <v>12</v>
      </c>
    </row>
    <row r="20" spans="1:16" x14ac:dyDescent="0.25">
      <c r="A20" s="28" t="s">
        <v>52</v>
      </c>
      <c r="B20" s="34">
        <f>IFERROR(VLOOKUP($A20,Pivot!$A:$I,1+MATCH(B$3,Pivot!$B$4:$I$4,0),FALSE),0)</f>
        <v>0</v>
      </c>
      <c r="C20" s="34">
        <f>IFERROR(VLOOKUP($A20,Pivot!$A:$I,1+MATCH(C$3,Pivot!$B$4:$I$4,0),FALSE),0)</f>
        <v>0</v>
      </c>
      <c r="D20" s="34">
        <f>IFERROR(VLOOKUP($A20,Pivot!$A:$I,1+MATCH(D$3,Pivot!$B$4:$I$4,0),FALSE),0)</f>
        <v>9</v>
      </c>
      <c r="E20" s="34">
        <f>IFERROR(VLOOKUP($A20,Pivot!$A:$I,1+MATCH(E$3,Pivot!$B$4:$I$4,0),FALSE),0)</f>
        <v>0</v>
      </c>
      <c r="F20" s="34">
        <f>IFERROR(VLOOKUP($A20,Pivot!$A:$I,1+MATCH(F$3,Pivot!$B$4:$I$4,0),FALSE),0)</f>
        <v>1</v>
      </c>
      <c r="G20" s="34">
        <f>IFERROR(VLOOKUP($A20,Pivot!$A:$I,1+MATCH(G$3,Pivot!$B$4:$I$4,0),FALSE),0)</f>
        <v>0</v>
      </c>
      <c r="H20" s="34">
        <f>IFERROR(VLOOKUP($A20,Pivot!$A:$I,1+MATCH(H$3,Pivot!$B$4:$I$4,0),FALSE),0)</f>
        <v>0</v>
      </c>
      <c r="I20" s="34">
        <f>IFERROR(VLOOKUP($A20,Pivot!$A:$I,1+MATCH(I$3,Pivot!$B$4:$I$4,0),FALSE),0)</f>
        <v>1</v>
      </c>
      <c r="J20" s="34">
        <f>IFERROR(VLOOKUP($A20,Pivot!$A:$I,1+MATCH(J$3,Pivot!$B$4:$I$4,0),FALSE),0)</f>
        <v>1</v>
      </c>
      <c r="K20" s="34">
        <f>IFERROR(VLOOKUP($A20,Pivot!$A:$I,1+MATCH(K$3,Pivot!$B$4:$I$4,0),FALSE),0)</f>
        <v>0</v>
      </c>
      <c r="L20" s="34">
        <f>IFERROR(VLOOKUP($A20,Pivot!$A:$I,1+MATCH(L$3,Pivot!$B$4:$I$4,0),FALSE),0)</f>
        <v>0</v>
      </c>
      <c r="M20" s="34">
        <f>IFERROR(VLOOKUP($A20,Pivot!$A:$I,1+MATCH(M$3,Pivot!$B$4:$I$4,0),FALSE),0)</f>
        <v>0</v>
      </c>
      <c r="N20" s="34">
        <f t="shared" si="7"/>
        <v>12</v>
      </c>
    </row>
    <row r="21" spans="1:16" x14ac:dyDescent="0.25">
      <c r="A21" s="28" t="s">
        <v>664</v>
      </c>
      <c r="B21" s="34">
        <f>IFERROR(VLOOKUP($A21,Pivot!$A:$I,1+MATCH(B$3,Pivot!$B$4:$I$4,0),FALSE),0)</f>
        <v>0</v>
      </c>
      <c r="C21" s="34">
        <f>IFERROR(VLOOKUP($A21,Pivot!$A:$I,1+MATCH(C$3,Pivot!$B$4:$I$4,0),FALSE),0)</f>
        <v>0</v>
      </c>
      <c r="D21" s="34">
        <f>IFERROR(VLOOKUP($A21,Pivot!$A:$I,1+MATCH(D$3,Pivot!$B$4:$I$4,0),FALSE),0)</f>
        <v>0</v>
      </c>
      <c r="E21" s="34">
        <f>IFERROR(VLOOKUP($A21,Pivot!$A:$I,1+MATCH(E$3,Pivot!$B$4:$I$4,0),FALSE),0)</f>
        <v>0</v>
      </c>
      <c r="F21" s="34">
        <f>IFERROR(VLOOKUP($A21,Pivot!$A:$I,1+MATCH(F$3,Pivot!$B$4:$I$4,0),FALSE),0)</f>
        <v>0</v>
      </c>
      <c r="G21" s="34">
        <f>IFERROR(VLOOKUP($A21,Pivot!$A:$I,1+MATCH(G$3,Pivot!$B$4:$I$4,0),FALSE),0)</f>
        <v>0</v>
      </c>
      <c r="H21" s="34">
        <f>IFERROR(VLOOKUP($A21,Pivot!$A:$I,1+MATCH(H$3,Pivot!$B$4:$I$4,0),FALSE),0)</f>
        <v>0</v>
      </c>
      <c r="I21" s="34">
        <f>IFERROR(VLOOKUP($A21,Pivot!$A:$I,1+MATCH(I$3,Pivot!$B$4:$I$4,0),FALSE),0)</f>
        <v>0</v>
      </c>
      <c r="J21" s="34">
        <f>IFERROR(VLOOKUP($A21,Pivot!$A:$I,1+MATCH(J$3,Pivot!$B$4:$I$4,0),FALSE),0)</f>
        <v>0</v>
      </c>
      <c r="K21" s="34">
        <f>IFERROR(VLOOKUP($A21,Pivot!$A:$I,1+MATCH(K$3,Pivot!$B$4:$I$4,0),FALSE),0)</f>
        <v>0</v>
      </c>
      <c r="L21" s="34">
        <f>IFERROR(VLOOKUP($A21,Pivot!$A:$I,1+MATCH(L$3,Pivot!$B$4:$I$4,0),FALSE),0)</f>
        <v>0</v>
      </c>
      <c r="M21" s="34">
        <f>IFERROR(VLOOKUP($A21,Pivot!$A:$I,1+MATCH(M$3,Pivot!$B$4:$I$4,0),FALSE),0)</f>
        <v>0</v>
      </c>
      <c r="N21" s="34">
        <f t="shared" si="7"/>
        <v>0</v>
      </c>
    </row>
    <row r="22" spans="1:16" x14ac:dyDescent="0.25">
      <c r="A22" s="28" t="s">
        <v>53</v>
      </c>
      <c r="B22" s="34">
        <f>IFERROR(VLOOKUP($A22,Pivot!$A:$I,1+MATCH(B$3,Pivot!$B$4:$I$4,0),FALSE),0)</f>
        <v>0</v>
      </c>
      <c r="C22" s="34">
        <f>IFERROR(VLOOKUP($A22,Pivot!$A:$I,1+MATCH(C$3,Pivot!$B$4:$I$4,0),FALSE),0)</f>
        <v>0</v>
      </c>
      <c r="D22" s="34">
        <f>IFERROR(VLOOKUP($A22,Pivot!$A:$I,1+MATCH(D$3,Pivot!$B$4:$I$4,0),FALSE),0)</f>
        <v>13</v>
      </c>
      <c r="E22" s="34">
        <f>IFERROR(VLOOKUP($A22,Pivot!$A:$I,1+MATCH(E$3,Pivot!$B$4:$I$4,0),FALSE),0)</f>
        <v>0</v>
      </c>
      <c r="F22" s="34">
        <f>IFERROR(VLOOKUP($A22,Pivot!$A:$I,1+MATCH(F$3,Pivot!$B$4:$I$4,0),FALSE),0)</f>
        <v>1</v>
      </c>
      <c r="G22" s="34">
        <f>IFERROR(VLOOKUP($A22,Pivot!$A:$I,1+MATCH(G$3,Pivot!$B$4:$I$4,0),FALSE),0)</f>
        <v>0</v>
      </c>
      <c r="H22" s="34">
        <f>IFERROR(VLOOKUP($A22,Pivot!$A:$I,1+MATCH(H$3,Pivot!$B$4:$I$4,0),FALSE),0)</f>
        <v>0</v>
      </c>
      <c r="I22" s="34">
        <f>IFERROR(VLOOKUP($A22,Pivot!$A:$I,1+MATCH(I$3,Pivot!$B$4:$I$4,0),FALSE),0)</f>
        <v>0</v>
      </c>
      <c r="J22" s="34">
        <f>IFERROR(VLOOKUP($A22,Pivot!$A:$I,1+MATCH(J$3,Pivot!$B$4:$I$4,0),FALSE),0)</f>
        <v>1</v>
      </c>
      <c r="K22" s="34">
        <f>IFERROR(VLOOKUP($A22,Pivot!$A:$I,1+MATCH(K$3,Pivot!$B$4:$I$4,0),FALSE),0)</f>
        <v>0</v>
      </c>
      <c r="L22" s="34">
        <f>IFERROR(VLOOKUP($A22,Pivot!$A:$I,1+MATCH(L$3,Pivot!$B$4:$I$4,0),FALSE),0)</f>
        <v>0</v>
      </c>
      <c r="M22" s="34">
        <f>IFERROR(VLOOKUP($A22,Pivot!$A:$I,1+MATCH(M$3,Pivot!$B$4:$I$4,0),FALSE),0)</f>
        <v>0</v>
      </c>
      <c r="N22" s="34">
        <f t="shared" si="7"/>
        <v>15</v>
      </c>
    </row>
    <row r="23" spans="1:16" x14ac:dyDescent="0.25">
      <c r="A23" s="28" t="s">
        <v>54</v>
      </c>
      <c r="B23" s="34">
        <f>IFERROR(VLOOKUP($A23,Pivot!$A:$I,1+MATCH(B$3,Pivot!$B$4:$I$4,0),FALSE),0)</f>
        <v>0</v>
      </c>
      <c r="C23" s="34">
        <f>IFERROR(VLOOKUP($A23,Pivot!$A:$I,1+MATCH(C$3,Pivot!$B$4:$I$4,0),FALSE),0)</f>
        <v>0</v>
      </c>
      <c r="D23" s="34">
        <f>IFERROR(VLOOKUP($A23,Pivot!$A:$I,1+MATCH(D$3,Pivot!$B$4:$I$4,0),FALSE),0)</f>
        <v>3</v>
      </c>
      <c r="E23" s="34">
        <f>IFERROR(VLOOKUP($A23,Pivot!$A:$I,1+MATCH(E$3,Pivot!$B$4:$I$4,0),FALSE),0)</f>
        <v>0</v>
      </c>
      <c r="F23" s="34">
        <f>IFERROR(VLOOKUP($A23,Pivot!$A:$I,1+MATCH(F$3,Pivot!$B$4:$I$4,0),FALSE),0)</f>
        <v>0</v>
      </c>
      <c r="G23" s="34">
        <f>IFERROR(VLOOKUP($A23,Pivot!$A:$I,1+MATCH(G$3,Pivot!$B$4:$I$4,0),FALSE),0)</f>
        <v>0</v>
      </c>
      <c r="H23" s="34">
        <f>IFERROR(VLOOKUP($A23,Pivot!$A:$I,1+MATCH(H$3,Pivot!$B$4:$I$4,0),FALSE),0)</f>
        <v>0</v>
      </c>
      <c r="I23" s="34">
        <f>IFERROR(VLOOKUP($A23,Pivot!$A:$I,1+MATCH(I$3,Pivot!$B$4:$I$4,0),FALSE),0)</f>
        <v>0</v>
      </c>
      <c r="J23" s="34">
        <f>IFERROR(VLOOKUP($A23,Pivot!$A:$I,1+MATCH(J$3,Pivot!$B$4:$I$4,0),FALSE),0)</f>
        <v>0</v>
      </c>
      <c r="K23" s="34">
        <f>IFERROR(VLOOKUP($A23,Pivot!$A:$I,1+MATCH(K$3,Pivot!$B$4:$I$4,0),FALSE),0)</f>
        <v>1</v>
      </c>
      <c r="L23" s="34">
        <f>IFERROR(VLOOKUP($A23,Pivot!$A:$I,1+MATCH(L$3,Pivot!$B$4:$I$4,0),FALSE),0)</f>
        <v>0</v>
      </c>
      <c r="M23" s="34">
        <f>IFERROR(VLOOKUP($A23,Pivot!$A:$I,1+MATCH(M$3,Pivot!$B$4:$I$4,0),FALSE),0)</f>
        <v>0</v>
      </c>
      <c r="N23" s="34">
        <f t="shared" si="7"/>
        <v>4</v>
      </c>
    </row>
    <row r="24" spans="1:16" x14ac:dyDescent="0.25">
      <c r="A24" s="28" t="s">
        <v>55</v>
      </c>
      <c r="B24" s="34">
        <f>IFERROR(VLOOKUP($A24,Pivot!$A:$I,1+MATCH(B$3,Pivot!$B$4:$I$4,0),FALSE),0)</f>
        <v>0</v>
      </c>
      <c r="C24" s="34">
        <f>IFERROR(VLOOKUP($A24,Pivot!$A:$I,1+MATCH(C$3,Pivot!$B$4:$I$4,0),FALSE),0)</f>
        <v>0</v>
      </c>
      <c r="D24" s="34">
        <f>IFERROR(VLOOKUP($A24,Pivot!$A:$I,1+MATCH(D$3,Pivot!$B$4:$I$4,0),FALSE),0)</f>
        <v>2</v>
      </c>
      <c r="E24" s="34">
        <f>IFERROR(VLOOKUP($A24,Pivot!$A:$I,1+MATCH(E$3,Pivot!$B$4:$I$4,0),FALSE),0)</f>
        <v>0</v>
      </c>
      <c r="F24" s="34">
        <f>IFERROR(VLOOKUP($A24,Pivot!$A:$I,1+MATCH(F$3,Pivot!$B$4:$I$4,0),FALSE),0)</f>
        <v>0</v>
      </c>
      <c r="G24" s="34">
        <f>IFERROR(VLOOKUP($A24,Pivot!$A:$I,1+MATCH(G$3,Pivot!$B$4:$I$4,0),FALSE),0)</f>
        <v>0</v>
      </c>
      <c r="H24" s="34">
        <f>IFERROR(VLOOKUP($A24,Pivot!$A:$I,1+MATCH(H$3,Pivot!$B$4:$I$4,0),FALSE),0)</f>
        <v>0</v>
      </c>
      <c r="I24" s="34">
        <f>IFERROR(VLOOKUP($A24,Pivot!$A:$I,1+MATCH(I$3,Pivot!$B$4:$I$4,0),FALSE),0)</f>
        <v>0</v>
      </c>
      <c r="J24" s="34">
        <f>IFERROR(VLOOKUP($A24,Pivot!$A:$I,1+MATCH(J$3,Pivot!$B$4:$I$4,0),FALSE),0)</f>
        <v>0</v>
      </c>
      <c r="K24" s="34">
        <f>IFERROR(VLOOKUP($A24,Pivot!$A:$I,1+MATCH(K$3,Pivot!$B$4:$I$4,0),FALSE),0)</f>
        <v>0</v>
      </c>
      <c r="L24" s="34">
        <f>IFERROR(VLOOKUP($A24,Pivot!$A:$I,1+MATCH(L$3,Pivot!$B$4:$I$4,0),FALSE),0)</f>
        <v>0</v>
      </c>
      <c r="M24" s="34">
        <f>IFERROR(VLOOKUP($A24,Pivot!$A:$I,1+MATCH(M$3,Pivot!$B$4:$I$4,0),FALSE),0)</f>
        <v>0</v>
      </c>
      <c r="N24" s="34">
        <f t="shared" si="7"/>
        <v>2</v>
      </c>
    </row>
    <row r="25" spans="1:16" x14ac:dyDescent="0.25">
      <c r="A25" s="28" t="s">
        <v>56</v>
      </c>
      <c r="B25" s="34">
        <f>IFERROR(VLOOKUP($A25,Pivot!$A:$I,1+MATCH(B$3,Pivot!$B$4:$I$4,0),FALSE),0)</f>
        <v>0</v>
      </c>
      <c r="C25" s="34">
        <f>IFERROR(VLOOKUP($A25,Pivot!$A:$I,1+MATCH(C$3,Pivot!$B$4:$I$4,0),FALSE),0)</f>
        <v>0</v>
      </c>
      <c r="D25" s="34">
        <f>IFERROR(VLOOKUP($A25,Pivot!$A:$I,1+MATCH(D$3,Pivot!$B$4:$I$4,0),FALSE),0)</f>
        <v>16</v>
      </c>
      <c r="E25" s="34">
        <f>IFERROR(VLOOKUP($A25,Pivot!$A:$I,1+MATCH(E$3,Pivot!$B$4:$I$4,0),FALSE),0)</f>
        <v>0</v>
      </c>
      <c r="F25" s="34">
        <f>IFERROR(VLOOKUP($A25,Pivot!$A:$I,1+MATCH(F$3,Pivot!$B$4:$I$4,0),FALSE),0)</f>
        <v>0</v>
      </c>
      <c r="G25" s="34">
        <f>IFERROR(VLOOKUP($A25,Pivot!$A:$I,1+MATCH(G$3,Pivot!$B$4:$I$4,0),FALSE),0)</f>
        <v>0</v>
      </c>
      <c r="H25" s="34">
        <f>IFERROR(VLOOKUP($A25,Pivot!$A:$I,1+MATCH(H$3,Pivot!$B$4:$I$4,0),FALSE),0)</f>
        <v>0</v>
      </c>
      <c r="I25" s="34">
        <f>IFERROR(VLOOKUP($A25,Pivot!$A:$I,1+MATCH(I$3,Pivot!$B$4:$I$4,0),FALSE),0)</f>
        <v>1</v>
      </c>
      <c r="J25" s="34">
        <f>IFERROR(VLOOKUP($A25,Pivot!$A:$I,1+MATCH(J$3,Pivot!$B$4:$I$4,0),FALSE),0)</f>
        <v>0</v>
      </c>
      <c r="K25" s="34">
        <f>IFERROR(VLOOKUP($A25,Pivot!$A:$I,1+MATCH(K$3,Pivot!$B$4:$I$4,0),FALSE),0)</f>
        <v>0</v>
      </c>
      <c r="L25" s="34">
        <f>IFERROR(VLOOKUP($A25,Pivot!$A:$I,1+MATCH(L$3,Pivot!$B$4:$I$4,0),FALSE),0)</f>
        <v>0</v>
      </c>
      <c r="M25" s="34">
        <f>IFERROR(VLOOKUP($A25,Pivot!$A:$I,1+MATCH(M$3,Pivot!$B$4:$I$4,0),FALSE),0)</f>
        <v>0</v>
      </c>
      <c r="N25" s="34">
        <f t="shared" si="7"/>
        <v>17</v>
      </c>
    </row>
    <row r="26" spans="1:16" x14ac:dyDescent="0.25">
      <c r="A26" s="28" t="s">
        <v>665</v>
      </c>
      <c r="B26" s="34">
        <f>IFERROR(VLOOKUP($A26,Pivot!$A:$I,1+MATCH(B$3,Pivot!$B$4:$I$4,0),FALSE),0)</f>
        <v>0</v>
      </c>
      <c r="C26" s="34">
        <f>IFERROR(VLOOKUP($A26,Pivot!$A:$I,1+MATCH(C$3,Pivot!$B$4:$I$4,0),FALSE),0)</f>
        <v>0</v>
      </c>
      <c r="D26" s="34">
        <f>IFERROR(VLOOKUP($A26,Pivot!$A:$I,1+MATCH(D$3,Pivot!$B$4:$I$4,0),FALSE),0)</f>
        <v>0</v>
      </c>
      <c r="E26" s="34">
        <f>IFERROR(VLOOKUP($A26,Pivot!$A:$I,1+MATCH(E$3,Pivot!$B$4:$I$4,0),FALSE),0)</f>
        <v>0</v>
      </c>
      <c r="F26" s="34">
        <f>IFERROR(VLOOKUP($A26,Pivot!$A:$I,1+MATCH(F$3,Pivot!$B$4:$I$4,0),FALSE),0)</f>
        <v>0</v>
      </c>
      <c r="G26" s="34">
        <f>IFERROR(VLOOKUP($A26,Pivot!$A:$I,1+MATCH(G$3,Pivot!$B$4:$I$4,0),FALSE),0)</f>
        <v>0</v>
      </c>
      <c r="H26" s="34">
        <f>IFERROR(VLOOKUP($A26,Pivot!$A:$I,1+MATCH(H$3,Pivot!$B$4:$I$4,0),FALSE),0)</f>
        <v>0</v>
      </c>
      <c r="I26" s="34">
        <f>IFERROR(VLOOKUP($A26,Pivot!$A:$I,1+MATCH(I$3,Pivot!$B$4:$I$4,0),FALSE),0)</f>
        <v>0</v>
      </c>
      <c r="J26" s="34">
        <f>IFERROR(VLOOKUP($A26,Pivot!$A:$I,1+MATCH(J$3,Pivot!$B$4:$I$4,0),FALSE),0)</f>
        <v>0</v>
      </c>
      <c r="K26" s="34">
        <f>IFERROR(VLOOKUP($A26,Pivot!$A:$I,1+MATCH(K$3,Pivot!$B$4:$I$4,0),FALSE),0)</f>
        <v>0</v>
      </c>
      <c r="L26" s="34">
        <f>IFERROR(VLOOKUP($A26,Pivot!$A:$I,1+MATCH(L$3,Pivot!$B$4:$I$4,0),FALSE),0)</f>
        <v>0</v>
      </c>
      <c r="M26" s="34">
        <f>IFERROR(VLOOKUP($A26,Pivot!$A:$I,1+MATCH(M$3,Pivot!$B$4:$I$4,0),FALSE),0)</f>
        <v>0</v>
      </c>
      <c r="N26" s="34">
        <f t="shared" si="7"/>
        <v>0</v>
      </c>
    </row>
    <row r="27" spans="1:16" x14ac:dyDescent="0.25">
      <c r="A27" s="33" t="s">
        <v>57</v>
      </c>
      <c r="B27" s="32">
        <f>SUM(B28:B60)</f>
        <v>0</v>
      </c>
      <c r="C27" s="32">
        <f t="shared" ref="C27:N27" si="8">SUM(C28:C60)</f>
        <v>0</v>
      </c>
      <c r="D27" s="32">
        <f t="shared" si="8"/>
        <v>33</v>
      </c>
      <c r="E27" s="32">
        <f t="shared" si="8"/>
        <v>0</v>
      </c>
      <c r="F27" s="32">
        <f t="shared" ref="F27:M27" si="9">SUM(F28:F60)</f>
        <v>4</v>
      </c>
      <c r="G27" s="32">
        <f t="shared" si="9"/>
        <v>2</v>
      </c>
      <c r="H27" s="32">
        <f t="shared" si="9"/>
        <v>0</v>
      </c>
      <c r="I27" s="32">
        <f t="shared" si="9"/>
        <v>0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2">
        <f t="shared" si="8"/>
        <v>39</v>
      </c>
      <c r="O27" s="33"/>
      <c r="P27" s="33"/>
    </row>
    <row r="28" spans="1:16" x14ac:dyDescent="0.25">
      <c r="A28" s="28" t="s">
        <v>58</v>
      </c>
      <c r="B28" s="34">
        <f>IFERROR(VLOOKUP($A28,Pivot!$A:$I,1+MATCH(B$3,Pivot!$B$4:$I$4,0),FALSE),0)</f>
        <v>0</v>
      </c>
      <c r="C28" s="34">
        <f>IFERROR(VLOOKUP($A28,Pivot!$A:$I,1+MATCH(C$3,Pivot!$B$4:$I$4,0),FALSE),0)</f>
        <v>0</v>
      </c>
      <c r="D28" s="34">
        <f>IFERROR(VLOOKUP($A28,Pivot!$A:$I,1+MATCH(D$3,Pivot!$B$4:$I$4,0),FALSE),0)</f>
        <v>1</v>
      </c>
      <c r="E28" s="34">
        <f>IFERROR(VLOOKUP($A28,Pivot!$A:$I,1+MATCH(E$3,Pivot!$B$4:$I$4,0),FALSE),0)</f>
        <v>0</v>
      </c>
      <c r="F28" s="34">
        <f>IFERROR(VLOOKUP($A28,Pivot!$A:$I,1+MATCH(F$3,Pivot!$B$4:$I$4,0),FALSE),0)</f>
        <v>0</v>
      </c>
      <c r="G28" s="34">
        <f>IFERROR(VLOOKUP($A28,Pivot!$A:$I,1+MATCH(G$3,Pivot!$B$4:$I$4,0),FALSE),0)</f>
        <v>0</v>
      </c>
      <c r="H28" s="34">
        <f>IFERROR(VLOOKUP($A28,Pivot!$A:$I,1+MATCH(H$3,Pivot!$B$4:$I$4,0),FALSE),0)</f>
        <v>0</v>
      </c>
      <c r="I28" s="34">
        <f>IFERROR(VLOOKUP($A28,Pivot!$A:$I,1+MATCH(I$3,Pivot!$B$4:$I$4,0),FALSE),0)</f>
        <v>0</v>
      </c>
      <c r="J28" s="34">
        <f>IFERROR(VLOOKUP($A28,Pivot!$A:$I,1+MATCH(J$3,Pivot!$B$4:$I$4,0),FALSE),0)</f>
        <v>0</v>
      </c>
      <c r="K28" s="34">
        <f>IFERROR(VLOOKUP($A28,Pivot!$A:$I,1+MATCH(K$3,Pivot!$B$4:$I$4,0),FALSE),0)</f>
        <v>0</v>
      </c>
      <c r="L28" s="34">
        <f>IFERROR(VLOOKUP($A28,Pivot!$A:$I,1+MATCH(L$3,Pivot!$B$4:$I$4,0),FALSE),0)</f>
        <v>0</v>
      </c>
      <c r="M28" s="34">
        <f>IFERROR(VLOOKUP($A28,Pivot!$A:$I,1+MATCH(M$3,Pivot!$B$4:$I$4,0),FALSE),0)</f>
        <v>0</v>
      </c>
      <c r="N28" s="34">
        <f t="shared" ref="N28:N60" si="10">SUM(B28:M28)</f>
        <v>1</v>
      </c>
    </row>
    <row r="29" spans="1:16" x14ac:dyDescent="0.25">
      <c r="A29" s="28" t="s">
        <v>666</v>
      </c>
      <c r="B29" s="34">
        <f>IFERROR(VLOOKUP($A29,Pivot!$A:$I,1+MATCH(B$3,Pivot!$B$4:$I$4,0),FALSE),0)</f>
        <v>0</v>
      </c>
      <c r="C29" s="34">
        <f>IFERROR(VLOOKUP($A29,Pivot!$A:$I,1+MATCH(C$3,Pivot!$B$4:$I$4,0),FALSE),0)</f>
        <v>0</v>
      </c>
      <c r="D29" s="34">
        <f>IFERROR(VLOOKUP($A29,Pivot!$A:$I,1+MATCH(D$3,Pivot!$B$4:$I$4,0),FALSE),0)</f>
        <v>2</v>
      </c>
      <c r="E29" s="34">
        <f>IFERROR(VLOOKUP($A29,Pivot!$A:$I,1+MATCH(E$3,Pivot!$B$4:$I$4,0),FALSE),0)</f>
        <v>0</v>
      </c>
      <c r="F29" s="34">
        <f>IFERROR(VLOOKUP($A29,Pivot!$A:$I,1+MATCH(F$3,Pivot!$B$4:$I$4,0),FALSE),0)</f>
        <v>0</v>
      </c>
      <c r="G29" s="34">
        <f>IFERROR(VLOOKUP($A29,Pivot!$A:$I,1+MATCH(G$3,Pivot!$B$4:$I$4,0),FALSE),0)</f>
        <v>0</v>
      </c>
      <c r="H29" s="34">
        <f>IFERROR(VLOOKUP($A29,Pivot!$A:$I,1+MATCH(H$3,Pivot!$B$4:$I$4,0),FALSE),0)</f>
        <v>0</v>
      </c>
      <c r="I29" s="34">
        <f>IFERROR(VLOOKUP($A29,Pivot!$A:$I,1+MATCH(I$3,Pivot!$B$4:$I$4,0),FALSE),0)</f>
        <v>0</v>
      </c>
      <c r="J29" s="34">
        <f>IFERROR(VLOOKUP($A29,Pivot!$A:$I,1+MATCH(J$3,Pivot!$B$4:$I$4,0),FALSE),0)</f>
        <v>0</v>
      </c>
      <c r="K29" s="34">
        <f>IFERROR(VLOOKUP($A29,Pivot!$A:$I,1+MATCH(K$3,Pivot!$B$4:$I$4,0),FALSE),0)</f>
        <v>0</v>
      </c>
      <c r="L29" s="34">
        <f>IFERROR(VLOOKUP($A29,Pivot!$A:$I,1+MATCH(L$3,Pivot!$B$4:$I$4,0),FALSE),0)</f>
        <v>0</v>
      </c>
      <c r="M29" s="34">
        <f>IFERROR(VLOOKUP($A29,Pivot!$A:$I,1+MATCH(M$3,Pivot!$B$4:$I$4,0),FALSE),0)</f>
        <v>0</v>
      </c>
      <c r="N29" s="34">
        <f t="shared" si="10"/>
        <v>2</v>
      </c>
    </row>
    <row r="30" spans="1:16" x14ac:dyDescent="0.25">
      <c r="A30" s="28" t="s">
        <v>667</v>
      </c>
      <c r="B30" s="34">
        <f>IFERROR(VLOOKUP($A30,Pivot!$A:$I,1+MATCH(B$3,Pivot!$B$4:$I$4,0),FALSE),0)</f>
        <v>0</v>
      </c>
      <c r="C30" s="34">
        <f>IFERROR(VLOOKUP($A30,Pivot!$A:$I,1+MATCH(C$3,Pivot!$B$4:$I$4,0),FALSE),0)</f>
        <v>0</v>
      </c>
      <c r="D30" s="34">
        <f>IFERROR(VLOOKUP($A30,Pivot!$A:$I,1+MATCH(D$3,Pivot!$B$4:$I$4,0),FALSE),0)</f>
        <v>1</v>
      </c>
      <c r="E30" s="34">
        <f>IFERROR(VLOOKUP($A30,Pivot!$A:$I,1+MATCH(E$3,Pivot!$B$4:$I$4,0),FALSE),0)</f>
        <v>0</v>
      </c>
      <c r="F30" s="34">
        <f>IFERROR(VLOOKUP($A30,Pivot!$A:$I,1+MATCH(F$3,Pivot!$B$4:$I$4,0),FALSE),0)</f>
        <v>0</v>
      </c>
      <c r="G30" s="34">
        <f>IFERROR(VLOOKUP($A30,Pivot!$A:$I,1+MATCH(G$3,Pivot!$B$4:$I$4,0),FALSE),0)</f>
        <v>0</v>
      </c>
      <c r="H30" s="34">
        <f>IFERROR(VLOOKUP($A30,Pivot!$A:$I,1+MATCH(H$3,Pivot!$B$4:$I$4,0),FALSE),0)</f>
        <v>0</v>
      </c>
      <c r="I30" s="34">
        <f>IFERROR(VLOOKUP($A30,Pivot!$A:$I,1+MATCH(I$3,Pivot!$B$4:$I$4,0),FALSE),0)</f>
        <v>0</v>
      </c>
      <c r="J30" s="34">
        <f>IFERROR(VLOOKUP($A30,Pivot!$A:$I,1+MATCH(J$3,Pivot!$B$4:$I$4,0),FALSE),0)</f>
        <v>0</v>
      </c>
      <c r="K30" s="34">
        <f>IFERROR(VLOOKUP($A30,Pivot!$A:$I,1+MATCH(K$3,Pivot!$B$4:$I$4,0),FALSE),0)</f>
        <v>0</v>
      </c>
      <c r="L30" s="34">
        <f>IFERROR(VLOOKUP($A30,Pivot!$A:$I,1+MATCH(L$3,Pivot!$B$4:$I$4,0),FALSE),0)</f>
        <v>0</v>
      </c>
      <c r="M30" s="34">
        <f>IFERROR(VLOOKUP($A30,Pivot!$A:$I,1+MATCH(M$3,Pivot!$B$4:$I$4,0),FALSE),0)</f>
        <v>0</v>
      </c>
      <c r="N30" s="34">
        <f t="shared" si="10"/>
        <v>1</v>
      </c>
    </row>
    <row r="31" spans="1:16" x14ac:dyDescent="0.25">
      <c r="A31" s="28" t="s">
        <v>668</v>
      </c>
      <c r="B31" s="34">
        <f>IFERROR(VLOOKUP($A31,Pivot!$A:$I,1+MATCH(B$3,Pivot!$B$4:$I$4,0),FALSE),0)</f>
        <v>0</v>
      </c>
      <c r="C31" s="34">
        <f>IFERROR(VLOOKUP($A31,Pivot!$A:$I,1+MATCH(C$3,Pivot!$B$4:$I$4,0),FALSE),0)</f>
        <v>0</v>
      </c>
      <c r="D31" s="34">
        <f>IFERROR(VLOOKUP($A31,Pivot!$A:$I,1+MATCH(D$3,Pivot!$B$4:$I$4,0),FALSE),0)</f>
        <v>1</v>
      </c>
      <c r="E31" s="34">
        <f>IFERROR(VLOOKUP($A31,Pivot!$A:$I,1+MATCH(E$3,Pivot!$B$4:$I$4,0),FALSE),0)</f>
        <v>0</v>
      </c>
      <c r="F31" s="34">
        <f>IFERROR(VLOOKUP($A31,Pivot!$A:$I,1+MATCH(F$3,Pivot!$B$4:$I$4,0),FALSE),0)</f>
        <v>1</v>
      </c>
      <c r="G31" s="34">
        <f>IFERROR(VLOOKUP($A31,Pivot!$A:$I,1+MATCH(G$3,Pivot!$B$4:$I$4,0),FALSE),0)</f>
        <v>0</v>
      </c>
      <c r="H31" s="34">
        <f>IFERROR(VLOOKUP($A31,Pivot!$A:$I,1+MATCH(H$3,Pivot!$B$4:$I$4,0),FALSE),0)</f>
        <v>0</v>
      </c>
      <c r="I31" s="34">
        <f>IFERROR(VLOOKUP($A31,Pivot!$A:$I,1+MATCH(I$3,Pivot!$B$4:$I$4,0),FALSE),0)</f>
        <v>0</v>
      </c>
      <c r="J31" s="34">
        <f>IFERROR(VLOOKUP($A31,Pivot!$A:$I,1+MATCH(J$3,Pivot!$B$4:$I$4,0),FALSE),0)</f>
        <v>0</v>
      </c>
      <c r="K31" s="34">
        <f>IFERROR(VLOOKUP($A31,Pivot!$A:$I,1+MATCH(K$3,Pivot!$B$4:$I$4,0),FALSE),0)</f>
        <v>0</v>
      </c>
      <c r="L31" s="34">
        <f>IFERROR(VLOOKUP($A31,Pivot!$A:$I,1+MATCH(L$3,Pivot!$B$4:$I$4,0),FALSE),0)</f>
        <v>0</v>
      </c>
      <c r="M31" s="34">
        <f>IFERROR(VLOOKUP($A31,Pivot!$A:$I,1+MATCH(M$3,Pivot!$B$4:$I$4,0),FALSE),0)</f>
        <v>0</v>
      </c>
      <c r="N31" s="34">
        <f t="shared" si="10"/>
        <v>2</v>
      </c>
    </row>
    <row r="32" spans="1:16" x14ac:dyDescent="0.25">
      <c r="A32" s="28" t="s">
        <v>669</v>
      </c>
      <c r="B32" s="34">
        <f>IFERROR(VLOOKUP($A32,Pivot!$A:$I,1+MATCH(B$3,Pivot!$B$4:$I$4,0),FALSE),0)</f>
        <v>0</v>
      </c>
      <c r="C32" s="34">
        <f>IFERROR(VLOOKUP($A32,Pivot!$A:$I,1+MATCH(C$3,Pivot!$B$4:$I$4,0),FALSE),0)</f>
        <v>0</v>
      </c>
      <c r="D32" s="34">
        <f>IFERROR(VLOOKUP($A32,Pivot!$A:$I,1+MATCH(D$3,Pivot!$B$4:$I$4,0),FALSE),0)</f>
        <v>1</v>
      </c>
      <c r="E32" s="34">
        <f>IFERROR(VLOOKUP($A32,Pivot!$A:$I,1+MATCH(E$3,Pivot!$B$4:$I$4,0),FALSE),0)</f>
        <v>0</v>
      </c>
      <c r="F32" s="34">
        <f>IFERROR(VLOOKUP($A32,Pivot!$A:$I,1+MATCH(F$3,Pivot!$B$4:$I$4,0),FALSE),0)</f>
        <v>0</v>
      </c>
      <c r="G32" s="34">
        <f>IFERROR(VLOOKUP($A32,Pivot!$A:$I,1+MATCH(G$3,Pivot!$B$4:$I$4,0),FALSE),0)</f>
        <v>0</v>
      </c>
      <c r="H32" s="34">
        <f>IFERROR(VLOOKUP($A32,Pivot!$A:$I,1+MATCH(H$3,Pivot!$B$4:$I$4,0),FALSE),0)</f>
        <v>0</v>
      </c>
      <c r="I32" s="34">
        <f>IFERROR(VLOOKUP($A32,Pivot!$A:$I,1+MATCH(I$3,Pivot!$B$4:$I$4,0),FALSE),0)</f>
        <v>0</v>
      </c>
      <c r="J32" s="34">
        <f>IFERROR(VLOOKUP($A32,Pivot!$A:$I,1+MATCH(J$3,Pivot!$B$4:$I$4,0),FALSE),0)</f>
        <v>0</v>
      </c>
      <c r="K32" s="34">
        <f>IFERROR(VLOOKUP($A32,Pivot!$A:$I,1+MATCH(K$3,Pivot!$B$4:$I$4,0),FALSE),0)</f>
        <v>0</v>
      </c>
      <c r="L32" s="34">
        <f>IFERROR(VLOOKUP($A32,Pivot!$A:$I,1+MATCH(L$3,Pivot!$B$4:$I$4,0),FALSE),0)</f>
        <v>0</v>
      </c>
      <c r="M32" s="34">
        <f>IFERROR(VLOOKUP($A32,Pivot!$A:$I,1+MATCH(M$3,Pivot!$B$4:$I$4,0),FALSE),0)</f>
        <v>0</v>
      </c>
      <c r="N32" s="34">
        <f t="shared" si="10"/>
        <v>1</v>
      </c>
    </row>
    <row r="33" spans="1:14" x14ac:dyDescent="0.25">
      <c r="A33" s="28" t="s">
        <v>670</v>
      </c>
      <c r="B33" s="34">
        <f>IFERROR(VLOOKUP($A33,Pivot!$A:$I,1+MATCH(B$3,Pivot!$B$4:$I$4,0),FALSE),0)</f>
        <v>0</v>
      </c>
      <c r="C33" s="34">
        <f>IFERROR(VLOOKUP($A33,Pivot!$A:$I,1+MATCH(C$3,Pivot!$B$4:$I$4,0),FALSE),0)</f>
        <v>0</v>
      </c>
      <c r="D33" s="34">
        <f>IFERROR(VLOOKUP($A33,Pivot!$A:$I,1+MATCH(D$3,Pivot!$B$4:$I$4,0),FALSE),0)</f>
        <v>0</v>
      </c>
      <c r="E33" s="34">
        <f>IFERROR(VLOOKUP($A33,Pivot!$A:$I,1+MATCH(E$3,Pivot!$B$4:$I$4,0),FALSE),0)</f>
        <v>0</v>
      </c>
      <c r="F33" s="34">
        <f>IFERROR(VLOOKUP($A33,Pivot!$A:$I,1+MATCH(F$3,Pivot!$B$4:$I$4,0),FALSE),0)</f>
        <v>0</v>
      </c>
      <c r="G33" s="34">
        <f>IFERROR(VLOOKUP($A33,Pivot!$A:$I,1+MATCH(G$3,Pivot!$B$4:$I$4,0),FALSE),0)</f>
        <v>0</v>
      </c>
      <c r="H33" s="34">
        <f>IFERROR(VLOOKUP($A33,Pivot!$A:$I,1+MATCH(H$3,Pivot!$B$4:$I$4,0),FALSE),0)</f>
        <v>0</v>
      </c>
      <c r="I33" s="34">
        <f>IFERROR(VLOOKUP($A33,Pivot!$A:$I,1+MATCH(I$3,Pivot!$B$4:$I$4,0),FALSE),0)</f>
        <v>0</v>
      </c>
      <c r="J33" s="34">
        <f>IFERROR(VLOOKUP($A33,Pivot!$A:$I,1+MATCH(J$3,Pivot!$B$4:$I$4,0),FALSE),0)</f>
        <v>0</v>
      </c>
      <c r="K33" s="34">
        <f>IFERROR(VLOOKUP($A33,Pivot!$A:$I,1+MATCH(K$3,Pivot!$B$4:$I$4,0),FALSE),0)</f>
        <v>0</v>
      </c>
      <c r="L33" s="34">
        <f>IFERROR(VLOOKUP($A33,Pivot!$A:$I,1+MATCH(L$3,Pivot!$B$4:$I$4,0),FALSE),0)</f>
        <v>0</v>
      </c>
      <c r="M33" s="34">
        <f>IFERROR(VLOOKUP($A33,Pivot!$A:$I,1+MATCH(M$3,Pivot!$B$4:$I$4,0),FALSE),0)</f>
        <v>0</v>
      </c>
      <c r="N33" s="34">
        <f t="shared" si="10"/>
        <v>0</v>
      </c>
    </row>
    <row r="34" spans="1:14" x14ac:dyDescent="0.25">
      <c r="A34" s="28" t="s">
        <v>671</v>
      </c>
      <c r="B34" s="34">
        <f>IFERROR(VLOOKUP($A34,Pivot!$A:$I,1+MATCH(B$3,Pivot!$B$4:$I$4,0),FALSE),0)</f>
        <v>0</v>
      </c>
      <c r="C34" s="34">
        <f>IFERROR(VLOOKUP($A34,Pivot!$A:$I,1+MATCH(C$3,Pivot!$B$4:$I$4,0),FALSE),0)</f>
        <v>0</v>
      </c>
      <c r="D34" s="34">
        <f>IFERROR(VLOOKUP($A34,Pivot!$A:$I,1+MATCH(D$3,Pivot!$B$4:$I$4,0),FALSE),0)</f>
        <v>0</v>
      </c>
      <c r="E34" s="34">
        <f>IFERROR(VLOOKUP($A34,Pivot!$A:$I,1+MATCH(E$3,Pivot!$B$4:$I$4,0),FALSE),0)</f>
        <v>0</v>
      </c>
      <c r="F34" s="34">
        <f>IFERROR(VLOOKUP($A34,Pivot!$A:$I,1+MATCH(F$3,Pivot!$B$4:$I$4,0),FALSE),0)</f>
        <v>0</v>
      </c>
      <c r="G34" s="34">
        <f>IFERROR(VLOOKUP($A34,Pivot!$A:$I,1+MATCH(G$3,Pivot!$B$4:$I$4,0),FALSE),0)</f>
        <v>0</v>
      </c>
      <c r="H34" s="34">
        <f>IFERROR(VLOOKUP($A34,Pivot!$A:$I,1+MATCH(H$3,Pivot!$B$4:$I$4,0),FALSE),0)</f>
        <v>0</v>
      </c>
      <c r="I34" s="34">
        <f>IFERROR(VLOOKUP($A34,Pivot!$A:$I,1+MATCH(I$3,Pivot!$B$4:$I$4,0),FALSE),0)</f>
        <v>0</v>
      </c>
      <c r="J34" s="34">
        <f>IFERROR(VLOOKUP($A34,Pivot!$A:$I,1+MATCH(J$3,Pivot!$B$4:$I$4,0),FALSE),0)</f>
        <v>0</v>
      </c>
      <c r="K34" s="34">
        <f>IFERROR(VLOOKUP($A34,Pivot!$A:$I,1+MATCH(K$3,Pivot!$B$4:$I$4,0),FALSE),0)</f>
        <v>0</v>
      </c>
      <c r="L34" s="34">
        <f>IFERROR(VLOOKUP($A34,Pivot!$A:$I,1+MATCH(L$3,Pivot!$B$4:$I$4,0),FALSE),0)</f>
        <v>0</v>
      </c>
      <c r="M34" s="34">
        <f>IFERROR(VLOOKUP($A34,Pivot!$A:$I,1+MATCH(M$3,Pivot!$B$4:$I$4,0),FALSE),0)</f>
        <v>0</v>
      </c>
      <c r="N34" s="34">
        <f t="shared" si="10"/>
        <v>0</v>
      </c>
    </row>
    <row r="35" spans="1:14" x14ac:dyDescent="0.25">
      <c r="A35" s="28" t="s">
        <v>672</v>
      </c>
      <c r="B35" s="34">
        <f>IFERROR(VLOOKUP($A35,Pivot!$A:$I,1+MATCH(B$3,Pivot!$B$4:$I$4,0),FALSE),0)</f>
        <v>0</v>
      </c>
      <c r="C35" s="34">
        <f>IFERROR(VLOOKUP($A35,Pivot!$A:$I,1+MATCH(C$3,Pivot!$B$4:$I$4,0),FALSE),0)</f>
        <v>0</v>
      </c>
      <c r="D35" s="34">
        <f>IFERROR(VLOOKUP($A35,Pivot!$A:$I,1+MATCH(D$3,Pivot!$B$4:$I$4,0),FALSE),0)</f>
        <v>2</v>
      </c>
      <c r="E35" s="34">
        <f>IFERROR(VLOOKUP($A35,Pivot!$A:$I,1+MATCH(E$3,Pivot!$B$4:$I$4,0),FALSE),0)</f>
        <v>0</v>
      </c>
      <c r="F35" s="34">
        <f>IFERROR(VLOOKUP($A35,Pivot!$A:$I,1+MATCH(F$3,Pivot!$B$4:$I$4,0),FALSE),0)</f>
        <v>0</v>
      </c>
      <c r="G35" s="34">
        <f>IFERROR(VLOOKUP($A35,Pivot!$A:$I,1+MATCH(G$3,Pivot!$B$4:$I$4,0),FALSE),0)</f>
        <v>0</v>
      </c>
      <c r="H35" s="34">
        <f>IFERROR(VLOOKUP($A35,Pivot!$A:$I,1+MATCH(H$3,Pivot!$B$4:$I$4,0),FALSE),0)</f>
        <v>0</v>
      </c>
      <c r="I35" s="34">
        <f>IFERROR(VLOOKUP($A35,Pivot!$A:$I,1+MATCH(I$3,Pivot!$B$4:$I$4,0),FALSE),0)</f>
        <v>0</v>
      </c>
      <c r="J35" s="34">
        <f>IFERROR(VLOOKUP($A35,Pivot!$A:$I,1+MATCH(J$3,Pivot!$B$4:$I$4,0),FALSE),0)</f>
        <v>0</v>
      </c>
      <c r="K35" s="34">
        <f>IFERROR(VLOOKUP($A35,Pivot!$A:$I,1+MATCH(K$3,Pivot!$B$4:$I$4,0),FALSE),0)</f>
        <v>0</v>
      </c>
      <c r="L35" s="34">
        <f>IFERROR(VLOOKUP($A35,Pivot!$A:$I,1+MATCH(L$3,Pivot!$B$4:$I$4,0),FALSE),0)</f>
        <v>0</v>
      </c>
      <c r="M35" s="34">
        <f>IFERROR(VLOOKUP($A35,Pivot!$A:$I,1+MATCH(M$3,Pivot!$B$4:$I$4,0),FALSE),0)</f>
        <v>0</v>
      </c>
      <c r="N35" s="34">
        <f t="shared" si="10"/>
        <v>2</v>
      </c>
    </row>
    <row r="36" spans="1:14" x14ac:dyDescent="0.25">
      <c r="A36" s="28" t="s">
        <v>673</v>
      </c>
      <c r="B36" s="34">
        <f>IFERROR(VLOOKUP($A36,Pivot!$A:$I,1+MATCH(B$3,Pivot!$B$4:$I$4,0),FALSE),0)</f>
        <v>0</v>
      </c>
      <c r="C36" s="34">
        <f>IFERROR(VLOOKUP($A36,Pivot!$A:$I,1+MATCH(C$3,Pivot!$B$4:$I$4,0),FALSE),0)</f>
        <v>0</v>
      </c>
      <c r="D36" s="34">
        <f>IFERROR(VLOOKUP($A36,Pivot!$A:$I,1+MATCH(D$3,Pivot!$B$4:$I$4,0),FALSE),0)</f>
        <v>1</v>
      </c>
      <c r="E36" s="34">
        <f>IFERROR(VLOOKUP($A36,Pivot!$A:$I,1+MATCH(E$3,Pivot!$B$4:$I$4,0),FALSE),0)</f>
        <v>0</v>
      </c>
      <c r="F36" s="34">
        <f>IFERROR(VLOOKUP($A36,Pivot!$A:$I,1+MATCH(F$3,Pivot!$B$4:$I$4,0),FALSE),0)</f>
        <v>1</v>
      </c>
      <c r="G36" s="34">
        <f>IFERROR(VLOOKUP($A36,Pivot!$A:$I,1+MATCH(G$3,Pivot!$B$4:$I$4,0),FALSE),0)</f>
        <v>0</v>
      </c>
      <c r="H36" s="34">
        <f>IFERROR(VLOOKUP($A36,Pivot!$A:$I,1+MATCH(H$3,Pivot!$B$4:$I$4,0),FALSE),0)</f>
        <v>0</v>
      </c>
      <c r="I36" s="34">
        <f>IFERROR(VLOOKUP($A36,Pivot!$A:$I,1+MATCH(I$3,Pivot!$B$4:$I$4,0),FALSE),0)</f>
        <v>0</v>
      </c>
      <c r="J36" s="34">
        <f>IFERROR(VLOOKUP($A36,Pivot!$A:$I,1+MATCH(J$3,Pivot!$B$4:$I$4,0),FALSE),0)</f>
        <v>0</v>
      </c>
      <c r="K36" s="34">
        <f>IFERROR(VLOOKUP($A36,Pivot!$A:$I,1+MATCH(K$3,Pivot!$B$4:$I$4,0),FALSE),0)</f>
        <v>0</v>
      </c>
      <c r="L36" s="34">
        <f>IFERROR(VLOOKUP($A36,Pivot!$A:$I,1+MATCH(L$3,Pivot!$B$4:$I$4,0),FALSE),0)</f>
        <v>0</v>
      </c>
      <c r="M36" s="34">
        <f>IFERROR(VLOOKUP($A36,Pivot!$A:$I,1+MATCH(M$3,Pivot!$B$4:$I$4,0),FALSE),0)</f>
        <v>0</v>
      </c>
      <c r="N36" s="34">
        <f t="shared" si="10"/>
        <v>2</v>
      </c>
    </row>
    <row r="37" spans="1:14" x14ac:dyDescent="0.25">
      <c r="A37" s="28" t="s">
        <v>611</v>
      </c>
      <c r="B37" s="34">
        <f>IFERROR(VLOOKUP($A37,Pivot!$A:$I,1+MATCH(B$3,Pivot!$B$4:$I$4,0),FALSE),0)</f>
        <v>0</v>
      </c>
      <c r="C37" s="34">
        <f>IFERROR(VLOOKUP($A37,Pivot!$A:$I,1+MATCH(C$3,Pivot!$B$4:$I$4,0),FALSE),0)</f>
        <v>0</v>
      </c>
      <c r="D37" s="34">
        <f>IFERROR(VLOOKUP($A37,Pivot!$A:$I,1+MATCH(D$3,Pivot!$B$4:$I$4,0),FALSE),0)</f>
        <v>4</v>
      </c>
      <c r="E37" s="34">
        <f>IFERROR(VLOOKUP($A37,Pivot!$A:$I,1+MATCH(E$3,Pivot!$B$4:$I$4,0),FALSE),0)</f>
        <v>0</v>
      </c>
      <c r="F37" s="34">
        <f>IFERROR(VLOOKUP($A37,Pivot!$A:$I,1+MATCH(F$3,Pivot!$B$4:$I$4,0),FALSE),0)</f>
        <v>0</v>
      </c>
      <c r="G37" s="34">
        <f>IFERROR(VLOOKUP($A37,Pivot!$A:$I,1+MATCH(G$3,Pivot!$B$4:$I$4,0),FALSE),0)</f>
        <v>0</v>
      </c>
      <c r="H37" s="34">
        <f>IFERROR(VLOOKUP($A37,Pivot!$A:$I,1+MATCH(H$3,Pivot!$B$4:$I$4,0),FALSE),0)</f>
        <v>0</v>
      </c>
      <c r="I37" s="34">
        <f>IFERROR(VLOOKUP($A37,Pivot!$A:$I,1+MATCH(I$3,Pivot!$B$4:$I$4,0),FALSE),0)</f>
        <v>0</v>
      </c>
      <c r="J37" s="34">
        <f>IFERROR(VLOOKUP($A37,Pivot!$A:$I,1+MATCH(J$3,Pivot!$B$4:$I$4,0),FALSE),0)</f>
        <v>0</v>
      </c>
      <c r="K37" s="34">
        <f>IFERROR(VLOOKUP($A37,Pivot!$A:$I,1+MATCH(K$3,Pivot!$B$4:$I$4,0),FALSE),0)</f>
        <v>0</v>
      </c>
      <c r="L37" s="34">
        <f>IFERROR(VLOOKUP($A37,Pivot!$A:$I,1+MATCH(L$3,Pivot!$B$4:$I$4,0),FALSE),0)</f>
        <v>0</v>
      </c>
      <c r="M37" s="34">
        <f>IFERROR(VLOOKUP($A37,Pivot!$A:$I,1+MATCH(M$3,Pivot!$B$4:$I$4,0),FALSE),0)</f>
        <v>0</v>
      </c>
      <c r="N37" s="34">
        <f t="shared" si="10"/>
        <v>4</v>
      </c>
    </row>
    <row r="38" spans="1:14" x14ac:dyDescent="0.25">
      <c r="A38" s="28" t="s">
        <v>674</v>
      </c>
      <c r="B38" s="34">
        <f>IFERROR(VLOOKUP($A38,Pivot!$A:$I,1+MATCH(B$3,Pivot!$B$4:$I$4,0),FALSE),0)</f>
        <v>0</v>
      </c>
      <c r="C38" s="34">
        <f>IFERROR(VLOOKUP($A38,Pivot!$A:$I,1+MATCH(C$3,Pivot!$B$4:$I$4,0),FALSE),0)</f>
        <v>0</v>
      </c>
      <c r="D38" s="34">
        <f>IFERROR(VLOOKUP($A38,Pivot!$A:$I,1+MATCH(D$3,Pivot!$B$4:$I$4,0),FALSE),0)</f>
        <v>0</v>
      </c>
      <c r="E38" s="34">
        <f>IFERROR(VLOOKUP($A38,Pivot!$A:$I,1+MATCH(E$3,Pivot!$B$4:$I$4,0),FALSE),0)</f>
        <v>0</v>
      </c>
      <c r="F38" s="34">
        <f>IFERROR(VLOOKUP($A38,Pivot!$A:$I,1+MATCH(F$3,Pivot!$B$4:$I$4,0),FALSE),0)</f>
        <v>0</v>
      </c>
      <c r="G38" s="34">
        <f>IFERROR(VLOOKUP($A38,Pivot!$A:$I,1+MATCH(G$3,Pivot!$B$4:$I$4,0),FALSE),0)</f>
        <v>0</v>
      </c>
      <c r="H38" s="34">
        <f>IFERROR(VLOOKUP($A38,Pivot!$A:$I,1+MATCH(H$3,Pivot!$B$4:$I$4,0),FALSE),0)</f>
        <v>0</v>
      </c>
      <c r="I38" s="34">
        <f>IFERROR(VLOOKUP($A38,Pivot!$A:$I,1+MATCH(I$3,Pivot!$B$4:$I$4,0),FALSE),0)</f>
        <v>0</v>
      </c>
      <c r="J38" s="34">
        <f>IFERROR(VLOOKUP($A38,Pivot!$A:$I,1+MATCH(J$3,Pivot!$B$4:$I$4,0),FALSE),0)</f>
        <v>0</v>
      </c>
      <c r="K38" s="34">
        <f>IFERROR(VLOOKUP($A38,Pivot!$A:$I,1+MATCH(K$3,Pivot!$B$4:$I$4,0),FALSE),0)</f>
        <v>0</v>
      </c>
      <c r="L38" s="34">
        <f>IFERROR(VLOOKUP($A38,Pivot!$A:$I,1+MATCH(L$3,Pivot!$B$4:$I$4,0),FALSE),0)</f>
        <v>0</v>
      </c>
      <c r="M38" s="34">
        <f>IFERROR(VLOOKUP($A38,Pivot!$A:$I,1+MATCH(M$3,Pivot!$B$4:$I$4,0),FALSE),0)</f>
        <v>0</v>
      </c>
      <c r="N38" s="34">
        <f t="shared" si="10"/>
        <v>0</v>
      </c>
    </row>
    <row r="39" spans="1:14" x14ac:dyDescent="0.25">
      <c r="A39" s="28" t="s">
        <v>675</v>
      </c>
      <c r="B39" s="34">
        <f>IFERROR(VLOOKUP($A39,Pivot!$A:$I,1+MATCH(B$3,Pivot!$B$4:$I$4,0),FALSE),0)</f>
        <v>0</v>
      </c>
      <c r="C39" s="34">
        <f>IFERROR(VLOOKUP($A39,Pivot!$A:$I,1+MATCH(C$3,Pivot!$B$4:$I$4,0),FALSE),0)</f>
        <v>0</v>
      </c>
      <c r="D39" s="34">
        <f>IFERROR(VLOOKUP($A39,Pivot!$A:$I,1+MATCH(D$3,Pivot!$B$4:$I$4,0),FALSE),0)</f>
        <v>1</v>
      </c>
      <c r="E39" s="34">
        <f>IFERROR(VLOOKUP($A39,Pivot!$A:$I,1+MATCH(E$3,Pivot!$B$4:$I$4,0),FALSE),0)</f>
        <v>0</v>
      </c>
      <c r="F39" s="34">
        <f>IFERROR(VLOOKUP($A39,Pivot!$A:$I,1+MATCH(F$3,Pivot!$B$4:$I$4,0),FALSE),0)</f>
        <v>0</v>
      </c>
      <c r="G39" s="34">
        <f>IFERROR(VLOOKUP($A39,Pivot!$A:$I,1+MATCH(G$3,Pivot!$B$4:$I$4,0),FALSE),0)</f>
        <v>0</v>
      </c>
      <c r="H39" s="34">
        <f>IFERROR(VLOOKUP($A39,Pivot!$A:$I,1+MATCH(H$3,Pivot!$B$4:$I$4,0),FALSE),0)</f>
        <v>0</v>
      </c>
      <c r="I39" s="34">
        <f>IFERROR(VLOOKUP($A39,Pivot!$A:$I,1+MATCH(I$3,Pivot!$B$4:$I$4,0),FALSE),0)</f>
        <v>0</v>
      </c>
      <c r="J39" s="34">
        <f>IFERROR(VLOOKUP($A39,Pivot!$A:$I,1+MATCH(J$3,Pivot!$B$4:$I$4,0),FALSE),0)</f>
        <v>0</v>
      </c>
      <c r="K39" s="34">
        <f>IFERROR(VLOOKUP($A39,Pivot!$A:$I,1+MATCH(K$3,Pivot!$B$4:$I$4,0),FALSE),0)</f>
        <v>0</v>
      </c>
      <c r="L39" s="34">
        <f>IFERROR(VLOOKUP($A39,Pivot!$A:$I,1+MATCH(L$3,Pivot!$B$4:$I$4,0),FALSE),0)</f>
        <v>0</v>
      </c>
      <c r="M39" s="34">
        <f>IFERROR(VLOOKUP($A39,Pivot!$A:$I,1+MATCH(M$3,Pivot!$B$4:$I$4,0),FALSE),0)</f>
        <v>0</v>
      </c>
      <c r="N39" s="34">
        <f t="shared" si="10"/>
        <v>1</v>
      </c>
    </row>
    <row r="40" spans="1:14" x14ac:dyDescent="0.25">
      <c r="A40" s="28" t="s">
        <v>676</v>
      </c>
      <c r="B40" s="34">
        <f>IFERROR(VLOOKUP($A40,Pivot!$A:$I,1+MATCH(B$3,Pivot!$B$4:$I$4,0),FALSE),0)</f>
        <v>0</v>
      </c>
      <c r="C40" s="34">
        <f>IFERROR(VLOOKUP($A40,Pivot!$A:$I,1+MATCH(C$3,Pivot!$B$4:$I$4,0),FALSE),0)</f>
        <v>0</v>
      </c>
      <c r="D40" s="34">
        <f>IFERROR(VLOOKUP($A40,Pivot!$A:$I,1+MATCH(D$3,Pivot!$B$4:$I$4,0),FALSE),0)</f>
        <v>1</v>
      </c>
      <c r="E40" s="34">
        <f>IFERROR(VLOOKUP($A40,Pivot!$A:$I,1+MATCH(E$3,Pivot!$B$4:$I$4,0),FALSE),0)</f>
        <v>0</v>
      </c>
      <c r="F40" s="34">
        <f>IFERROR(VLOOKUP($A40,Pivot!$A:$I,1+MATCH(F$3,Pivot!$B$4:$I$4,0),FALSE),0)</f>
        <v>0</v>
      </c>
      <c r="G40" s="34">
        <f>IFERROR(VLOOKUP($A40,Pivot!$A:$I,1+MATCH(G$3,Pivot!$B$4:$I$4,0),FALSE),0)</f>
        <v>0</v>
      </c>
      <c r="H40" s="34">
        <f>IFERROR(VLOOKUP($A40,Pivot!$A:$I,1+MATCH(H$3,Pivot!$B$4:$I$4,0),FALSE),0)</f>
        <v>0</v>
      </c>
      <c r="I40" s="34">
        <f>IFERROR(VLOOKUP($A40,Pivot!$A:$I,1+MATCH(I$3,Pivot!$B$4:$I$4,0),FALSE),0)</f>
        <v>0</v>
      </c>
      <c r="J40" s="34">
        <f>IFERROR(VLOOKUP($A40,Pivot!$A:$I,1+MATCH(J$3,Pivot!$B$4:$I$4,0),FALSE),0)</f>
        <v>0</v>
      </c>
      <c r="K40" s="34">
        <f>IFERROR(VLOOKUP($A40,Pivot!$A:$I,1+MATCH(K$3,Pivot!$B$4:$I$4,0),FALSE),0)</f>
        <v>0</v>
      </c>
      <c r="L40" s="34">
        <f>IFERROR(VLOOKUP($A40,Pivot!$A:$I,1+MATCH(L$3,Pivot!$B$4:$I$4,0),FALSE),0)</f>
        <v>0</v>
      </c>
      <c r="M40" s="34">
        <f>IFERROR(VLOOKUP($A40,Pivot!$A:$I,1+MATCH(M$3,Pivot!$B$4:$I$4,0),FALSE),0)</f>
        <v>0</v>
      </c>
      <c r="N40" s="34">
        <f t="shared" si="10"/>
        <v>1</v>
      </c>
    </row>
    <row r="41" spans="1:14" x14ac:dyDescent="0.25">
      <c r="A41" s="28" t="s">
        <v>59</v>
      </c>
      <c r="B41" s="34">
        <f>IFERROR(VLOOKUP($A41,Pivot!$A:$I,1+MATCH(B$3,Pivot!$B$4:$I$4,0),FALSE),0)</f>
        <v>0</v>
      </c>
      <c r="C41" s="34">
        <f>IFERROR(VLOOKUP($A41,Pivot!$A:$I,1+MATCH(C$3,Pivot!$B$4:$I$4,0),FALSE),0)</f>
        <v>0</v>
      </c>
      <c r="D41" s="34">
        <f>IFERROR(VLOOKUP($A41,Pivot!$A:$I,1+MATCH(D$3,Pivot!$B$4:$I$4,0),FALSE),0)</f>
        <v>2</v>
      </c>
      <c r="E41" s="34">
        <f>IFERROR(VLOOKUP($A41,Pivot!$A:$I,1+MATCH(E$3,Pivot!$B$4:$I$4,0),FALSE),0)</f>
        <v>0</v>
      </c>
      <c r="F41" s="34">
        <f>IFERROR(VLOOKUP($A41,Pivot!$A:$I,1+MATCH(F$3,Pivot!$B$4:$I$4,0),FALSE),0)</f>
        <v>0</v>
      </c>
      <c r="G41" s="34">
        <f>IFERROR(VLOOKUP($A41,Pivot!$A:$I,1+MATCH(G$3,Pivot!$B$4:$I$4,0),FALSE),0)</f>
        <v>0</v>
      </c>
      <c r="H41" s="34">
        <f>IFERROR(VLOOKUP($A41,Pivot!$A:$I,1+MATCH(H$3,Pivot!$B$4:$I$4,0),FALSE),0)</f>
        <v>0</v>
      </c>
      <c r="I41" s="34">
        <f>IFERROR(VLOOKUP($A41,Pivot!$A:$I,1+MATCH(I$3,Pivot!$B$4:$I$4,0),FALSE),0)</f>
        <v>0</v>
      </c>
      <c r="J41" s="34">
        <f>IFERROR(VLOOKUP($A41,Pivot!$A:$I,1+MATCH(J$3,Pivot!$B$4:$I$4,0),FALSE),0)</f>
        <v>0</v>
      </c>
      <c r="K41" s="34">
        <f>IFERROR(VLOOKUP($A41,Pivot!$A:$I,1+MATCH(K$3,Pivot!$B$4:$I$4,0),FALSE),0)</f>
        <v>0</v>
      </c>
      <c r="L41" s="34">
        <f>IFERROR(VLOOKUP($A41,Pivot!$A:$I,1+MATCH(L$3,Pivot!$B$4:$I$4,0),FALSE),0)</f>
        <v>0</v>
      </c>
      <c r="M41" s="34">
        <f>IFERROR(VLOOKUP($A41,Pivot!$A:$I,1+MATCH(M$3,Pivot!$B$4:$I$4,0),FALSE),0)</f>
        <v>0</v>
      </c>
      <c r="N41" s="34">
        <f t="shared" si="10"/>
        <v>2</v>
      </c>
    </row>
    <row r="42" spans="1:14" x14ac:dyDescent="0.25">
      <c r="A42" s="28" t="s">
        <v>629</v>
      </c>
      <c r="B42" s="34">
        <f>IFERROR(VLOOKUP($A42,Pivot!$A:$I,1+MATCH(B$3,Pivot!$B$4:$I$4,0),FALSE),0)</f>
        <v>0</v>
      </c>
      <c r="C42" s="34">
        <f>IFERROR(VLOOKUP($A42,Pivot!$A:$I,1+MATCH(C$3,Pivot!$B$4:$I$4,0),FALSE),0)</f>
        <v>0</v>
      </c>
      <c r="D42" s="34">
        <f>IFERROR(VLOOKUP($A42,Pivot!$A:$I,1+MATCH(D$3,Pivot!$B$4:$I$4,0),FALSE),0)</f>
        <v>1</v>
      </c>
      <c r="E42" s="34">
        <f>IFERROR(VLOOKUP($A42,Pivot!$A:$I,1+MATCH(E$3,Pivot!$B$4:$I$4,0),FALSE),0)</f>
        <v>0</v>
      </c>
      <c r="F42" s="34">
        <f>IFERROR(VLOOKUP($A42,Pivot!$A:$I,1+MATCH(F$3,Pivot!$B$4:$I$4,0),FALSE),0)</f>
        <v>0</v>
      </c>
      <c r="G42" s="34">
        <f>IFERROR(VLOOKUP($A42,Pivot!$A:$I,1+MATCH(G$3,Pivot!$B$4:$I$4,0),FALSE),0)</f>
        <v>0</v>
      </c>
      <c r="H42" s="34">
        <f>IFERROR(VLOOKUP($A42,Pivot!$A:$I,1+MATCH(H$3,Pivot!$B$4:$I$4,0),FALSE),0)</f>
        <v>0</v>
      </c>
      <c r="I42" s="34">
        <f>IFERROR(VLOOKUP($A42,Pivot!$A:$I,1+MATCH(I$3,Pivot!$B$4:$I$4,0),FALSE),0)</f>
        <v>0</v>
      </c>
      <c r="J42" s="34">
        <f>IFERROR(VLOOKUP($A42,Pivot!$A:$I,1+MATCH(J$3,Pivot!$B$4:$I$4,0),FALSE),0)</f>
        <v>0</v>
      </c>
      <c r="K42" s="34">
        <f>IFERROR(VLOOKUP($A42,Pivot!$A:$I,1+MATCH(K$3,Pivot!$B$4:$I$4,0),FALSE),0)</f>
        <v>0</v>
      </c>
      <c r="L42" s="34">
        <f>IFERROR(VLOOKUP($A42,Pivot!$A:$I,1+MATCH(L$3,Pivot!$B$4:$I$4,0),FALSE),0)</f>
        <v>0</v>
      </c>
      <c r="M42" s="34">
        <f>IFERROR(VLOOKUP($A42,Pivot!$A:$I,1+MATCH(M$3,Pivot!$B$4:$I$4,0),FALSE),0)</f>
        <v>0</v>
      </c>
      <c r="N42" s="34">
        <f t="shared" si="10"/>
        <v>1</v>
      </c>
    </row>
    <row r="43" spans="1:14" x14ac:dyDescent="0.25">
      <c r="A43" s="28" t="s">
        <v>677</v>
      </c>
      <c r="B43" s="34">
        <f>IFERROR(VLOOKUP($A43,Pivot!$A:$I,1+MATCH(B$3,Pivot!$B$4:$I$4,0),FALSE),0)</f>
        <v>0</v>
      </c>
      <c r="C43" s="34">
        <f>IFERROR(VLOOKUP($A43,Pivot!$A:$I,1+MATCH(C$3,Pivot!$B$4:$I$4,0),FALSE),0)</f>
        <v>0</v>
      </c>
      <c r="D43" s="34">
        <f>IFERROR(VLOOKUP($A43,Pivot!$A:$I,1+MATCH(D$3,Pivot!$B$4:$I$4,0),FALSE),0)</f>
        <v>1</v>
      </c>
      <c r="E43" s="34">
        <f>IFERROR(VLOOKUP($A43,Pivot!$A:$I,1+MATCH(E$3,Pivot!$B$4:$I$4,0),FALSE),0)</f>
        <v>0</v>
      </c>
      <c r="F43" s="34">
        <f>IFERROR(VLOOKUP($A43,Pivot!$A:$I,1+MATCH(F$3,Pivot!$B$4:$I$4,0),FALSE),0)</f>
        <v>0</v>
      </c>
      <c r="G43" s="34">
        <f>IFERROR(VLOOKUP($A43,Pivot!$A:$I,1+MATCH(G$3,Pivot!$B$4:$I$4,0),FALSE),0)</f>
        <v>0</v>
      </c>
      <c r="H43" s="34">
        <f>IFERROR(VLOOKUP($A43,Pivot!$A:$I,1+MATCH(H$3,Pivot!$B$4:$I$4,0),FALSE),0)</f>
        <v>0</v>
      </c>
      <c r="I43" s="34">
        <f>IFERROR(VLOOKUP($A43,Pivot!$A:$I,1+MATCH(I$3,Pivot!$B$4:$I$4,0),FALSE),0)</f>
        <v>0</v>
      </c>
      <c r="J43" s="34">
        <f>IFERROR(VLOOKUP($A43,Pivot!$A:$I,1+MATCH(J$3,Pivot!$B$4:$I$4,0),FALSE),0)</f>
        <v>0</v>
      </c>
      <c r="K43" s="34">
        <f>IFERROR(VLOOKUP($A43,Pivot!$A:$I,1+MATCH(K$3,Pivot!$B$4:$I$4,0),FALSE),0)</f>
        <v>0</v>
      </c>
      <c r="L43" s="34">
        <f>IFERROR(VLOOKUP($A43,Pivot!$A:$I,1+MATCH(L$3,Pivot!$B$4:$I$4,0),FALSE),0)</f>
        <v>0</v>
      </c>
      <c r="M43" s="34">
        <f>IFERROR(VLOOKUP($A43,Pivot!$A:$I,1+MATCH(M$3,Pivot!$B$4:$I$4,0),FALSE),0)</f>
        <v>0</v>
      </c>
      <c r="N43" s="34">
        <f t="shared" si="10"/>
        <v>1</v>
      </c>
    </row>
    <row r="44" spans="1:14" x14ac:dyDescent="0.25">
      <c r="A44" s="28" t="s">
        <v>678</v>
      </c>
      <c r="B44" s="34">
        <f>IFERROR(VLOOKUP($A44,Pivot!$A:$I,1+MATCH(B$3,Pivot!$B$4:$I$4,0),FALSE),0)</f>
        <v>0</v>
      </c>
      <c r="C44" s="34">
        <f>IFERROR(VLOOKUP($A44,Pivot!$A:$I,1+MATCH(C$3,Pivot!$B$4:$I$4,0),FALSE),0)</f>
        <v>0</v>
      </c>
      <c r="D44" s="34">
        <f>IFERROR(VLOOKUP($A44,Pivot!$A:$I,1+MATCH(D$3,Pivot!$B$4:$I$4,0),FALSE),0)</f>
        <v>0</v>
      </c>
      <c r="E44" s="34">
        <f>IFERROR(VLOOKUP($A44,Pivot!$A:$I,1+MATCH(E$3,Pivot!$B$4:$I$4,0),FALSE),0)</f>
        <v>0</v>
      </c>
      <c r="F44" s="34">
        <f>IFERROR(VLOOKUP($A44,Pivot!$A:$I,1+MATCH(F$3,Pivot!$B$4:$I$4,0),FALSE),0)</f>
        <v>0</v>
      </c>
      <c r="G44" s="34">
        <f>IFERROR(VLOOKUP($A44,Pivot!$A:$I,1+MATCH(G$3,Pivot!$B$4:$I$4,0),FALSE),0)</f>
        <v>0</v>
      </c>
      <c r="H44" s="34">
        <f>IFERROR(VLOOKUP($A44,Pivot!$A:$I,1+MATCH(H$3,Pivot!$B$4:$I$4,0),FALSE),0)</f>
        <v>0</v>
      </c>
      <c r="I44" s="34">
        <f>IFERROR(VLOOKUP($A44,Pivot!$A:$I,1+MATCH(I$3,Pivot!$B$4:$I$4,0),FALSE),0)</f>
        <v>0</v>
      </c>
      <c r="J44" s="34">
        <f>IFERROR(VLOOKUP($A44,Pivot!$A:$I,1+MATCH(J$3,Pivot!$B$4:$I$4,0),FALSE),0)</f>
        <v>0</v>
      </c>
      <c r="K44" s="34">
        <f>IFERROR(VLOOKUP($A44,Pivot!$A:$I,1+MATCH(K$3,Pivot!$B$4:$I$4,0),FALSE),0)</f>
        <v>0</v>
      </c>
      <c r="L44" s="34">
        <f>IFERROR(VLOOKUP($A44,Pivot!$A:$I,1+MATCH(L$3,Pivot!$B$4:$I$4,0),FALSE),0)</f>
        <v>0</v>
      </c>
      <c r="M44" s="34">
        <f>IFERROR(VLOOKUP($A44,Pivot!$A:$I,1+MATCH(M$3,Pivot!$B$4:$I$4,0),FALSE),0)</f>
        <v>0</v>
      </c>
      <c r="N44" s="34">
        <f t="shared" si="10"/>
        <v>0</v>
      </c>
    </row>
    <row r="45" spans="1:14" x14ac:dyDescent="0.25">
      <c r="A45" s="28" t="s">
        <v>60</v>
      </c>
      <c r="B45" s="34">
        <f>IFERROR(VLOOKUP($A45,Pivot!$A:$I,1+MATCH(B$3,Pivot!$B$4:$I$4,0),FALSE),0)</f>
        <v>0</v>
      </c>
      <c r="C45" s="34">
        <f>IFERROR(VLOOKUP($A45,Pivot!$A:$I,1+MATCH(C$3,Pivot!$B$4:$I$4,0),FALSE),0)</f>
        <v>0</v>
      </c>
      <c r="D45" s="34">
        <f>IFERROR(VLOOKUP($A45,Pivot!$A:$I,1+MATCH(D$3,Pivot!$B$4:$I$4,0),FALSE),0)</f>
        <v>1</v>
      </c>
      <c r="E45" s="34">
        <f>IFERROR(VLOOKUP($A45,Pivot!$A:$I,1+MATCH(E$3,Pivot!$B$4:$I$4,0),FALSE),0)</f>
        <v>0</v>
      </c>
      <c r="F45" s="34">
        <f>IFERROR(VLOOKUP($A45,Pivot!$A:$I,1+MATCH(F$3,Pivot!$B$4:$I$4,0),FALSE),0)</f>
        <v>0</v>
      </c>
      <c r="G45" s="34">
        <f>IFERROR(VLOOKUP($A45,Pivot!$A:$I,1+MATCH(G$3,Pivot!$B$4:$I$4,0),FALSE),0)</f>
        <v>0</v>
      </c>
      <c r="H45" s="34">
        <f>IFERROR(VLOOKUP($A45,Pivot!$A:$I,1+MATCH(H$3,Pivot!$B$4:$I$4,0),FALSE),0)</f>
        <v>0</v>
      </c>
      <c r="I45" s="34">
        <f>IFERROR(VLOOKUP($A45,Pivot!$A:$I,1+MATCH(I$3,Pivot!$B$4:$I$4,0),FALSE),0)</f>
        <v>0</v>
      </c>
      <c r="J45" s="34">
        <f>IFERROR(VLOOKUP($A45,Pivot!$A:$I,1+MATCH(J$3,Pivot!$B$4:$I$4,0),FALSE),0)</f>
        <v>0</v>
      </c>
      <c r="K45" s="34">
        <f>IFERROR(VLOOKUP($A45,Pivot!$A:$I,1+MATCH(K$3,Pivot!$B$4:$I$4,0),FALSE),0)</f>
        <v>0</v>
      </c>
      <c r="L45" s="34">
        <f>IFERROR(VLOOKUP($A45,Pivot!$A:$I,1+MATCH(L$3,Pivot!$B$4:$I$4,0),FALSE),0)</f>
        <v>0</v>
      </c>
      <c r="M45" s="34">
        <f>IFERROR(VLOOKUP($A45,Pivot!$A:$I,1+MATCH(M$3,Pivot!$B$4:$I$4,0),FALSE),0)</f>
        <v>0</v>
      </c>
      <c r="N45" s="34">
        <f t="shared" si="10"/>
        <v>1</v>
      </c>
    </row>
    <row r="46" spans="1:14" x14ac:dyDescent="0.25">
      <c r="A46" s="28" t="s">
        <v>679</v>
      </c>
      <c r="B46" s="34">
        <f>IFERROR(VLOOKUP($A46,Pivot!$A:$I,1+MATCH(B$3,Pivot!$B$4:$I$4,0),FALSE),0)</f>
        <v>0</v>
      </c>
      <c r="C46" s="34">
        <f>IFERROR(VLOOKUP($A46,Pivot!$A:$I,1+MATCH(C$3,Pivot!$B$4:$I$4,0),FALSE),0)</f>
        <v>0</v>
      </c>
      <c r="D46" s="34">
        <f>IFERROR(VLOOKUP($A46,Pivot!$A:$I,1+MATCH(D$3,Pivot!$B$4:$I$4,0),FALSE),0)</f>
        <v>0</v>
      </c>
      <c r="E46" s="34">
        <f>IFERROR(VLOOKUP($A46,Pivot!$A:$I,1+MATCH(E$3,Pivot!$B$4:$I$4,0),FALSE),0)</f>
        <v>0</v>
      </c>
      <c r="F46" s="34">
        <f>IFERROR(VLOOKUP($A46,Pivot!$A:$I,1+MATCH(F$3,Pivot!$B$4:$I$4,0),FALSE),0)</f>
        <v>0</v>
      </c>
      <c r="G46" s="34">
        <f>IFERROR(VLOOKUP($A46,Pivot!$A:$I,1+MATCH(G$3,Pivot!$B$4:$I$4,0),FALSE),0)</f>
        <v>0</v>
      </c>
      <c r="H46" s="34">
        <f>IFERROR(VLOOKUP($A46,Pivot!$A:$I,1+MATCH(H$3,Pivot!$B$4:$I$4,0),FALSE),0)</f>
        <v>0</v>
      </c>
      <c r="I46" s="34">
        <f>IFERROR(VLOOKUP($A46,Pivot!$A:$I,1+MATCH(I$3,Pivot!$B$4:$I$4,0),FALSE),0)</f>
        <v>0</v>
      </c>
      <c r="J46" s="34">
        <f>IFERROR(VLOOKUP($A46,Pivot!$A:$I,1+MATCH(J$3,Pivot!$B$4:$I$4,0),FALSE),0)</f>
        <v>0</v>
      </c>
      <c r="K46" s="34">
        <f>IFERROR(VLOOKUP($A46,Pivot!$A:$I,1+MATCH(K$3,Pivot!$B$4:$I$4,0),FALSE),0)</f>
        <v>0</v>
      </c>
      <c r="L46" s="34">
        <f>IFERROR(VLOOKUP($A46,Pivot!$A:$I,1+MATCH(L$3,Pivot!$B$4:$I$4,0),FALSE),0)</f>
        <v>0</v>
      </c>
      <c r="M46" s="34">
        <f>IFERROR(VLOOKUP($A46,Pivot!$A:$I,1+MATCH(M$3,Pivot!$B$4:$I$4,0),FALSE),0)</f>
        <v>0</v>
      </c>
      <c r="N46" s="34">
        <f t="shared" si="10"/>
        <v>0</v>
      </c>
    </row>
    <row r="47" spans="1:14" x14ac:dyDescent="0.25">
      <c r="A47" s="28" t="s">
        <v>680</v>
      </c>
      <c r="B47" s="34">
        <f>IFERROR(VLOOKUP($A47,Pivot!$A:$I,1+MATCH(B$3,Pivot!$B$4:$I$4,0),FALSE),0)</f>
        <v>0</v>
      </c>
      <c r="C47" s="34">
        <f>IFERROR(VLOOKUP($A47,Pivot!$A:$I,1+MATCH(C$3,Pivot!$B$4:$I$4,0),FALSE),0)</f>
        <v>0</v>
      </c>
      <c r="D47" s="34">
        <f>IFERROR(VLOOKUP($A47,Pivot!$A:$I,1+MATCH(D$3,Pivot!$B$4:$I$4,0),FALSE),0)</f>
        <v>0</v>
      </c>
      <c r="E47" s="34">
        <f>IFERROR(VLOOKUP($A47,Pivot!$A:$I,1+MATCH(E$3,Pivot!$B$4:$I$4,0),FALSE),0)</f>
        <v>0</v>
      </c>
      <c r="F47" s="34">
        <f>IFERROR(VLOOKUP($A47,Pivot!$A:$I,1+MATCH(F$3,Pivot!$B$4:$I$4,0),FALSE),0)</f>
        <v>0</v>
      </c>
      <c r="G47" s="34">
        <f>IFERROR(VLOOKUP($A47,Pivot!$A:$I,1+MATCH(G$3,Pivot!$B$4:$I$4,0),FALSE),0)</f>
        <v>0</v>
      </c>
      <c r="H47" s="34">
        <f>IFERROR(VLOOKUP($A47,Pivot!$A:$I,1+MATCH(H$3,Pivot!$B$4:$I$4,0),FALSE),0)</f>
        <v>0</v>
      </c>
      <c r="I47" s="34">
        <f>IFERROR(VLOOKUP($A47,Pivot!$A:$I,1+MATCH(I$3,Pivot!$B$4:$I$4,0),FALSE),0)</f>
        <v>0</v>
      </c>
      <c r="J47" s="34">
        <f>IFERROR(VLOOKUP($A47,Pivot!$A:$I,1+MATCH(J$3,Pivot!$B$4:$I$4,0),FALSE),0)</f>
        <v>0</v>
      </c>
      <c r="K47" s="34">
        <f>IFERROR(VLOOKUP($A47,Pivot!$A:$I,1+MATCH(K$3,Pivot!$B$4:$I$4,0),FALSE),0)</f>
        <v>0</v>
      </c>
      <c r="L47" s="34">
        <f>IFERROR(VLOOKUP($A47,Pivot!$A:$I,1+MATCH(L$3,Pivot!$B$4:$I$4,0),FALSE),0)</f>
        <v>0</v>
      </c>
      <c r="M47" s="34">
        <f>IFERROR(VLOOKUP($A47,Pivot!$A:$I,1+MATCH(M$3,Pivot!$B$4:$I$4,0),FALSE),0)</f>
        <v>0</v>
      </c>
      <c r="N47" s="34">
        <f t="shared" si="10"/>
        <v>0</v>
      </c>
    </row>
    <row r="48" spans="1:14" x14ac:dyDescent="0.25">
      <c r="A48" s="28" t="s">
        <v>681</v>
      </c>
      <c r="B48" s="34">
        <f>IFERROR(VLOOKUP($A48,Pivot!$A:$I,1+MATCH(B$3,Pivot!$B$4:$I$4,0),FALSE),0)</f>
        <v>0</v>
      </c>
      <c r="C48" s="34">
        <f>IFERROR(VLOOKUP($A48,Pivot!$A:$I,1+MATCH(C$3,Pivot!$B$4:$I$4,0),FALSE),0)</f>
        <v>0</v>
      </c>
      <c r="D48" s="34">
        <f>IFERROR(VLOOKUP($A48,Pivot!$A:$I,1+MATCH(D$3,Pivot!$B$4:$I$4,0),FALSE),0)</f>
        <v>0</v>
      </c>
      <c r="E48" s="34">
        <f>IFERROR(VLOOKUP($A48,Pivot!$A:$I,1+MATCH(E$3,Pivot!$B$4:$I$4,0),FALSE),0)</f>
        <v>0</v>
      </c>
      <c r="F48" s="34">
        <f>IFERROR(VLOOKUP($A48,Pivot!$A:$I,1+MATCH(F$3,Pivot!$B$4:$I$4,0),FALSE),0)</f>
        <v>0</v>
      </c>
      <c r="G48" s="34">
        <f>IFERROR(VLOOKUP($A48,Pivot!$A:$I,1+MATCH(G$3,Pivot!$B$4:$I$4,0),FALSE),0)</f>
        <v>0</v>
      </c>
      <c r="H48" s="34">
        <f>IFERROR(VLOOKUP($A48,Pivot!$A:$I,1+MATCH(H$3,Pivot!$B$4:$I$4,0),FALSE),0)</f>
        <v>0</v>
      </c>
      <c r="I48" s="34">
        <f>IFERROR(VLOOKUP($A48,Pivot!$A:$I,1+MATCH(I$3,Pivot!$B$4:$I$4,0),FALSE),0)</f>
        <v>0</v>
      </c>
      <c r="J48" s="34">
        <f>IFERROR(VLOOKUP($A48,Pivot!$A:$I,1+MATCH(J$3,Pivot!$B$4:$I$4,0),FALSE),0)</f>
        <v>0</v>
      </c>
      <c r="K48" s="34">
        <f>IFERROR(VLOOKUP($A48,Pivot!$A:$I,1+MATCH(K$3,Pivot!$B$4:$I$4,0),FALSE),0)</f>
        <v>0</v>
      </c>
      <c r="L48" s="34">
        <f>IFERROR(VLOOKUP($A48,Pivot!$A:$I,1+MATCH(L$3,Pivot!$B$4:$I$4,0),FALSE),0)</f>
        <v>0</v>
      </c>
      <c r="M48" s="34">
        <f>IFERROR(VLOOKUP($A48,Pivot!$A:$I,1+MATCH(M$3,Pivot!$B$4:$I$4,0),FALSE),0)</f>
        <v>0</v>
      </c>
      <c r="N48" s="34">
        <f t="shared" si="10"/>
        <v>0</v>
      </c>
    </row>
    <row r="49" spans="1:16" x14ac:dyDescent="0.25">
      <c r="A49" s="28" t="s">
        <v>682</v>
      </c>
      <c r="B49" s="34">
        <f>IFERROR(VLOOKUP($A49,Pivot!$A:$I,1+MATCH(B$3,Pivot!$B$4:$I$4,0),FALSE),0)</f>
        <v>0</v>
      </c>
      <c r="C49" s="34">
        <f>IFERROR(VLOOKUP($A49,Pivot!$A:$I,1+MATCH(C$3,Pivot!$B$4:$I$4,0),FALSE),0)</f>
        <v>0</v>
      </c>
      <c r="D49" s="34">
        <f>IFERROR(VLOOKUP($A49,Pivot!$A:$I,1+MATCH(D$3,Pivot!$B$4:$I$4,0),FALSE),0)</f>
        <v>1</v>
      </c>
      <c r="E49" s="34">
        <f>IFERROR(VLOOKUP($A49,Pivot!$A:$I,1+MATCH(E$3,Pivot!$B$4:$I$4,0),FALSE),0)</f>
        <v>0</v>
      </c>
      <c r="F49" s="34">
        <f>IFERROR(VLOOKUP($A49,Pivot!$A:$I,1+MATCH(F$3,Pivot!$B$4:$I$4,0),FALSE),0)</f>
        <v>0</v>
      </c>
      <c r="G49" s="34">
        <f>IFERROR(VLOOKUP($A49,Pivot!$A:$I,1+MATCH(G$3,Pivot!$B$4:$I$4,0),FALSE),0)</f>
        <v>0</v>
      </c>
      <c r="H49" s="34">
        <f>IFERROR(VLOOKUP($A49,Pivot!$A:$I,1+MATCH(H$3,Pivot!$B$4:$I$4,0),FALSE),0)</f>
        <v>0</v>
      </c>
      <c r="I49" s="34">
        <f>IFERROR(VLOOKUP($A49,Pivot!$A:$I,1+MATCH(I$3,Pivot!$B$4:$I$4,0),FALSE),0)</f>
        <v>0</v>
      </c>
      <c r="J49" s="34">
        <f>IFERROR(VLOOKUP($A49,Pivot!$A:$I,1+MATCH(J$3,Pivot!$B$4:$I$4,0),FALSE),0)</f>
        <v>0</v>
      </c>
      <c r="K49" s="34">
        <f>IFERROR(VLOOKUP($A49,Pivot!$A:$I,1+MATCH(K$3,Pivot!$B$4:$I$4,0),FALSE),0)</f>
        <v>0</v>
      </c>
      <c r="L49" s="34">
        <f>IFERROR(VLOOKUP($A49,Pivot!$A:$I,1+MATCH(L$3,Pivot!$B$4:$I$4,0),FALSE),0)</f>
        <v>0</v>
      </c>
      <c r="M49" s="34">
        <f>IFERROR(VLOOKUP($A49,Pivot!$A:$I,1+MATCH(M$3,Pivot!$B$4:$I$4,0),FALSE),0)</f>
        <v>0</v>
      </c>
      <c r="N49" s="34">
        <f t="shared" si="10"/>
        <v>1</v>
      </c>
    </row>
    <row r="50" spans="1:16" x14ac:dyDescent="0.25">
      <c r="A50" s="28" t="s">
        <v>683</v>
      </c>
      <c r="B50" s="34">
        <f>IFERROR(VLOOKUP($A50,Pivot!$A:$I,1+MATCH(B$3,Pivot!$B$4:$I$4,0),FALSE),0)</f>
        <v>0</v>
      </c>
      <c r="C50" s="34">
        <f>IFERROR(VLOOKUP($A50,Pivot!$A:$I,1+MATCH(C$3,Pivot!$B$4:$I$4,0),FALSE),0)</f>
        <v>0</v>
      </c>
      <c r="D50" s="34">
        <f>IFERROR(VLOOKUP($A50,Pivot!$A:$I,1+MATCH(D$3,Pivot!$B$4:$I$4,0),FALSE),0)</f>
        <v>2</v>
      </c>
      <c r="E50" s="34">
        <f>IFERROR(VLOOKUP($A50,Pivot!$A:$I,1+MATCH(E$3,Pivot!$B$4:$I$4,0),FALSE),0)</f>
        <v>0</v>
      </c>
      <c r="F50" s="34">
        <f>IFERROR(VLOOKUP($A50,Pivot!$A:$I,1+MATCH(F$3,Pivot!$B$4:$I$4,0),FALSE),0)</f>
        <v>0</v>
      </c>
      <c r="G50" s="34">
        <f>IFERROR(VLOOKUP($A50,Pivot!$A:$I,1+MATCH(G$3,Pivot!$B$4:$I$4,0),FALSE),0)</f>
        <v>0</v>
      </c>
      <c r="H50" s="34">
        <f>IFERROR(VLOOKUP($A50,Pivot!$A:$I,1+MATCH(H$3,Pivot!$B$4:$I$4,0),FALSE),0)</f>
        <v>0</v>
      </c>
      <c r="I50" s="34">
        <f>IFERROR(VLOOKUP($A50,Pivot!$A:$I,1+MATCH(I$3,Pivot!$B$4:$I$4,0),FALSE),0)</f>
        <v>0</v>
      </c>
      <c r="J50" s="34">
        <f>IFERROR(VLOOKUP($A50,Pivot!$A:$I,1+MATCH(J$3,Pivot!$B$4:$I$4,0),FALSE),0)</f>
        <v>0</v>
      </c>
      <c r="K50" s="34">
        <f>IFERROR(VLOOKUP($A50,Pivot!$A:$I,1+MATCH(K$3,Pivot!$B$4:$I$4,0),FALSE),0)</f>
        <v>0</v>
      </c>
      <c r="L50" s="34">
        <f>IFERROR(VLOOKUP($A50,Pivot!$A:$I,1+MATCH(L$3,Pivot!$B$4:$I$4,0),FALSE),0)</f>
        <v>0</v>
      </c>
      <c r="M50" s="34">
        <f>IFERROR(VLOOKUP($A50,Pivot!$A:$I,1+MATCH(M$3,Pivot!$B$4:$I$4,0),FALSE),0)</f>
        <v>0</v>
      </c>
      <c r="N50" s="34">
        <f t="shared" si="10"/>
        <v>2</v>
      </c>
    </row>
    <row r="51" spans="1:16" x14ac:dyDescent="0.25">
      <c r="A51" s="28" t="s">
        <v>684</v>
      </c>
      <c r="B51" s="34">
        <f>IFERROR(VLOOKUP($A51,Pivot!$A:$I,1+MATCH(B$3,Pivot!$B$4:$I$4,0),FALSE),0)</f>
        <v>0</v>
      </c>
      <c r="C51" s="34">
        <f>IFERROR(VLOOKUP($A51,Pivot!$A:$I,1+MATCH(C$3,Pivot!$B$4:$I$4,0),FALSE),0)</f>
        <v>0</v>
      </c>
      <c r="D51" s="34">
        <f>IFERROR(VLOOKUP($A51,Pivot!$A:$I,1+MATCH(D$3,Pivot!$B$4:$I$4,0),FALSE),0)</f>
        <v>1</v>
      </c>
      <c r="E51" s="34">
        <f>IFERROR(VLOOKUP($A51,Pivot!$A:$I,1+MATCH(E$3,Pivot!$B$4:$I$4,0),FALSE),0)</f>
        <v>0</v>
      </c>
      <c r="F51" s="34">
        <f>IFERROR(VLOOKUP($A51,Pivot!$A:$I,1+MATCH(F$3,Pivot!$B$4:$I$4,0),FALSE),0)</f>
        <v>0</v>
      </c>
      <c r="G51" s="34">
        <f>IFERROR(VLOOKUP($A51,Pivot!$A:$I,1+MATCH(G$3,Pivot!$B$4:$I$4,0),FALSE),0)</f>
        <v>0</v>
      </c>
      <c r="H51" s="34">
        <f>IFERROR(VLOOKUP($A51,Pivot!$A:$I,1+MATCH(H$3,Pivot!$B$4:$I$4,0),FALSE),0)</f>
        <v>0</v>
      </c>
      <c r="I51" s="34">
        <f>IFERROR(VLOOKUP($A51,Pivot!$A:$I,1+MATCH(I$3,Pivot!$B$4:$I$4,0),FALSE),0)</f>
        <v>0</v>
      </c>
      <c r="J51" s="34">
        <f>IFERROR(VLOOKUP($A51,Pivot!$A:$I,1+MATCH(J$3,Pivot!$B$4:$I$4,0),FALSE),0)</f>
        <v>0</v>
      </c>
      <c r="K51" s="34">
        <f>IFERROR(VLOOKUP($A51,Pivot!$A:$I,1+MATCH(K$3,Pivot!$B$4:$I$4,0),FALSE),0)</f>
        <v>0</v>
      </c>
      <c r="L51" s="34">
        <f>IFERROR(VLOOKUP($A51,Pivot!$A:$I,1+MATCH(L$3,Pivot!$B$4:$I$4,0),FALSE),0)</f>
        <v>0</v>
      </c>
      <c r="M51" s="34">
        <f>IFERROR(VLOOKUP($A51,Pivot!$A:$I,1+MATCH(M$3,Pivot!$B$4:$I$4,0),FALSE),0)</f>
        <v>0</v>
      </c>
      <c r="N51" s="34">
        <f t="shared" si="10"/>
        <v>1</v>
      </c>
    </row>
    <row r="52" spans="1:16" x14ac:dyDescent="0.25">
      <c r="A52" s="28" t="s">
        <v>61</v>
      </c>
      <c r="B52" s="34">
        <f>IFERROR(VLOOKUP($A52,Pivot!$A:$I,1+MATCH(B$3,Pivot!$B$4:$I$4,0),FALSE),0)</f>
        <v>0</v>
      </c>
      <c r="C52" s="34">
        <f>IFERROR(VLOOKUP($A52,Pivot!$A:$I,1+MATCH(C$3,Pivot!$B$4:$I$4,0),FALSE),0)</f>
        <v>0</v>
      </c>
      <c r="D52" s="34">
        <f>IFERROR(VLOOKUP($A52,Pivot!$A:$I,1+MATCH(D$3,Pivot!$B$4:$I$4,0),FALSE),0)</f>
        <v>3</v>
      </c>
      <c r="E52" s="34">
        <f>IFERROR(VLOOKUP($A52,Pivot!$A:$I,1+MATCH(E$3,Pivot!$B$4:$I$4,0),FALSE),0)</f>
        <v>0</v>
      </c>
      <c r="F52" s="34">
        <f>IFERROR(VLOOKUP($A52,Pivot!$A:$I,1+MATCH(F$3,Pivot!$B$4:$I$4,0),FALSE),0)</f>
        <v>0</v>
      </c>
      <c r="G52" s="34">
        <f>IFERROR(VLOOKUP($A52,Pivot!$A:$I,1+MATCH(G$3,Pivot!$B$4:$I$4,0),FALSE),0)</f>
        <v>1</v>
      </c>
      <c r="H52" s="34">
        <f>IFERROR(VLOOKUP($A52,Pivot!$A:$I,1+MATCH(H$3,Pivot!$B$4:$I$4,0),FALSE),0)</f>
        <v>0</v>
      </c>
      <c r="I52" s="34">
        <f>IFERROR(VLOOKUP($A52,Pivot!$A:$I,1+MATCH(I$3,Pivot!$B$4:$I$4,0),FALSE),0)</f>
        <v>0</v>
      </c>
      <c r="J52" s="34">
        <f>IFERROR(VLOOKUP($A52,Pivot!$A:$I,1+MATCH(J$3,Pivot!$B$4:$I$4,0),FALSE),0)</f>
        <v>0</v>
      </c>
      <c r="K52" s="34">
        <f>IFERROR(VLOOKUP($A52,Pivot!$A:$I,1+MATCH(K$3,Pivot!$B$4:$I$4,0),FALSE),0)</f>
        <v>0</v>
      </c>
      <c r="L52" s="34">
        <f>IFERROR(VLOOKUP($A52,Pivot!$A:$I,1+MATCH(L$3,Pivot!$B$4:$I$4,0),FALSE),0)</f>
        <v>0</v>
      </c>
      <c r="M52" s="34">
        <f>IFERROR(VLOOKUP($A52,Pivot!$A:$I,1+MATCH(M$3,Pivot!$B$4:$I$4,0),FALSE),0)</f>
        <v>0</v>
      </c>
      <c r="N52" s="34">
        <f t="shared" si="10"/>
        <v>4</v>
      </c>
    </row>
    <row r="53" spans="1:16" x14ac:dyDescent="0.25">
      <c r="A53" s="28" t="s">
        <v>62</v>
      </c>
      <c r="B53" s="34">
        <f>IFERROR(VLOOKUP($A53,Pivot!$A:$I,1+MATCH(B$3,Pivot!$B$4:$I$4,0),FALSE),0)</f>
        <v>0</v>
      </c>
      <c r="C53" s="34">
        <f>IFERROR(VLOOKUP($A53,Pivot!$A:$I,1+MATCH(C$3,Pivot!$B$4:$I$4,0),FALSE),0)</f>
        <v>0</v>
      </c>
      <c r="D53" s="34">
        <f>IFERROR(VLOOKUP($A53,Pivot!$A:$I,1+MATCH(D$3,Pivot!$B$4:$I$4,0),FALSE),0)</f>
        <v>4</v>
      </c>
      <c r="E53" s="34">
        <f>IFERROR(VLOOKUP($A53,Pivot!$A:$I,1+MATCH(E$3,Pivot!$B$4:$I$4,0),FALSE),0)</f>
        <v>0</v>
      </c>
      <c r="F53" s="34">
        <f>IFERROR(VLOOKUP($A53,Pivot!$A:$I,1+MATCH(F$3,Pivot!$B$4:$I$4,0),FALSE),0)</f>
        <v>2</v>
      </c>
      <c r="G53" s="34">
        <f>IFERROR(VLOOKUP($A53,Pivot!$A:$I,1+MATCH(G$3,Pivot!$B$4:$I$4,0),FALSE),0)</f>
        <v>0</v>
      </c>
      <c r="H53" s="34">
        <f>IFERROR(VLOOKUP($A53,Pivot!$A:$I,1+MATCH(H$3,Pivot!$B$4:$I$4,0),FALSE),0)</f>
        <v>0</v>
      </c>
      <c r="I53" s="34">
        <f>IFERROR(VLOOKUP($A53,Pivot!$A:$I,1+MATCH(I$3,Pivot!$B$4:$I$4,0),FALSE),0)</f>
        <v>0</v>
      </c>
      <c r="J53" s="34">
        <f>IFERROR(VLOOKUP($A53,Pivot!$A:$I,1+MATCH(J$3,Pivot!$B$4:$I$4,0),FALSE),0)</f>
        <v>0</v>
      </c>
      <c r="K53" s="34">
        <f>IFERROR(VLOOKUP($A53,Pivot!$A:$I,1+MATCH(K$3,Pivot!$B$4:$I$4,0),FALSE),0)</f>
        <v>0</v>
      </c>
      <c r="L53" s="34">
        <f>IFERROR(VLOOKUP($A53,Pivot!$A:$I,1+MATCH(L$3,Pivot!$B$4:$I$4,0),FALSE),0)</f>
        <v>0</v>
      </c>
      <c r="M53" s="34">
        <f>IFERROR(VLOOKUP($A53,Pivot!$A:$I,1+MATCH(M$3,Pivot!$B$4:$I$4,0),FALSE),0)</f>
        <v>0</v>
      </c>
      <c r="N53" s="34">
        <f t="shared" si="10"/>
        <v>6</v>
      </c>
    </row>
    <row r="54" spans="1:16" x14ac:dyDescent="0.25">
      <c r="A54" s="28" t="s">
        <v>685</v>
      </c>
      <c r="B54" s="34">
        <f>IFERROR(VLOOKUP($A54,Pivot!$A:$I,1+MATCH(B$3,Pivot!$B$4:$I$4,0),FALSE),0)</f>
        <v>0</v>
      </c>
      <c r="C54" s="34">
        <f>IFERROR(VLOOKUP($A54,Pivot!$A:$I,1+MATCH(C$3,Pivot!$B$4:$I$4,0),FALSE),0)</f>
        <v>0</v>
      </c>
      <c r="D54" s="34">
        <f>IFERROR(VLOOKUP($A54,Pivot!$A:$I,1+MATCH(D$3,Pivot!$B$4:$I$4,0),FALSE),0)</f>
        <v>0</v>
      </c>
      <c r="E54" s="34">
        <f>IFERROR(VLOOKUP($A54,Pivot!$A:$I,1+MATCH(E$3,Pivot!$B$4:$I$4,0),FALSE),0)</f>
        <v>0</v>
      </c>
      <c r="F54" s="34">
        <f>IFERROR(VLOOKUP($A54,Pivot!$A:$I,1+MATCH(F$3,Pivot!$B$4:$I$4,0),FALSE),0)</f>
        <v>0</v>
      </c>
      <c r="G54" s="34">
        <f>IFERROR(VLOOKUP($A54,Pivot!$A:$I,1+MATCH(G$3,Pivot!$B$4:$I$4,0),FALSE),0)</f>
        <v>0</v>
      </c>
      <c r="H54" s="34">
        <f>IFERROR(VLOOKUP($A54,Pivot!$A:$I,1+MATCH(H$3,Pivot!$B$4:$I$4,0),FALSE),0)</f>
        <v>0</v>
      </c>
      <c r="I54" s="34">
        <f>IFERROR(VLOOKUP($A54,Pivot!$A:$I,1+MATCH(I$3,Pivot!$B$4:$I$4,0),FALSE),0)</f>
        <v>0</v>
      </c>
      <c r="J54" s="34">
        <f>IFERROR(VLOOKUP($A54,Pivot!$A:$I,1+MATCH(J$3,Pivot!$B$4:$I$4,0),FALSE),0)</f>
        <v>0</v>
      </c>
      <c r="K54" s="34">
        <f>IFERROR(VLOOKUP($A54,Pivot!$A:$I,1+MATCH(K$3,Pivot!$B$4:$I$4,0),FALSE),0)</f>
        <v>0</v>
      </c>
      <c r="L54" s="34">
        <f>IFERROR(VLOOKUP($A54,Pivot!$A:$I,1+MATCH(L$3,Pivot!$B$4:$I$4,0),FALSE),0)</f>
        <v>0</v>
      </c>
      <c r="M54" s="34">
        <f>IFERROR(VLOOKUP($A54,Pivot!$A:$I,1+MATCH(M$3,Pivot!$B$4:$I$4,0),FALSE),0)</f>
        <v>0</v>
      </c>
      <c r="N54" s="34">
        <f t="shared" si="10"/>
        <v>0</v>
      </c>
    </row>
    <row r="55" spans="1:16" x14ac:dyDescent="0.25">
      <c r="A55" s="28" t="s">
        <v>686</v>
      </c>
      <c r="B55" s="34">
        <f>IFERROR(VLOOKUP($A55,Pivot!$A:$I,1+MATCH(B$3,Pivot!$B$4:$I$4,0),FALSE),0)</f>
        <v>0</v>
      </c>
      <c r="C55" s="34">
        <f>IFERROR(VLOOKUP($A55,Pivot!$A:$I,1+MATCH(C$3,Pivot!$B$4:$I$4,0),FALSE),0)</f>
        <v>0</v>
      </c>
      <c r="D55" s="34">
        <f>IFERROR(VLOOKUP($A55,Pivot!$A:$I,1+MATCH(D$3,Pivot!$B$4:$I$4,0),FALSE),0)</f>
        <v>1</v>
      </c>
      <c r="E55" s="34">
        <f>IFERROR(VLOOKUP($A55,Pivot!$A:$I,1+MATCH(E$3,Pivot!$B$4:$I$4,0),FALSE),0)</f>
        <v>0</v>
      </c>
      <c r="F55" s="34">
        <f>IFERROR(VLOOKUP($A55,Pivot!$A:$I,1+MATCH(F$3,Pivot!$B$4:$I$4,0),FALSE),0)</f>
        <v>0</v>
      </c>
      <c r="G55" s="34">
        <f>IFERROR(VLOOKUP($A55,Pivot!$A:$I,1+MATCH(G$3,Pivot!$B$4:$I$4,0),FALSE),0)</f>
        <v>0</v>
      </c>
      <c r="H55" s="34">
        <f>IFERROR(VLOOKUP($A55,Pivot!$A:$I,1+MATCH(H$3,Pivot!$B$4:$I$4,0),FALSE),0)</f>
        <v>0</v>
      </c>
      <c r="I55" s="34">
        <f>IFERROR(VLOOKUP($A55,Pivot!$A:$I,1+MATCH(I$3,Pivot!$B$4:$I$4,0),FALSE),0)</f>
        <v>0</v>
      </c>
      <c r="J55" s="34">
        <f>IFERROR(VLOOKUP($A55,Pivot!$A:$I,1+MATCH(J$3,Pivot!$B$4:$I$4,0),FALSE),0)</f>
        <v>0</v>
      </c>
      <c r="K55" s="34">
        <f>IFERROR(VLOOKUP($A55,Pivot!$A:$I,1+MATCH(K$3,Pivot!$B$4:$I$4,0),FALSE),0)</f>
        <v>0</v>
      </c>
      <c r="L55" s="34">
        <f>IFERROR(VLOOKUP($A55,Pivot!$A:$I,1+MATCH(L$3,Pivot!$B$4:$I$4,0),FALSE),0)</f>
        <v>0</v>
      </c>
      <c r="M55" s="34">
        <f>IFERROR(VLOOKUP($A55,Pivot!$A:$I,1+MATCH(M$3,Pivot!$B$4:$I$4,0),FALSE),0)</f>
        <v>0</v>
      </c>
      <c r="N55" s="34">
        <f t="shared" si="10"/>
        <v>1</v>
      </c>
    </row>
    <row r="56" spans="1:16" x14ac:dyDescent="0.25">
      <c r="A56" s="28" t="s">
        <v>687</v>
      </c>
      <c r="B56" s="34">
        <f>IFERROR(VLOOKUP($A56,Pivot!$A:$I,1+MATCH(B$3,Pivot!$B$4:$I$4,0),FALSE),0)</f>
        <v>0</v>
      </c>
      <c r="C56" s="34">
        <f>IFERROR(VLOOKUP($A56,Pivot!$A:$I,1+MATCH(C$3,Pivot!$B$4:$I$4,0),FALSE),0)</f>
        <v>0</v>
      </c>
      <c r="D56" s="34">
        <f>IFERROR(VLOOKUP($A56,Pivot!$A:$I,1+MATCH(D$3,Pivot!$B$4:$I$4,0),FALSE),0)</f>
        <v>0</v>
      </c>
      <c r="E56" s="34">
        <f>IFERROR(VLOOKUP($A56,Pivot!$A:$I,1+MATCH(E$3,Pivot!$B$4:$I$4,0),FALSE),0)</f>
        <v>0</v>
      </c>
      <c r="F56" s="34">
        <f>IFERROR(VLOOKUP($A56,Pivot!$A:$I,1+MATCH(F$3,Pivot!$B$4:$I$4,0),FALSE),0)</f>
        <v>0</v>
      </c>
      <c r="G56" s="34">
        <f>IFERROR(VLOOKUP($A56,Pivot!$A:$I,1+MATCH(G$3,Pivot!$B$4:$I$4,0),FALSE),0)</f>
        <v>0</v>
      </c>
      <c r="H56" s="34">
        <f>IFERROR(VLOOKUP($A56,Pivot!$A:$I,1+MATCH(H$3,Pivot!$B$4:$I$4,0),FALSE),0)</f>
        <v>0</v>
      </c>
      <c r="I56" s="34">
        <f>IFERROR(VLOOKUP($A56,Pivot!$A:$I,1+MATCH(I$3,Pivot!$B$4:$I$4,0),FALSE),0)</f>
        <v>0</v>
      </c>
      <c r="J56" s="34">
        <f>IFERROR(VLOOKUP($A56,Pivot!$A:$I,1+MATCH(J$3,Pivot!$B$4:$I$4,0),FALSE),0)</f>
        <v>0</v>
      </c>
      <c r="K56" s="34">
        <f>IFERROR(VLOOKUP($A56,Pivot!$A:$I,1+MATCH(K$3,Pivot!$B$4:$I$4,0),FALSE),0)</f>
        <v>0</v>
      </c>
      <c r="L56" s="34">
        <f>IFERROR(VLOOKUP($A56,Pivot!$A:$I,1+MATCH(L$3,Pivot!$B$4:$I$4,0),FALSE),0)</f>
        <v>0</v>
      </c>
      <c r="M56" s="34">
        <f>IFERROR(VLOOKUP($A56,Pivot!$A:$I,1+MATCH(M$3,Pivot!$B$4:$I$4,0),FALSE),0)</f>
        <v>0</v>
      </c>
      <c r="N56" s="34">
        <f t="shared" si="10"/>
        <v>0</v>
      </c>
    </row>
    <row r="57" spans="1:16" x14ac:dyDescent="0.25">
      <c r="A57" s="28" t="s">
        <v>688</v>
      </c>
      <c r="B57" s="34">
        <f>IFERROR(VLOOKUP($A57,Pivot!$A:$I,1+MATCH(B$3,Pivot!$B$4:$I$4,0),FALSE),0)</f>
        <v>0</v>
      </c>
      <c r="C57" s="34">
        <f>IFERROR(VLOOKUP($A57,Pivot!$A:$I,1+MATCH(C$3,Pivot!$B$4:$I$4,0),FALSE),0)</f>
        <v>0</v>
      </c>
      <c r="D57" s="34">
        <f>IFERROR(VLOOKUP($A57,Pivot!$A:$I,1+MATCH(D$3,Pivot!$B$4:$I$4,0),FALSE),0)</f>
        <v>0</v>
      </c>
      <c r="E57" s="34">
        <f>IFERROR(VLOOKUP($A57,Pivot!$A:$I,1+MATCH(E$3,Pivot!$B$4:$I$4,0),FALSE),0)</f>
        <v>0</v>
      </c>
      <c r="F57" s="34">
        <f>IFERROR(VLOOKUP($A57,Pivot!$A:$I,1+MATCH(F$3,Pivot!$B$4:$I$4,0),FALSE),0)</f>
        <v>0</v>
      </c>
      <c r="G57" s="34">
        <f>IFERROR(VLOOKUP($A57,Pivot!$A:$I,1+MATCH(G$3,Pivot!$B$4:$I$4,0),FALSE),0)</f>
        <v>0</v>
      </c>
      <c r="H57" s="34">
        <f>IFERROR(VLOOKUP($A57,Pivot!$A:$I,1+MATCH(H$3,Pivot!$B$4:$I$4,0),FALSE),0)</f>
        <v>0</v>
      </c>
      <c r="I57" s="34">
        <f>IFERROR(VLOOKUP($A57,Pivot!$A:$I,1+MATCH(I$3,Pivot!$B$4:$I$4,0),FALSE),0)</f>
        <v>0</v>
      </c>
      <c r="J57" s="34">
        <f>IFERROR(VLOOKUP($A57,Pivot!$A:$I,1+MATCH(J$3,Pivot!$B$4:$I$4,0),FALSE),0)</f>
        <v>0</v>
      </c>
      <c r="K57" s="34">
        <f>IFERROR(VLOOKUP($A57,Pivot!$A:$I,1+MATCH(K$3,Pivot!$B$4:$I$4,0),FALSE),0)</f>
        <v>0</v>
      </c>
      <c r="L57" s="34">
        <f>IFERROR(VLOOKUP($A57,Pivot!$A:$I,1+MATCH(L$3,Pivot!$B$4:$I$4,0),FALSE),0)</f>
        <v>0</v>
      </c>
      <c r="M57" s="34">
        <f>IFERROR(VLOOKUP($A57,Pivot!$A:$I,1+MATCH(M$3,Pivot!$B$4:$I$4,0),FALSE),0)</f>
        <v>0</v>
      </c>
      <c r="N57" s="34">
        <f t="shared" si="10"/>
        <v>0</v>
      </c>
    </row>
    <row r="58" spans="1:16" x14ac:dyDescent="0.25">
      <c r="A58" s="28" t="s">
        <v>689</v>
      </c>
      <c r="B58" s="34">
        <f>IFERROR(VLOOKUP($A58,Pivot!$A:$I,1+MATCH(B$3,Pivot!$B$4:$I$4,0),FALSE),0)</f>
        <v>0</v>
      </c>
      <c r="C58" s="34">
        <f>IFERROR(VLOOKUP($A58,Pivot!$A:$I,1+MATCH(C$3,Pivot!$B$4:$I$4,0),FALSE),0)</f>
        <v>0</v>
      </c>
      <c r="D58" s="34">
        <f>IFERROR(VLOOKUP($A58,Pivot!$A:$I,1+MATCH(D$3,Pivot!$B$4:$I$4,0),FALSE),0)</f>
        <v>0</v>
      </c>
      <c r="E58" s="34">
        <f>IFERROR(VLOOKUP($A58,Pivot!$A:$I,1+MATCH(E$3,Pivot!$B$4:$I$4,0),FALSE),0)</f>
        <v>0</v>
      </c>
      <c r="F58" s="34">
        <f>IFERROR(VLOOKUP($A58,Pivot!$A:$I,1+MATCH(F$3,Pivot!$B$4:$I$4,0),FALSE),0)</f>
        <v>0</v>
      </c>
      <c r="G58" s="34">
        <f>IFERROR(VLOOKUP($A58,Pivot!$A:$I,1+MATCH(G$3,Pivot!$B$4:$I$4,0),FALSE),0)</f>
        <v>1</v>
      </c>
      <c r="H58" s="34">
        <f>IFERROR(VLOOKUP($A58,Pivot!$A:$I,1+MATCH(H$3,Pivot!$B$4:$I$4,0),FALSE),0)</f>
        <v>0</v>
      </c>
      <c r="I58" s="34">
        <f>IFERROR(VLOOKUP($A58,Pivot!$A:$I,1+MATCH(I$3,Pivot!$B$4:$I$4,0),FALSE),0)</f>
        <v>0</v>
      </c>
      <c r="J58" s="34">
        <f>IFERROR(VLOOKUP($A58,Pivot!$A:$I,1+MATCH(J$3,Pivot!$B$4:$I$4,0),FALSE),0)</f>
        <v>0</v>
      </c>
      <c r="K58" s="34">
        <f>IFERROR(VLOOKUP($A58,Pivot!$A:$I,1+MATCH(K$3,Pivot!$B$4:$I$4,0),FALSE),0)</f>
        <v>0</v>
      </c>
      <c r="L58" s="34">
        <f>IFERROR(VLOOKUP($A58,Pivot!$A:$I,1+MATCH(L$3,Pivot!$B$4:$I$4,0),FALSE),0)</f>
        <v>0</v>
      </c>
      <c r="M58" s="34">
        <f>IFERROR(VLOOKUP($A58,Pivot!$A:$I,1+MATCH(M$3,Pivot!$B$4:$I$4,0),FALSE),0)</f>
        <v>0</v>
      </c>
      <c r="N58" s="34">
        <f t="shared" si="10"/>
        <v>1</v>
      </c>
    </row>
    <row r="59" spans="1:16" x14ac:dyDescent="0.25">
      <c r="A59" s="28" t="s">
        <v>63</v>
      </c>
      <c r="B59" s="34">
        <f>IFERROR(VLOOKUP($A59,Pivot!$A:$I,1+MATCH(B$3,Pivot!$B$4:$I$4,0),FALSE),0)</f>
        <v>0</v>
      </c>
      <c r="C59" s="34">
        <f>IFERROR(VLOOKUP($A59,Pivot!$A:$I,1+MATCH(C$3,Pivot!$B$4:$I$4,0),FALSE),0)</f>
        <v>0</v>
      </c>
      <c r="D59" s="34">
        <f>IFERROR(VLOOKUP($A59,Pivot!$A:$I,1+MATCH(D$3,Pivot!$B$4:$I$4,0),FALSE),0)</f>
        <v>1</v>
      </c>
      <c r="E59" s="34">
        <f>IFERROR(VLOOKUP($A59,Pivot!$A:$I,1+MATCH(E$3,Pivot!$B$4:$I$4,0),FALSE),0)</f>
        <v>0</v>
      </c>
      <c r="F59" s="34">
        <f>IFERROR(VLOOKUP($A59,Pivot!$A:$I,1+MATCH(F$3,Pivot!$B$4:$I$4,0),FALSE),0)</f>
        <v>0</v>
      </c>
      <c r="G59" s="34">
        <f>IFERROR(VLOOKUP($A59,Pivot!$A:$I,1+MATCH(G$3,Pivot!$B$4:$I$4,0),FALSE),0)</f>
        <v>0</v>
      </c>
      <c r="H59" s="34">
        <f>IFERROR(VLOOKUP($A59,Pivot!$A:$I,1+MATCH(H$3,Pivot!$B$4:$I$4,0),FALSE),0)</f>
        <v>0</v>
      </c>
      <c r="I59" s="34">
        <f>IFERROR(VLOOKUP($A59,Pivot!$A:$I,1+MATCH(I$3,Pivot!$B$4:$I$4,0),FALSE),0)</f>
        <v>0</v>
      </c>
      <c r="J59" s="34">
        <f>IFERROR(VLOOKUP($A59,Pivot!$A:$I,1+MATCH(J$3,Pivot!$B$4:$I$4,0),FALSE),0)</f>
        <v>0</v>
      </c>
      <c r="K59" s="34">
        <f>IFERROR(VLOOKUP($A59,Pivot!$A:$I,1+MATCH(K$3,Pivot!$B$4:$I$4,0),FALSE),0)</f>
        <v>0</v>
      </c>
      <c r="L59" s="34">
        <f>IFERROR(VLOOKUP($A59,Pivot!$A:$I,1+MATCH(L$3,Pivot!$B$4:$I$4,0),FALSE),0)</f>
        <v>0</v>
      </c>
      <c r="M59" s="34">
        <f>IFERROR(VLOOKUP($A59,Pivot!$A:$I,1+MATCH(M$3,Pivot!$B$4:$I$4,0),FALSE),0)</f>
        <v>0</v>
      </c>
      <c r="N59" s="34">
        <f t="shared" si="10"/>
        <v>1</v>
      </c>
    </row>
    <row r="60" spans="1:16" x14ac:dyDescent="0.25">
      <c r="A60" s="28" t="s">
        <v>549</v>
      </c>
      <c r="B60" s="34">
        <f>IFERROR(VLOOKUP($A60,Pivot!$A:$I,1+MATCH(B$3,Pivot!$B$4:$I$4,0),FALSE),0)</f>
        <v>0</v>
      </c>
      <c r="C60" s="34">
        <f>IFERROR(VLOOKUP($A60,Pivot!$A:$I,1+MATCH(C$3,Pivot!$B$4:$I$4,0),FALSE),0)</f>
        <v>0</v>
      </c>
      <c r="D60" s="34">
        <f>IFERROR(VLOOKUP($A60,Pivot!$A:$I,1+MATCH(D$3,Pivot!$B$4:$I$4,0),FALSE),0)</f>
        <v>0</v>
      </c>
      <c r="E60" s="34">
        <f>IFERROR(VLOOKUP($A60,Pivot!$A:$I,1+MATCH(E$3,Pivot!$B$4:$I$4,0),FALSE),0)</f>
        <v>0</v>
      </c>
      <c r="F60" s="34">
        <f>IFERROR(VLOOKUP($A60,Pivot!$A:$I,1+MATCH(F$3,Pivot!$B$4:$I$4,0),FALSE),0)</f>
        <v>0</v>
      </c>
      <c r="G60" s="34">
        <f>IFERROR(VLOOKUP($A60,Pivot!$A:$I,1+MATCH(G$3,Pivot!$B$4:$I$4,0),FALSE),0)</f>
        <v>0</v>
      </c>
      <c r="H60" s="34">
        <f>IFERROR(VLOOKUP($A60,Pivot!$A:$I,1+MATCH(H$3,Pivot!$B$4:$I$4,0),FALSE),0)</f>
        <v>0</v>
      </c>
      <c r="I60" s="34">
        <f>IFERROR(VLOOKUP($A60,Pivot!$A:$I,1+MATCH(I$3,Pivot!$B$4:$I$4,0),FALSE),0)</f>
        <v>0</v>
      </c>
      <c r="J60" s="34">
        <f>IFERROR(VLOOKUP($A60,Pivot!$A:$I,1+MATCH(J$3,Pivot!$B$4:$I$4,0),FALSE),0)</f>
        <v>0</v>
      </c>
      <c r="K60" s="34">
        <f>IFERROR(VLOOKUP($A60,Pivot!$A:$I,1+MATCH(K$3,Pivot!$B$4:$I$4,0),FALSE),0)</f>
        <v>0</v>
      </c>
      <c r="L60" s="34">
        <f>IFERROR(VLOOKUP($A60,Pivot!$A:$I,1+MATCH(L$3,Pivot!$B$4:$I$4,0),FALSE),0)</f>
        <v>0</v>
      </c>
      <c r="M60" s="34">
        <f>IFERROR(VLOOKUP($A60,Pivot!$A:$I,1+MATCH(M$3,Pivot!$B$4:$I$4,0),FALSE),0)</f>
        <v>0</v>
      </c>
      <c r="N60" s="34">
        <f t="shared" si="10"/>
        <v>0</v>
      </c>
    </row>
    <row r="61" spans="1:16" x14ac:dyDescent="0.25">
      <c r="A61" s="31" t="s">
        <v>64</v>
      </c>
      <c r="B61" s="32">
        <f>SUM(B62:B88)</f>
        <v>0</v>
      </c>
      <c r="C61" s="32">
        <f t="shared" ref="C61:N61" si="11">SUM(C62:C88)</f>
        <v>0</v>
      </c>
      <c r="D61" s="32">
        <f t="shared" si="11"/>
        <v>117</v>
      </c>
      <c r="E61" s="32">
        <f t="shared" si="11"/>
        <v>0</v>
      </c>
      <c r="F61" s="32">
        <f t="shared" ref="F61:M61" si="12">SUM(F62:F88)</f>
        <v>3</v>
      </c>
      <c r="G61" s="32">
        <f t="shared" si="12"/>
        <v>0</v>
      </c>
      <c r="H61" s="32">
        <f t="shared" si="12"/>
        <v>0</v>
      </c>
      <c r="I61" s="32">
        <f t="shared" si="12"/>
        <v>1</v>
      </c>
      <c r="J61" s="32">
        <f t="shared" si="12"/>
        <v>4</v>
      </c>
      <c r="K61" s="32">
        <f t="shared" si="12"/>
        <v>4</v>
      </c>
      <c r="L61" s="32">
        <f t="shared" si="12"/>
        <v>0</v>
      </c>
      <c r="M61" s="32">
        <f t="shared" si="12"/>
        <v>0</v>
      </c>
      <c r="N61" s="32">
        <f t="shared" si="11"/>
        <v>129</v>
      </c>
      <c r="O61" s="33"/>
      <c r="P61" s="33"/>
    </row>
    <row r="62" spans="1:16" x14ac:dyDescent="0.25">
      <c r="A62" s="28" t="s">
        <v>65</v>
      </c>
      <c r="B62" s="34">
        <f>IFERROR(VLOOKUP($A62,Pivot!$A:$I,1+MATCH(B$3,Pivot!$B$4:$I$4,0),FALSE),0)</f>
        <v>0</v>
      </c>
      <c r="C62" s="34">
        <f>IFERROR(VLOOKUP($A62,Pivot!$A:$I,1+MATCH(C$3,Pivot!$B$4:$I$4,0),FALSE),0)</f>
        <v>0</v>
      </c>
      <c r="D62" s="34">
        <f>IFERROR(VLOOKUP($A62,Pivot!$A:$I,1+MATCH(D$3,Pivot!$B$4:$I$4,0),FALSE),0)</f>
        <v>3</v>
      </c>
      <c r="E62" s="34">
        <f>IFERROR(VLOOKUP($A62,Pivot!$A:$I,1+MATCH(E$3,Pivot!$B$4:$I$4,0),FALSE),0)</f>
        <v>0</v>
      </c>
      <c r="F62" s="34">
        <f>IFERROR(VLOOKUP($A62,Pivot!$A:$I,1+MATCH(F$3,Pivot!$B$4:$I$4,0),FALSE),0)</f>
        <v>0</v>
      </c>
      <c r="G62" s="34">
        <f>IFERROR(VLOOKUP($A62,Pivot!$A:$I,1+MATCH(G$3,Pivot!$B$4:$I$4,0),FALSE),0)</f>
        <v>0</v>
      </c>
      <c r="H62" s="34">
        <f>IFERROR(VLOOKUP($A62,Pivot!$A:$I,1+MATCH(H$3,Pivot!$B$4:$I$4,0),FALSE),0)</f>
        <v>0</v>
      </c>
      <c r="I62" s="34">
        <f>IFERROR(VLOOKUP($A62,Pivot!$A:$I,1+MATCH(I$3,Pivot!$B$4:$I$4,0),FALSE),0)</f>
        <v>0</v>
      </c>
      <c r="J62" s="34">
        <f>IFERROR(VLOOKUP($A62,Pivot!$A:$I,1+MATCH(J$3,Pivot!$B$4:$I$4,0),FALSE),0)</f>
        <v>0</v>
      </c>
      <c r="K62" s="34">
        <f>IFERROR(VLOOKUP($A62,Pivot!$A:$I,1+MATCH(K$3,Pivot!$B$4:$I$4,0),FALSE),0)</f>
        <v>0</v>
      </c>
      <c r="L62" s="34">
        <f>IFERROR(VLOOKUP($A62,Pivot!$A:$I,1+MATCH(L$3,Pivot!$B$4:$I$4,0),FALSE),0)</f>
        <v>0</v>
      </c>
      <c r="M62" s="34">
        <f>IFERROR(VLOOKUP($A62,Pivot!$A:$I,1+MATCH(M$3,Pivot!$B$4:$I$4,0),FALSE),0)</f>
        <v>0</v>
      </c>
      <c r="N62" s="34">
        <f t="shared" ref="N62:N88" si="13">SUM(B62:M62)</f>
        <v>3</v>
      </c>
    </row>
    <row r="63" spans="1:16" x14ac:dyDescent="0.25">
      <c r="A63" s="28" t="s">
        <v>66</v>
      </c>
      <c r="B63" s="34">
        <f>IFERROR(VLOOKUP($A63,Pivot!$A:$I,1+MATCH(B$3,Pivot!$B$4:$I$4,0),FALSE),0)</f>
        <v>0</v>
      </c>
      <c r="C63" s="34">
        <f>IFERROR(VLOOKUP($A63,Pivot!$A:$I,1+MATCH(C$3,Pivot!$B$4:$I$4,0),FALSE),0)</f>
        <v>0</v>
      </c>
      <c r="D63" s="34">
        <f>IFERROR(VLOOKUP($A63,Pivot!$A:$I,1+MATCH(D$3,Pivot!$B$4:$I$4,0),FALSE),0)</f>
        <v>6</v>
      </c>
      <c r="E63" s="34">
        <f>IFERROR(VLOOKUP($A63,Pivot!$A:$I,1+MATCH(E$3,Pivot!$B$4:$I$4,0),FALSE),0)</f>
        <v>0</v>
      </c>
      <c r="F63" s="34">
        <f>IFERROR(VLOOKUP($A63,Pivot!$A:$I,1+MATCH(F$3,Pivot!$B$4:$I$4,0),FALSE),0)</f>
        <v>1</v>
      </c>
      <c r="G63" s="34">
        <f>IFERROR(VLOOKUP($A63,Pivot!$A:$I,1+MATCH(G$3,Pivot!$B$4:$I$4,0),FALSE),0)</f>
        <v>0</v>
      </c>
      <c r="H63" s="34">
        <f>IFERROR(VLOOKUP($A63,Pivot!$A:$I,1+MATCH(H$3,Pivot!$B$4:$I$4,0),FALSE),0)</f>
        <v>0</v>
      </c>
      <c r="I63" s="34">
        <f>IFERROR(VLOOKUP($A63,Pivot!$A:$I,1+MATCH(I$3,Pivot!$B$4:$I$4,0),FALSE),0)</f>
        <v>0</v>
      </c>
      <c r="J63" s="34">
        <f>IFERROR(VLOOKUP($A63,Pivot!$A:$I,1+MATCH(J$3,Pivot!$B$4:$I$4,0),FALSE),0)</f>
        <v>0</v>
      </c>
      <c r="K63" s="34">
        <f>IFERROR(VLOOKUP($A63,Pivot!$A:$I,1+MATCH(K$3,Pivot!$B$4:$I$4,0),FALSE),0)</f>
        <v>0</v>
      </c>
      <c r="L63" s="34">
        <f>IFERROR(VLOOKUP($A63,Pivot!$A:$I,1+MATCH(L$3,Pivot!$B$4:$I$4,0),FALSE),0)</f>
        <v>0</v>
      </c>
      <c r="M63" s="34">
        <f>IFERROR(VLOOKUP($A63,Pivot!$A:$I,1+MATCH(M$3,Pivot!$B$4:$I$4,0),FALSE),0)</f>
        <v>0</v>
      </c>
      <c r="N63" s="34">
        <f t="shared" si="13"/>
        <v>7</v>
      </c>
    </row>
    <row r="64" spans="1:16" x14ac:dyDescent="0.25">
      <c r="A64" s="28" t="s">
        <v>67</v>
      </c>
      <c r="B64" s="34">
        <f>IFERROR(VLOOKUP($A64,Pivot!$A:$I,1+MATCH(B$3,Pivot!$B$4:$I$4,0),FALSE),0)</f>
        <v>0</v>
      </c>
      <c r="C64" s="34">
        <f>IFERROR(VLOOKUP($A64,Pivot!$A:$I,1+MATCH(C$3,Pivot!$B$4:$I$4,0),FALSE),0)</f>
        <v>0</v>
      </c>
      <c r="D64" s="34">
        <f>IFERROR(VLOOKUP($A64,Pivot!$A:$I,1+MATCH(D$3,Pivot!$B$4:$I$4,0),FALSE),0)</f>
        <v>7</v>
      </c>
      <c r="E64" s="34">
        <f>IFERROR(VLOOKUP($A64,Pivot!$A:$I,1+MATCH(E$3,Pivot!$B$4:$I$4,0),FALSE),0)</f>
        <v>0</v>
      </c>
      <c r="F64" s="34">
        <f>IFERROR(VLOOKUP($A64,Pivot!$A:$I,1+MATCH(F$3,Pivot!$B$4:$I$4,0),FALSE),0)</f>
        <v>1</v>
      </c>
      <c r="G64" s="34">
        <f>IFERROR(VLOOKUP($A64,Pivot!$A:$I,1+MATCH(G$3,Pivot!$B$4:$I$4,0),FALSE),0)</f>
        <v>0</v>
      </c>
      <c r="H64" s="34">
        <f>IFERROR(VLOOKUP($A64,Pivot!$A:$I,1+MATCH(H$3,Pivot!$B$4:$I$4,0),FALSE),0)</f>
        <v>0</v>
      </c>
      <c r="I64" s="34">
        <f>IFERROR(VLOOKUP($A64,Pivot!$A:$I,1+MATCH(I$3,Pivot!$B$4:$I$4,0),FALSE),0)</f>
        <v>0</v>
      </c>
      <c r="J64" s="34">
        <f>IFERROR(VLOOKUP($A64,Pivot!$A:$I,1+MATCH(J$3,Pivot!$B$4:$I$4,0),FALSE),0)</f>
        <v>0</v>
      </c>
      <c r="K64" s="34">
        <f>IFERROR(VLOOKUP($A64,Pivot!$A:$I,1+MATCH(K$3,Pivot!$B$4:$I$4,0),FALSE),0)</f>
        <v>0</v>
      </c>
      <c r="L64" s="34">
        <f>IFERROR(VLOOKUP($A64,Pivot!$A:$I,1+MATCH(L$3,Pivot!$B$4:$I$4,0),FALSE),0)</f>
        <v>0</v>
      </c>
      <c r="M64" s="34">
        <f>IFERROR(VLOOKUP($A64,Pivot!$A:$I,1+MATCH(M$3,Pivot!$B$4:$I$4,0),FALSE),0)</f>
        <v>0</v>
      </c>
      <c r="N64" s="34">
        <f t="shared" si="13"/>
        <v>8</v>
      </c>
    </row>
    <row r="65" spans="1:14" x14ac:dyDescent="0.25">
      <c r="A65" s="28" t="s">
        <v>68</v>
      </c>
      <c r="B65" s="34">
        <f>IFERROR(VLOOKUP($A65,Pivot!$A:$I,1+MATCH(B$3,Pivot!$B$4:$I$4,0),FALSE),0)</f>
        <v>0</v>
      </c>
      <c r="C65" s="34">
        <f>IFERROR(VLOOKUP($A65,Pivot!$A:$I,1+MATCH(C$3,Pivot!$B$4:$I$4,0),FALSE),0)</f>
        <v>0</v>
      </c>
      <c r="D65" s="34">
        <f>IFERROR(VLOOKUP($A65,Pivot!$A:$I,1+MATCH(D$3,Pivot!$B$4:$I$4,0),FALSE),0)</f>
        <v>4</v>
      </c>
      <c r="E65" s="34">
        <f>IFERROR(VLOOKUP($A65,Pivot!$A:$I,1+MATCH(E$3,Pivot!$B$4:$I$4,0),FALSE),0)</f>
        <v>0</v>
      </c>
      <c r="F65" s="34">
        <f>IFERROR(VLOOKUP($A65,Pivot!$A:$I,1+MATCH(F$3,Pivot!$B$4:$I$4,0),FALSE),0)</f>
        <v>0</v>
      </c>
      <c r="G65" s="34">
        <f>IFERROR(VLOOKUP($A65,Pivot!$A:$I,1+MATCH(G$3,Pivot!$B$4:$I$4,0),FALSE),0)</f>
        <v>0</v>
      </c>
      <c r="H65" s="34">
        <f>IFERROR(VLOOKUP($A65,Pivot!$A:$I,1+MATCH(H$3,Pivot!$B$4:$I$4,0),FALSE),0)</f>
        <v>0</v>
      </c>
      <c r="I65" s="34">
        <f>IFERROR(VLOOKUP($A65,Pivot!$A:$I,1+MATCH(I$3,Pivot!$B$4:$I$4,0),FALSE),0)</f>
        <v>0</v>
      </c>
      <c r="J65" s="34">
        <f>IFERROR(VLOOKUP($A65,Pivot!$A:$I,1+MATCH(J$3,Pivot!$B$4:$I$4,0),FALSE),0)</f>
        <v>0</v>
      </c>
      <c r="K65" s="34">
        <f>IFERROR(VLOOKUP($A65,Pivot!$A:$I,1+MATCH(K$3,Pivot!$B$4:$I$4,0),FALSE),0)</f>
        <v>0</v>
      </c>
      <c r="L65" s="34">
        <f>IFERROR(VLOOKUP($A65,Pivot!$A:$I,1+MATCH(L$3,Pivot!$B$4:$I$4,0),FALSE),0)</f>
        <v>0</v>
      </c>
      <c r="M65" s="34">
        <f>IFERROR(VLOOKUP($A65,Pivot!$A:$I,1+MATCH(M$3,Pivot!$B$4:$I$4,0),FALSE),0)</f>
        <v>0</v>
      </c>
      <c r="N65" s="34">
        <f t="shared" si="13"/>
        <v>4</v>
      </c>
    </row>
    <row r="66" spans="1:14" x14ac:dyDescent="0.25">
      <c r="A66" s="28" t="s">
        <v>69</v>
      </c>
      <c r="B66" s="34">
        <f>IFERROR(VLOOKUP($A66,Pivot!$A:$I,1+MATCH(B$3,Pivot!$B$4:$I$4,0),FALSE),0)</f>
        <v>0</v>
      </c>
      <c r="C66" s="34">
        <f>IFERROR(VLOOKUP($A66,Pivot!$A:$I,1+MATCH(C$3,Pivot!$B$4:$I$4,0),FALSE),0)</f>
        <v>0</v>
      </c>
      <c r="D66" s="34">
        <f>IFERROR(VLOOKUP($A66,Pivot!$A:$I,1+MATCH(D$3,Pivot!$B$4:$I$4,0),FALSE),0)</f>
        <v>5</v>
      </c>
      <c r="E66" s="34">
        <f>IFERROR(VLOOKUP($A66,Pivot!$A:$I,1+MATCH(E$3,Pivot!$B$4:$I$4,0),FALSE),0)</f>
        <v>0</v>
      </c>
      <c r="F66" s="34">
        <f>IFERROR(VLOOKUP($A66,Pivot!$A:$I,1+MATCH(F$3,Pivot!$B$4:$I$4,0),FALSE),0)</f>
        <v>0</v>
      </c>
      <c r="G66" s="34">
        <f>IFERROR(VLOOKUP($A66,Pivot!$A:$I,1+MATCH(G$3,Pivot!$B$4:$I$4,0),FALSE),0)</f>
        <v>0</v>
      </c>
      <c r="H66" s="34">
        <f>IFERROR(VLOOKUP($A66,Pivot!$A:$I,1+MATCH(H$3,Pivot!$B$4:$I$4,0),FALSE),0)</f>
        <v>0</v>
      </c>
      <c r="I66" s="34">
        <f>IFERROR(VLOOKUP($A66,Pivot!$A:$I,1+MATCH(I$3,Pivot!$B$4:$I$4,0),FALSE),0)</f>
        <v>0</v>
      </c>
      <c r="J66" s="34">
        <f>IFERROR(VLOOKUP($A66,Pivot!$A:$I,1+MATCH(J$3,Pivot!$B$4:$I$4,0),FALSE),0)</f>
        <v>1</v>
      </c>
      <c r="K66" s="34">
        <f>IFERROR(VLOOKUP($A66,Pivot!$A:$I,1+MATCH(K$3,Pivot!$B$4:$I$4,0),FALSE),0)</f>
        <v>0</v>
      </c>
      <c r="L66" s="34">
        <f>IFERROR(VLOOKUP($A66,Pivot!$A:$I,1+MATCH(L$3,Pivot!$B$4:$I$4,0),FALSE),0)</f>
        <v>0</v>
      </c>
      <c r="M66" s="34">
        <f>IFERROR(VLOOKUP($A66,Pivot!$A:$I,1+MATCH(M$3,Pivot!$B$4:$I$4,0),FALSE),0)</f>
        <v>0</v>
      </c>
      <c r="N66" s="34">
        <f t="shared" si="13"/>
        <v>6</v>
      </c>
    </row>
    <row r="67" spans="1:14" x14ac:dyDescent="0.25">
      <c r="A67" s="28" t="s">
        <v>70</v>
      </c>
      <c r="B67" s="34">
        <f>IFERROR(VLOOKUP($A67,Pivot!$A:$I,1+MATCH(B$3,Pivot!$B$4:$I$4,0),FALSE),0)</f>
        <v>0</v>
      </c>
      <c r="C67" s="34">
        <f>IFERROR(VLOOKUP($A67,Pivot!$A:$I,1+MATCH(C$3,Pivot!$B$4:$I$4,0),FALSE),0)</f>
        <v>0</v>
      </c>
      <c r="D67" s="34">
        <f>IFERROR(VLOOKUP($A67,Pivot!$A:$I,1+MATCH(D$3,Pivot!$B$4:$I$4,0),FALSE),0)</f>
        <v>10</v>
      </c>
      <c r="E67" s="34">
        <f>IFERROR(VLOOKUP($A67,Pivot!$A:$I,1+MATCH(E$3,Pivot!$B$4:$I$4,0),FALSE),0)</f>
        <v>0</v>
      </c>
      <c r="F67" s="34">
        <f>IFERROR(VLOOKUP($A67,Pivot!$A:$I,1+MATCH(F$3,Pivot!$B$4:$I$4,0),FALSE),0)</f>
        <v>0</v>
      </c>
      <c r="G67" s="34">
        <f>IFERROR(VLOOKUP($A67,Pivot!$A:$I,1+MATCH(G$3,Pivot!$B$4:$I$4,0),FALSE),0)</f>
        <v>0</v>
      </c>
      <c r="H67" s="34">
        <f>IFERROR(VLOOKUP($A67,Pivot!$A:$I,1+MATCH(H$3,Pivot!$B$4:$I$4,0),FALSE),0)</f>
        <v>0</v>
      </c>
      <c r="I67" s="34">
        <f>IFERROR(VLOOKUP($A67,Pivot!$A:$I,1+MATCH(I$3,Pivot!$B$4:$I$4,0),FALSE),0)</f>
        <v>0</v>
      </c>
      <c r="J67" s="34">
        <f>IFERROR(VLOOKUP($A67,Pivot!$A:$I,1+MATCH(J$3,Pivot!$B$4:$I$4,0),FALSE),0)</f>
        <v>0</v>
      </c>
      <c r="K67" s="34">
        <f>IFERROR(VLOOKUP($A67,Pivot!$A:$I,1+MATCH(K$3,Pivot!$B$4:$I$4,0),FALSE),0)</f>
        <v>1</v>
      </c>
      <c r="L67" s="34">
        <f>IFERROR(VLOOKUP($A67,Pivot!$A:$I,1+MATCH(L$3,Pivot!$B$4:$I$4,0),FALSE),0)</f>
        <v>0</v>
      </c>
      <c r="M67" s="34">
        <f>IFERROR(VLOOKUP($A67,Pivot!$A:$I,1+MATCH(M$3,Pivot!$B$4:$I$4,0),FALSE),0)</f>
        <v>0</v>
      </c>
      <c r="N67" s="34">
        <f t="shared" si="13"/>
        <v>11</v>
      </c>
    </row>
    <row r="68" spans="1:14" x14ac:dyDescent="0.25">
      <c r="A68" s="28" t="s">
        <v>71</v>
      </c>
      <c r="B68" s="34">
        <f>IFERROR(VLOOKUP($A68,Pivot!$A:$I,1+MATCH(B$3,Pivot!$B$4:$I$4,0),FALSE),0)</f>
        <v>0</v>
      </c>
      <c r="C68" s="34">
        <f>IFERROR(VLOOKUP($A68,Pivot!$A:$I,1+MATCH(C$3,Pivot!$B$4:$I$4,0),FALSE),0)</f>
        <v>0</v>
      </c>
      <c r="D68" s="34">
        <f>IFERROR(VLOOKUP($A68,Pivot!$A:$I,1+MATCH(D$3,Pivot!$B$4:$I$4,0),FALSE),0)</f>
        <v>4</v>
      </c>
      <c r="E68" s="34">
        <f>IFERROR(VLOOKUP($A68,Pivot!$A:$I,1+MATCH(E$3,Pivot!$B$4:$I$4,0),FALSE),0)</f>
        <v>0</v>
      </c>
      <c r="F68" s="34">
        <f>IFERROR(VLOOKUP($A68,Pivot!$A:$I,1+MATCH(F$3,Pivot!$B$4:$I$4,0),FALSE),0)</f>
        <v>0</v>
      </c>
      <c r="G68" s="34">
        <f>IFERROR(VLOOKUP($A68,Pivot!$A:$I,1+MATCH(G$3,Pivot!$B$4:$I$4,0),FALSE),0)</f>
        <v>0</v>
      </c>
      <c r="H68" s="34">
        <f>IFERROR(VLOOKUP($A68,Pivot!$A:$I,1+MATCH(H$3,Pivot!$B$4:$I$4,0),FALSE),0)</f>
        <v>0</v>
      </c>
      <c r="I68" s="34">
        <f>IFERROR(VLOOKUP($A68,Pivot!$A:$I,1+MATCH(I$3,Pivot!$B$4:$I$4,0),FALSE),0)</f>
        <v>0</v>
      </c>
      <c r="J68" s="34">
        <f>IFERROR(VLOOKUP($A68,Pivot!$A:$I,1+MATCH(J$3,Pivot!$B$4:$I$4,0),FALSE),0)</f>
        <v>0</v>
      </c>
      <c r="K68" s="34">
        <f>IFERROR(VLOOKUP($A68,Pivot!$A:$I,1+MATCH(K$3,Pivot!$B$4:$I$4,0),FALSE),0)</f>
        <v>0</v>
      </c>
      <c r="L68" s="34">
        <f>IFERROR(VLOOKUP($A68,Pivot!$A:$I,1+MATCH(L$3,Pivot!$B$4:$I$4,0),FALSE),0)</f>
        <v>0</v>
      </c>
      <c r="M68" s="34">
        <f>IFERROR(VLOOKUP($A68,Pivot!$A:$I,1+MATCH(M$3,Pivot!$B$4:$I$4,0),FALSE),0)</f>
        <v>0</v>
      </c>
      <c r="N68" s="34">
        <f t="shared" si="13"/>
        <v>4</v>
      </c>
    </row>
    <row r="69" spans="1:14" x14ac:dyDescent="0.25">
      <c r="A69" s="28" t="s">
        <v>690</v>
      </c>
      <c r="B69" s="34">
        <f>IFERROR(VLOOKUP($A69,Pivot!$A:$I,1+MATCH(B$3,Pivot!$B$4:$I$4,0),FALSE),0)</f>
        <v>0</v>
      </c>
      <c r="C69" s="34">
        <f>IFERROR(VLOOKUP($A69,Pivot!$A:$I,1+MATCH(C$3,Pivot!$B$4:$I$4,0),FALSE),0)</f>
        <v>0</v>
      </c>
      <c r="D69" s="34">
        <f>IFERROR(VLOOKUP($A69,Pivot!$A:$I,1+MATCH(D$3,Pivot!$B$4:$I$4,0),FALSE),0)</f>
        <v>0</v>
      </c>
      <c r="E69" s="34">
        <f>IFERROR(VLOOKUP($A69,Pivot!$A:$I,1+MATCH(E$3,Pivot!$B$4:$I$4,0),FALSE),0)</f>
        <v>0</v>
      </c>
      <c r="F69" s="34">
        <f>IFERROR(VLOOKUP($A69,Pivot!$A:$I,1+MATCH(F$3,Pivot!$B$4:$I$4,0),FALSE),0)</f>
        <v>0</v>
      </c>
      <c r="G69" s="34">
        <f>IFERROR(VLOOKUP($A69,Pivot!$A:$I,1+MATCH(G$3,Pivot!$B$4:$I$4,0),FALSE),0)</f>
        <v>0</v>
      </c>
      <c r="H69" s="34">
        <f>IFERROR(VLOOKUP($A69,Pivot!$A:$I,1+MATCH(H$3,Pivot!$B$4:$I$4,0),FALSE),0)</f>
        <v>0</v>
      </c>
      <c r="I69" s="34">
        <f>IFERROR(VLOOKUP($A69,Pivot!$A:$I,1+MATCH(I$3,Pivot!$B$4:$I$4,0),FALSE),0)</f>
        <v>0</v>
      </c>
      <c r="J69" s="34">
        <f>IFERROR(VLOOKUP($A69,Pivot!$A:$I,1+MATCH(J$3,Pivot!$B$4:$I$4,0),FALSE),0)</f>
        <v>0</v>
      </c>
      <c r="K69" s="34">
        <f>IFERROR(VLOOKUP($A69,Pivot!$A:$I,1+MATCH(K$3,Pivot!$B$4:$I$4,0),FALSE),0)</f>
        <v>0</v>
      </c>
      <c r="L69" s="34">
        <f>IFERROR(VLOOKUP($A69,Pivot!$A:$I,1+MATCH(L$3,Pivot!$B$4:$I$4,0),FALSE),0)</f>
        <v>0</v>
      </c>
      <c r="M69" s="34">
        <f>IFERROR(VLOOKUP($A69,Pivot!$A:$I,1+MATCH(M$3,Pivot!$B$4:$I$4,0),FALSE),0)</f>
        <v>0</v>
      </c>
      <c r="N69" s="34">
        <f t="shared" si="13"/>
        <v>0</v>
      </c>
    </row>
    <row r="70" spans="1:14" x14ac:dyDescent="0.25">
      <c r="A70" s="28" t="s">
        <v>691</v>
      </c>
      <c r="B70" s="34">
        <f>IFERROR(VLOOKUP($A70,Pivot!$A:$I,1+MATCH(B$3,Pivot!$B$4:$I$4,0),FALSE),0)</f>
        <v>0</v>
      </c>
      <c r="C70" s="34">
        <f>IFERROR(VLOOKUP($A70,Pivot!$A:$I,1+MATCH(C$3,Pivot!$B$4:$I$4,0),FALSE),0)</f>
        <v>0</v>
      </c>
      <c r="D70" s="34">
        <f>IFERROR(VLOOKUP($A70,Pivot!$A:$I,1+MATCH(D$3,Pivot!$B$4:$I$4,0),FALSE),0)</f>
        <v>1</v>
      </c>
      <c r="E70" s="34">
        <f>IFERROR(VLOOKUP($A70,Pivot!$A:$I,1+MATCH(E$3,Pivot!$B$4:$I$4,0),FALSE),0)</f>
        <v>0</v>
      </c>
      <c r="F70" s="34">
        <f>IFERROR(VLOOKUP($A70,Pivot!$A:$I,1+MATCH(F$3,Pivot!$B$4:$I$4,0),FALSE),0)</f>
        <v>0</v>
      </c>
      <c r="G70" s="34">
        <f>IFERROR(VLOOKUP($A70,Pivot!$A:$I,1+MATCH(G$3,Pivot!$B$4:$I$4,0),FALSE),0)</f>
        <v>0</v>
      </c>
      <c r="H70" s="34">
        <f>IFERROR(VLOOKUP($A70,Pivot!$A:$I,1+MATCH(H$3,Pivot!$B$4:$I$4,0),FALSE),0)</f>
        <v>0</v>
      </c>
      <c r="I70" s="34">
        <f>IFERROR(VLOOKUP($A70,Pivot!$A:$I,1+MATCH(I$3,Pivot!$B$4:$I$4,0),FALSE),0)</f>
        <v>0</v>
      </c>
      <c r="J70" s="34">
        <f>IFERROR(VLOOKUP($A70,Pivot!$A:$I,1+MATCH(J$3,Pivot!$B$4:$I$4,0),FALSE),0)</f>
        <v>0</v>
      </c>
      <c r="K70" s="34">
        <f>IFERROR(VLOOKUP($A70,Pivot!$A:$I,1+MATCH(K$3,Pivot!$B$4:$I$4,0),FALSE),0)</f>
        <v>0</v>
      </c>
      <c r="L70" s="34">
        <f>IFERROR(VLOOKUP($A70,Pivot!$A:$I,1+MATCH(L$3,Pivot!$B$4:$I$4,0),FALSE),0)</f>
        <v>0</v>
      </c>
      <c r="M70" s="34">
        <f>IFERROR(VLOOKUP($A70,Pivot!$A:$I,1+MATCH(M$3,Pivot!$B$4:$I$4,0),FALSE),0)</f>
        <v>0</v>
      </c>
      <c r="N70" s="34">
        <f t="shared" si="13"/>
        <v>1</v>
      </c>
    </row>
    <row r="71" spans="1:14" x14ac:dyDescent="0.25">
      <c r="A71" s="28" t="s">
        <v>72</v>
      </c>
      <c r="B71" s="34">
        <f>IFERROR(VLOOKUP($A71,Pivot!$A:$I,1+MATCH(B$3,Pivot!$B$4:$I$4,0),FALSE),0)</f>
        <v>0</v>
      </c>
      <c r="C71" s="34">
        <f>IFERROR(VLOOKUP($A71,Pivot!$A:$I,1+MATCH(C$3,Pivot!$B$4:$I$4,0),FALSE),0)</f>
        <v>0</v>
      </c>
      <c r="D71" s="34">
        <f>IFERROR(VLOOKUP($A71,Pivot!$A:$I,1+MATCH(D$3,Pivot!$B$4:$I$4,0),FALSE),0)</f>
        <v>3</v>
      </c>
      <c r="E71" s="34">
        <f>IFERROR(VLOOKUP($A71,Pivot!$A:$I,1+MATCH(E$3,Pivot!$B$4:$I$4,0),FALSE),0)</f>
        <v>0</v>
      </c>
      <c r="F71" s="34">
        <f>IFERROR(VLOOKUP($A71,Pivot!$A:$I,1+MATCH(F$3,Pivot!$B$4:$I$4,0),FALSE),0)</f>
        <v>0</v>
      </c>
      <c r="G71" s="34">
        <f>IFERROR(VLOOKUP($A71,Pivot!$A:$I,1+MATCH(G$3,Pivot!$B$4:$I$4,0),FALSE),0)</f>
        <v>0</v>
      </c>
      <c r="H71" s="34">
        <f>IFERROR(VLOOKUP($A71,Pivot!$A:$I,1+MATCH(H$3,Pivot!$B$4:$I$4,0),FALSE),0)</f>
        <v>0</v>
      </c>
      <c r="I71" s="34">
        <f>IFERROR(VLOOKUP($A71,Pivot!$A:$I,1+MATCH(I$3,Pivot!$B$4:$I$4,0),FALSE),0)</f>
        <v>0</v>
      </c>
      <c r="J71" s="34">
        <f>IFERROR(VLOOKUP($A71,Pivot!$A:$I,1+MATCH(J$3,Pivot!$B$4:$I$4,0),FALSE),0)</f>
        <v>0</v>
      </c>
      <c r="K71" s="34">
        <f>IFERROR(VLOOKUP($A71,Pivot!$A:$I,1+MATCH(K$3,Pivot!$B$4:$I$4,0),FALSE),0)</f>
        <v>0</v>
      </c>
      <c r="L71" s="34">
        <f>IFERROR(VLOOKUP($A71,Pivot!$A:$I,1+MATCH(L$3,Pivot!$B$4:$I$4,0),FALSE),0)</f>
        <v>0</v>
      </c>
      <c r="M71" s="34">
        <f>IFERROR(VLOOKUP($A71,Pivot!$A:$I,1+MATCH(M$3,Pivot!$B$4:$I$4,0),FALSE),0)</f>
        <v>0</v>
      </c>
      <c r="N71" s="34">
        <f t="shared" si="13"/>
        <v>3</v>
      </c>
    </row>
    <row r="72" spans="1:14" x14ac:dyDescent="0.25">
      <c r="A72" s="28" t="s">
        <v>73</v>
      </c>
      <c r="B72" s="34">
        <f>IFERROR(VLOOKUP($A72,Pivot!$A:$I,1+MATCH(B$3,Pivot!$B$4:$I$4,0),FALSE),0)</f>
        <v>0</v>
      </c>
      <c r="C72" s="34">
        <f>IFERROR(VLOOKUP($A72,Pivot!$A:$I,1+MATCH(C$3,Pivot!$B$4:$I$4,0),FALSE),0)</f>
        <v>0</v>
      </c>
      <c r="D72" s="34">
        <f>IFERROR(VLOOKUP($A72,Pivot!$A:$I,1+MATCH(D$3,Pivot!$B$4:$I$4,0),FALSE),0)</f>
        <v>8</v>
      </c>
      <c r="E72" s="34">
        <f>IFERROR(VLOOKUP($A72,Pivot!$A:$I,1+MATCH(E$3,Pivot!$B$4:$I$4,0),FALSE),0)</f>
        <v>0</v>
      </c>
      <c r="F72" s="34">
        <f>IFERROR(VLOOKUP($A72,Pivot!$A:$I,1+MATCH(F$3,Pivot!$B$4:$I$4,0),FALSE),0)</f>
        <v>0</v>
      </c>
      <c r="G72" s="34">
        <f>IFERROR(VLOOKUP($A72,Pivot!$A:$I,1+MATCH(G$3,Pivot!$B$4:$I$4,0),FALSE),0)</f>
        <v>0</v>
      </c>
      <c r="H72" s="34">
        <f>IFERROR(VLOOKUP($A72,Pivot!$A:$I,1+MATCH(H$3,Pivot!$B$4:$I$4,0),FALSE),0)</f>
        <v>0</v>
      </c>
      <c r="I72" s="34">
        <f>IFERROR(VLOOKUP($A72,Pivot!$A:$I,1+MATCH(I$3,Pivot!$B$4:$I$4,0),FALSE),0)</f>
        <v>0</v>
      </c>
      <c r="J72" s="34">
        <f>IFERROR(VLOOKUP($A72,Pivot!$A:$I,1+MATCH(J$3,Pivot!$B$4:$I$4,0),FALSE),0)</f>
        <v>0</v>
      </c>
      <c r="K72" s="34">
        <f>IFERROR(VLOOKUP($A72,Pivot!$A:$I,1+MATCH(K$3,Pivot!$B$4:$I$4,0),FALSE),0)</f>
        <v>0</v>
      </c>
      <c r="L72" s="34">
        <f>IFERROR(VLOOKUP($A72,Pivot!$A:$I,1+MATCH(L$3,Pivot!$B$4:$I$4,0),FALSE),0)</f>
        <v>0</v>
      </c>
      <c r="M72" s="34">
        <f>IFERROR(VLOOKUP($A72,Pivot!$A:$I,1+MATCH(M$3,Pivot!$B$4:$I$4,0),FALSE),0)</f>
        <v>0</v>
      </c>
      <c r="N72" s="34">
        <f t="shared" si="13"/>
        <v>8</v>
      </c>
    </row>
    <row r="73" spans="1:14" x14ac:dyDescent="0.25">
      <c r="A73" s="28" t="s">
        <v>74</v>
      </c>
      <c r="B73" s="34">
        <f>IFERROR(VLOOKUP($A73,Pivot!$A:$I,1+MATCH(B$3,Pivot!$B$4:$I$4,0),FALSE),0)</f>
        <v>0</v>
      </c>
      <c r="C73" s="34">
        <f>IFERROR(VLOOKUP($A73,Pivot!$A:$I,1+MATCH(C$3,Pivot!$B$4:$I$4,0),FALSE),0)</f>
        <v>0</v>
      </c>
      <c r="D73" s="34">
        <f>IFERROR(VLOOKUP($A73,Pivot!$A:$I,1+MATCH(D$3,Pivot!$B$4:$I$4,0),FALSE),0)</f>
        <v>8</v>
      </c>
      <c r="E73" s="34">
        <f>IFERROR(VLOOKUP($A73,Pivot!$A:$I,1+MATCH(E$3,Pivot!$B$4:$I$4,0),FALSE),0)</f>
        <v>0</v>
      </c>
      <c r="F73" s="34">
        <f>IFERROR(VLOOKUP($A73,Pivot!$A:$I,1+MATCH(F$3,Pivot!$B$4:$I$4,0),FALSE),0)</f>
        <v>0</v>
      </c>
      <c r="G73" s="34">
        <f>IFERROR(VLOOKUP($A73,Pivot!$A:$I,1+MATCH(G$3,Pivot!$B$4:$I$4,0),FALSE),0)</f>
        <v>0</v>
      </c>
      <c r="H73" s="34">
        <f>IFERROR(VLOOKUP($A73,Pivot!$A:$I,1+MATCH(H$3,Pivot!$B$4:$I$4,0),FALSE),0)</f>
        <v>0</v>
      </c>
      <c r="I73" s="34">
        <f>IFERROR(VLOOKUP($A73,Pivot!$A:$I,1+MATCH(I$3,Pivot!$B$4:$I$4,0),FALSE),0)</f>
        <v>0</v>
      </c>
      <c r="J73" s="34">
        <f>IFERROR(VLOOKUP($A73,Pivot!$A:$I,1+MATCH(J$3,Pivot!$B$4:$I$4,0),FALSE),0)</f>
        <v>0</v>
      </c>
      <c r="K73" s="34">
        <f>IFERROR(VLOOKUP($A73,Pivot!$A:$I,1+MATCH(K$3,Pivot!$B$4:$I$4,0),FALSE),0)</f>
        <v>1</v>
      </c>
      <c r="L73" s="34">
        <f>IFERROR(VLOOKUP($A73,Pivot!$A:$I,1+MATCH(L$3,Pivot!$B$4:$I$4,0),FALSE),0)</f>
        <v>0</v>
      </c>
      <c r="M73" s="34">
        <f>IFERROR(VLOOKUP($A73,Pivot!$A:$I,1+MATCH(M$3,Pivot!$B$4:$I$4,0),FALSE),0)</f>
        <v>0</v>
      </c>
      <c r="N73" s="34">
        <f t="shared" si="13"/>
        <v>9</v>
      </c>
    </row>
    <row r="74" spans="1:14" x14ac:dyDescent="0.25">
      <c r="A74" s="28" t="s">
        <v>75</v>
      </c>
      <c r="B74" s="34">
        <f>IFERROR(VLOOKUP($A74,Pivot!$A:$I,1+MATCH(B$3,Pivot!$B$4:$I$4,0),FALSE),0)</f>
        <v>0</v>
      </c>
      <c r="C74" s="34">
        <f>IFERROR(VLOOKUP($A74,Pivot!$A:$I,1+MATCH(C$3,Pivot!$B$4:$I$4,0),FALSE),0)</f>
        <v>0</v>
      </c>
      <c r="D74" s="34">
        <f>IFERROR(VLOOKUP($A74,Pivot!$A:$I,1+MATCH(D$3,Pivot!$B$4:$I$4,0),FALSE),0)</f>
        <v>2</v>
      </c>
      <c r="E74" s="34">
        <f>IFERROR(VLOOKUP($A74,Pivot!$A:$I,1+MATCH(E$3,Pivot!$B$4:$I$4,0),FALSE),0)</f>
        <v>0</v>
      </c>
      <c r="F74" s="34">
        <f>IFERROR(VLOOKUP($A74,Pivot!$A:$I,1+MATCH(F$3,Pivot!$B$4:$I$4,0),FALSE),0)</f>
        <v>0</v>
      </c>
      <c r="G74" s="34">
        <f>IFERROR(VLOOKUP($A74,Pivot!$A:$I,1+MATCH(G$3,Pivot!$B$4:$I$4,0),FALSE),0)</f>
        <v>0</v>
      </c>
      <c r="H74" s="34">
        <f>IFERROR(VLOOKUP($A74,Pivot!$A:$I,1+MATCH(H$3,Pivot!$B$4:$I$4,0),FALSE),0)</f>
        <v>0</v>
      </c>
      <c r="I74" s="34">
        <f>IFERROR(VLOOKUP($A74,Pivot!$A:$I,1+MATCH(I$3,Pivot!$B$4:$I$4,0),FALSE),0)</f>
        <v>0</v>
      </c>
      <c r="J74" s="34">
        <f>IFERROR(VLOOKUP($A74,Pivot!$A:$I,1+MATCH(J$3,Pivot!$B$4:$I$4,0),FALSE),0)</f>
        <v>0</v>
      </c>
      <c r="K74" s="34">
        <f>IFERROR(VLOOKUP($A74,Pivot!$A:$I,1+MATCH(K$3,Pivot!$B$4:$I$4,0),FALSE),0)</f>
        <v>0</v>
      </c>
      <c r="L74" s="34">
        <f>IFERROR(VLOOKUP($A74,Pivot!$A:$I,1+MATCH(L$3,Pivot!$B$4:$I$4,0),FALSE),0)</f>
        <v>0</v>
      </c>
      <c r="M74" s="34">
        <f>IFERROR(VLOOKUP($A74,Pivot!$A:$I,1+MATCH(M$3,Pivot!$B$4:$I$4,0),FALSE),0)</f>
        <v>0</v>
      </c>
      <c r="N74" s="34">
        <f t="shared" si="13"/>
        <v>2</v>
      </c>
    </row>
    <row r="75" spans="1:14" x14ac:dyDescent="0.25">
      <c r="A75" s="28" t="s">
        <v>76</v>
      </c>
      <c r="B75" s="34">
        <f>IFERROR(VLOOKUP($A75,Pivot!$A:$I,1+MATCH(B$3,Pivot!$B$4:$I$4,0),FALSE),0)</f>
        <v>0</v>
      </c>
      <c r="C75" s="34">
        <f>IFERROR(VLOOKUP($A75,Pivot!$A:$I,1+MATCH(C$3,Pivot!$B$4:$I$4,0),FALSE),0)</f>
        <v>0</v>
      </c>
      <c r="D75" s="34">
        <f>IFERROR(VLOOKUP($A75,Pivot!$A:$I,1+MATCH(D$3,Pivot!$B$4:$I$4,0),FALSE),0)</f>
        <v>7</v>
      </c>
      <c r="E75" s="34">
        <f>IFERROR(VLOOKUP($A75,Pivot!$A:$I,1+MATCH(E$3,Pivot!$B$4:$I$4,0),FALSE),0)</f>
        <v>0</v>
      </c>
      <c r="F75" s="34">
        <f>IFERROR(VLOOKUP($A75,Pivot!$A:$I,1+MATCH(F$3,Pivot!$B$4:$I$4,0),FALSE),0)</f>
        <v>0</v>
      </c>
      <c r="G75" s="34">
        <f>IFERROR(VLOOKUP($A75,Pivot!$A:$I,1+MATCH(G$3,Pivot!$B$4:$I$4,0),FALSE),0)</f>
        <v>0</v>
      </c>
      <c r="H75" s="34">
        <f>IFERROR(VLOOKUP($A75,Pivot!$A:$I,1+MATCH(H$3,Pivot!$B$4:$I$4,0),FALSE),0)</f>
        <v>0</v>
      </c>
      <c r="I75" s="34">
        <f>IFERROR(VLOOKUP($A75,Pivot!$A:$I,1+MATCH(I$3,Pivot!$B$4:$I$4,0),FALSE),0)</f>
        <v>0</v>
      </c>
      <c r="J75" s="34">
        <f>IFERROR(VLOOKUP($A75,Pivot!$A:$I,1+MATCH(J$3,Pivot!$B$4:$I$4,0),FALSE),0)</f>
        <v>0</v>
      </c>
      <c r="K75" s="34">
        <f>IFERROR(VLOOKUP($A75,Pivot!$A:$I,1+MATCH(K$3,Pivot!$B$4:$I$4,0),FALSE),0)</f>
        <v>0</v>
      </c>
      <c r="L75" s="34">
        <f>IFERROR(VLOOKUP($A75,Pivot!$A:$I,1+MATCH(L$3,Pivot!$B$4:$I$4,0),FALSE),0)</f>
        <v>0</v>
      </c>
      <c r="M75" s="34">
        <f>IFERROR(VLOOKUP($A75,Pivot!$A:$I,1+MATCH(M$3,Pivot!$B$4:$I$4,0),FALSE),0)</f>
        <v>0</v>
      </c>
      <c r="N75" s="34">
        <f t="shared" si="13"/>
        <v>7</v>
      </c>
    </row>
    <row r="76" spans="1:14" x14ac:dyDescent="0.25">
      <c r="A76" s="28" t="s">
        <v>77</v>
      </c>
      <c r="B76" s="34">
        <f>IFERROR(VLOOKUP($A76,Pivot!$A:$I,1+MATCH(B$3,Pivot!$B$4:$I$4,0),FALSE),0)</f>
        <v>0</v>
      </c>
      <c r="C76" s="34">
        <f>IFERROR(VLOOKUP($A76,Pivot!$A:$I,1+MATCH(C$3,Pivot!$B$4:$I$4,0),FALSE),0)</f>
        <v>0</v>
      </c>
      <c r="D76" s="34">
        <f>IFERROR(VLOOKUP($A76,Pivot!$A:$I,1+MATCH(D$3,Pivot!$B$4:$I$4,0),FALSE),0)</f>
        <v>2</v>
      </c>
      <c r="E76" s="34">
        <f>IFERROR(VLOOKUP($A76,Pivot!$A:$I,1+MATCH(E$3,Pivot!$B$4:$I$4,0),FALSE),0)</f>
        <v>0</v>
      </c>
      <c r="F76" s="34">
        <f>IFERROR(VLOOKUP($A76,Pivot!$A:$I,1+MATCH(F$3,Pivot!$B$4:$I$4,0),FALSE),0)</f>
        <v>0</v>
      </c>
      <c r="G76" s="34">
        <f>IFERROR(VLOOKUP($A76,Pivot!$A:$I,1+MATCH(G$3,Pivot!$B$4:$I$4,0),FALSE),0)</f>
        <v>0</v>
      </c>
      <c r="H76" s="34">
        <f>IFERROR(VLOOKUP($A76,Pivot!$A:$I,1+MATCH(H$3,Pivot!$B$4:$I$4,0),FALSE),0)</f>
        <v>0</v>
      </c>
      <c r="I76" s="34">
        <f>IFERROR(VLOOKUP($A76,Pivot!$A:$I,1+MATCH(I$3,Pivot!$B$4:$I$4,0),FALSE),0)</f>
        <v>0</v>
      </c>
      <c r="J76" s="34">
        <f>IFERROR(VLOOKUP($A76,Pivot!$A:$I,1+MATCH(J$3,Pivot!$B$4:$I$4,0),FALSE),0)</f>
        <v>0</v>
      </c>
      <c r="K76" s="34">
        <f>IFERROR(VLOOKUP($A76,Pivot!$A:$I,1+MATCH(K$3,Pivot!$B$4:$I$4,0),FALSE),0)</f>
        <v>0</v>
      </c>
      <c r="L76" s="34">
        <f>IFERROR(VLOOKUP($A76,Pivot!$A:$I,1+MATCH(L$3,Pivot!$B$4:$I$4,0),FALSE),0)</f>
        <v>0</v>
      </c>
      <c r="M76" s="34">
        <f>IFERROR(VLOOKUP($A76,Pivot!$A:$I,1+MATCH(M$3,Pivot!$B$4:$I$4,0),FALSE),0)</f>
        <v>0</v>
      </c>
      <c r="N76" s="34">
        <f t="shared" si="13"/>
        <v>2</v>
      </c>
    </row>
    <row r="77" spans="1:14" x14ac:dyDescent="0.25">
      <c r="A77" s="28" t="s">
        <v>692</v>
      </c>
      <c r="B77" s="34">
        <f>IFERROR(VLOOKUP($A77,Pivot!$A:$I,1+MATCH(B$3,Pivot!$B$4:$I$4,0),FALSE),0)</f>
        <v>0</v>
      </c>
      <c r="C77" s="34">
        <f>IFERROR(VLOOKUP($A77,Pivot!$A:$I,1+MATCH(C$3,Pivot!$B$4:$I$4,0),FALSE),0)</f>
        <v>0</v>
      </c>
      <c r="D77" s="34">
        <f>IFERROR(VLOOKUP($A77,Pivot!$A:$I,1+MATCH(D$3,Pivot!$B$4:$I$4,0),FALSE),0)</f>
        <v>0</v>
      </c>
      <c r="E77" s="34">
        <f>IFERROR(VLOOKUP($A77,Pivot!$A:$I,1+MATCH(E$3,Pivot!$B$4:$I$4,0),FALSE),0)</f>
        <v>0</v>
      </c>
      <c r="F77" s="34">
        <f>IFERROR(VLOOKUP($A77,Pivot!$A:$I,1+MATCH(F$3,Pivot!$B$4:$I$4,0),FALSE),0)</f>
        <v>0</v>
      </c>
      <c r="G77" s="34">
        <f>IFERROR(VLOOKUP($A77,Pivot!$A:$I,1+MATCH(G$3,Pivot!$B$4:$I$4,0),FALSE),0)</f>
        <v>0</v>
      </c>
      <c r="H77" s="34">
        <f>IFERROR(VLOOKUP($A77,Pivot!$A:$I,1+MATCH(H$3,Pivot!$B$4:$I$4,0),FALSE),0)</f>
        <v>0</v>
      </c>
      <c r="I77" s="34">
        <f>IFERROR(VLOOKUP($A77,Pivot!$A:$I,1+MATCH(I$3,Pivot!$B$4:$I$4,0),FALSE),0)</f>
        <v>0</v>
      </c>
      <c r="J77" s="34">
        <f>IFERROR(VLOOKUP($A77,Pivot!$A:$I,1+MATCH(J$3,Pivot!$B$4:$I$4,0),FALSE),0)</f>
        <v>1</v>
      </c>
      <c r="K77" s="34">
        <f>IFERROR(VLOOKUP($A77,Pivot!$A:$I,1+MATCH(K$3,Pivot!$B$4:$I$4,0),FALSE),0)</f>
        <v>0</v>
      </c>
      <c r="L77" s="34">
        <f>IFERROR(VLOOKUP($A77,Pivot!$A:$I,1+MATCH(L$3,Pivot!$B$4:$I$4,0),FALSE),0)</f>
        <v>0</v>
      </c>
      <c r="M77" s="34">
        <f>IFERROR(VLOOKUP($A77,Pivot!$A:$I,1+MATCH(M$3,Pivot!$B$4:$I$4,0),FALSE),0)</f>
        <v>0</v>
      </c>
      <c r="N77" s="34">
        <f t="shared" si="13"/>
        <v>1</v>
      </c>
    </row>
    <row r="78" spans="1:14" x14ac:dyDescent="0.25">
      <c r="A78" s="28" t="s">
        <v>78</v>
      </c>
      <c r="B78" s="34">
        <f>IFERROR(VLOOKUP($A78,Pivot!$A:$I,1+MATCH(B$3,Pivot!$B$4:$I$4,0),FALSE),0)</f>
        <v>0</v>
      </c>
      <c r="C78" s="34">
        <f>IFERROR(VLOOKUP($A78,Pivot!$A:$I,1+MATCH(C$3,Pivot!$B$4:$I$4,0),FALSE),0)</f>
        <v>0</v>
      </c>
      <c r="D78" s="34">
        <f>IFERROR(VLOOKUP($A78,Pivot!$A:$I,1+MATCH(D$3,Pivot!$B$4:$I$4,0),FALSE),0)</f>
        <v>2</v>
      </c>
      <c r="E78" s="34">
        <f>IFERROR(VLOOKUP($A78,Pivot!$A:$I,1+MATCH(E$3,Pivot!$B$4:$I$4,0),FALSE),0)</f>
        <v>0</v>
      </c>
      <c r="F78" s="34">
        <f>IFERROR(VLOOKUP($A78,Pivot!$A:$I,1+MATCH(F$3,Pivot!$B$4:$I$4,0),FALSE),0)</f>
        <v>0</v>
      </c>
      <c r="G78" s="34">
        <f>IFERROR(VLOOKUP($A78,Pivot!$A:$I,1+MATCH(G$3,Pivot!$B$4:$I$4,0),FALSE),0)</f>
        <v>0</v>
      </c>
      <c r="H78" s="34">
        <f>IFERROR(VLOOKUP($A78,Pivot!$A:$I,1+MATCH(H$3,Pivot!$B$4:$I$4,0),FALSE),0)</f>
        <v>0</v>
      </c>
      <c r="I78" s="34">
        <f>IFERROR(VLOOKUP($A78,Pivot!$A:$I,1+MATCH(I$3,Pivot!$B$4:$I$4,0),FALSE),0)</f>
        <v>0</v>
      </c>
      <c r="J78" s="34">
        <f>IFERROR(VLOOKUP($A78,Pivot!$A:$I,1+MATCH(J$3,Pivot!$B$4:$I$4,0),FALSE),0)</f>
        <v>0</v>
      </c>
      <c r="K78" s="34">
        <f>IFERROR(VLOOKUP($A78,Pivot!$A:$I,1+MATCH(K$3,Pivot!$B$4:$I$4,0),FALSE),0)</f>
        <v>0</v>
      </c>
      <c r="L78" s="34">
        <f>IFERROR(VLOOKUP($A78,Pivot!$A:$I,1+MATCH(L$3,Pivot!$B$4:$I$4,0),FALSE),0)</f>
        <v>0</v>
      </c>
      <c r="M78" s="34">
        <f>IFERROR(VLOOKUP($A78,Pivot!$A:$I,1+MATCH(M$3,Pivot!$B$4:$I$4,0),FALSE),0)</f>
        <v>0</v>
      </c>
      <c r="N78" s="34">
        <f t="shared" si="13"/>
        <v>2</v>
      </c>
    </row>
    <row r="79" spans="1:14" x14ac:dyDescent="0.25">
      <c r="A79" s="28" t="s">
        <v>79</v>
      </c>
      <c r="B79" s="34">
        <f>IFERROR(VLOOKUP($A79,Pivot!$A:$I,1+MATCH(B$3,Pivot!$B$4:$I$4,0),FALSE),0)</f>
        <v>0</v>
      </c>
      <c r="C79" s="34">
        <f>IFERROR(VLOOKUP($A79,Pivot!$A:$I,1+MATCH(C$3,Pivot!$B$4:$I$4,0),FALSE),0)</f>
        <v>0</v>
      </c>
      <c r="D79" s="34">
        <f>IFERROR(VLOOKUP($A79,Pivot!$A:$I,1+MATCH(D$3,Pivot!$B$4:$I$4,0),FALSE),0)</f>
        <v>11</v>
      </c>
      <c r="E79" s="34">
        <f>IFERROR(VLOOKUP($A79,Pivot!$A:$I,1+MATCH(E$3,Pivot!$B$4:$I$4,0),FALSE),0)</f>
        <v>0</v>
      </c>
      <c r="F79" s="34">
        <f>IFERROR(VLOOKUP($A79,Pivot!$A:$I,1+MATCH(F$3,Pivot!$B$4:$I$4,0),FALSE),0)</f>
        <v>0</v>
      </c>
      <c r="G79" s="34">
        <f>IFERROR(VLOOKUP($A79,Pivot!$A:$I,1+MATCH(G$3,Pivot!$B$4:$I$4,0),FALSE),0)</f>
        <v>0</v>
      </c>
      <c r="H79" s="34">
        <f>IFERROR(VLOOKUP($A79,Pivot!$A:$I,1+MATCH(H$3,Pivot!$B$4:$I$4,0),FALSE),0)</f>
        <v>0</v>
      </c>
      <c r="I79" s="34">
        <f>IFERROR(VLOOKUP($A79,Pivot!$A:$I,1+MATCH(I$3,Pivot!$B$4:$I$4,0),FALSE),0)</f>
        <v>1</v>
      </c>
      <c r="J79" s="34">
        <f>IFERROR(VLOOKUP($A79,Pivot!$A:$I,1+MATCH(J$3,Pivot!$B$4:$I$4,0),FALSE),0)</f>
        <v>1</v>
      </c>
      <c r="K79" s="34">
        <f>IFERROR(VLOOKUP($A79,Pivot!$A:$I,1+MATCH(K$3,Pivot!$B$4:$I$4,0),FALSE),0)</f>
        <v>0</v>
      </c>
      <c r="L79" s="34">
        <f>IFERROR(VLOOKUP($A79,Pivot!$A:$I,1+MATCH(L$3,Pivot!$B$4:$I$4,0),FALSE),0)</f>
        <v>0</v>
      </c>
      <c r="M79" s="34">
        <f>IFERROR(VLOOKUP($A79,Pivot!$A:$I,1+MATCH(M$3,Pivot!$B$4:$I$4,0),FALSE),0)</f>
        <v>0</v>
      </c>
      <c r="N79" s="34">
        <f t="shared" si="13"/>
        <v>13</v>
      </c>
    </row>
    <row r="80" spans="1:14" x14ac:dyDescent="0.25">
      <c r="A80" s="28" t="s">
        <v>80</v>
      </c>
      <c r="B80" s="34">
        <f>IFERROR(VLOOKUP($A80,Pivot!$A:$I,1+MATCH(B$3,Pivot!$B$4:$I$4,0),FALSE),0)</f>
        <v>0</v>
      </c>
      <c r="C80" s="34">
        <f>IFERROR(VLOOKUP($A80,Pivot!$A:$I,1+MATCH(C$3,Pivot!$B$4:$I$4,0),FALSE),0)</f>
        <v>0</v>
      </c>
      <c r="D80" s="34">
        <f>IFERROR(VLOOKUP($A80,Pivot!$A:$I,1+MATCH(D$3,Pivot!$B$4:$I$4,0),FALSE),0)</f>
        <v>4</v>
      </c>
      <c r="E80" s="34">
        <f>IFERROR(VLOOKUP($A80,Pivot!$A:$I,1+MATCH(E$3,Pivot!$B$4:$I$4,0),FALSE),0)</f>
        <v>0</v>
      </c>
      <c r="F80" s="34">
        <f>IFERROR(VLOOKUP($A80,Pivot!$A:$I,1+MATCH(F$3,Pivot!$B$4:$I$4,0),FALSE),0)</f>
        <v>0</v>
      </c>
      <c r="G80" s="34">
        <f>IFERROR(VLOOKUP($A80,Pivot!$A:$I,1+MATCH(G$3,Pivot!$B$4:$I$4,0),FALSE),0)</f>
        <v>0</v>
      </c>
      <c r="H80" s="34">
        <f>IFERROR(VLOOKUP($A80,Pivot!$A:$I,1+MATCH(H$3,Pivot!$B$4:$I$4,0),FALSE),0)</f>
        <v>0</v>
      </c>
      <c r="I80" s="34">
        <f>IFERROR(VLOOKUP($A80,Pivot!$A:$I,1+MATCH(I$3,Pivot!$B$4:$I$4,0),FALSE),0)</f>
        <v>0</v>
      </c>
      <c r="J80" s="34">
        <f>IFERROR(VLOOKUP($A80,Pivot!$A:$I,1+MATCH(J$3,Pivot!$B$4:$I$4,0),FALSE),0)</f>
        <v>0</v>
      </c>
      <c r="K80" s="34">
        <f>IFERROR(VLOOKUP($A80,Pivot!$A:$I,1+MATCH(K$3,Pivot!$B$4:$I$4,0),FALSE),0)</f>
        <v>1</v>
      </c>
      <c r="L80" s="34">
        <f>IFERROR(VLOOKUP($A80,Pivot!$A:$I,1+MATCH(L$3,Pivot!$B$4:$I$4,0),FALSE),0)</f>
        <v>0</v>
      </c>
      <c r="M80" s="34">
        <f>IFERROR(VLOOKUP($A80,Pivot!$A:$I,1+MATCH(M$3,Pivot!$B$4:$I$4,0),FALSE),0)</f>
        <v>0</v>
      </c>
      <c r="N80" s="34">
        <f t="shared" si="13"/>
        <v>5</v>
      </c>
    </row>
    <row r="81" spans="1:16" x14ac:dyDescent="0.25">
      <c r="A81" s="28" t="s">
        <v>81</v>
      </c>
      <c r="B81" s="34">
        <f>IFERROR(VLOOKUP($A81,Pivot!$A:$I,1+MATCH(B$3,Pivot!$B$4:$I$4,0),FALSE),0)</f>
        <v>0</v>
      </c>
      <c r="C81" s="34">
        <f>IFERROR(VLOOKUP($A81,Pivot!$A:$I,1+MATCH(C$3,Pivot!$B$4:$I$4,0),FALSE),0)</f>
        <v>0</v>
      </c>
      <c r="D81" s="34">
        <f>IFERROR(VLOOKUP($A81,Pivot!$A:$I,1+MATCH(D$3,Pivot!$B$4:$I$4,0),FALSE),0)</f>
        <v>6</v>
      </c>
      <c r="E81" s="34">
        <f>IFERROR(VLOOKUP($A81,Pivot!$A:$I,1+MATCH(E$3,Pivot!$B$4:$I$4,0),FALSE),0)</f>
        <v>0</v>
      </c>
      <c r="F81" s="34">
        <f>IFERROR(VLOOKUP($A81,Pivot!$A:$I,1+MATCH(F$3,Pivot!$B$4:$I$4,0),FALSE),0)</f>
        <v>0</v>
      </c>
      <c r="G81" s="34">
        <f>IFERROR(VLOOKUP($A81,Pivot!$A:$I,1+MATCH(G$3,Pivot!$B$4:$I$4,0),FALSE),0)</f>
        <v>0</v>
      </c>
      <c r="H81" s="34">
        <f>IFERROR(VLOOKUP($A81,Pivot!$A:$I,1+MATCH(H$3,Pivot!$B$4:$I$4,0),FALSE),0)</f>
        <v>0</v>
      </c>
      <c r="I81" s="34">
        <f>IFERROR(VLOOKUP($A81,Pivot!$A:$I,1+MATCH(I$3,Pivot!$B$4:$I$4,0),FALSE),0)</f>
        <v>0</v>
      </c>
      <c r="J81" s="34">
        <f>IFERROR(VLOOKUP($A81,Pivot!$A:$I,1+MATCH(J$3,Pivot!$B$4:$I$4,0),FALSE),0)</f>
        <v>0</v>
      </c>
      <c r="K81" s="34">
        <f>IFERROR(VLOOKUP($A81,Pivot!$A:$I,1+MATCH(K$3,Pivot!$B$4:$I$4,0),FALSE),0)</f>
        <v>0</v>
      </c>
      <c r="L81" s="34">
        <f>IFERROR(VLOOKUP($A81,Pivot!$A:$I,1+MATCH(L$3,Pivot!$B$4:$I$4,0),FALSE),0)</f>
        <v>0</v>
      </c>
      <c r="M81" s="34">
        <f>IFERROR(VLOOKUP($A81,Pivot!$A:$I,1+MATCH(M$3,Pivot!$B$4:$I$4,0),FALSE),0)</f>
        <v>0</v>
      </c>
      <c r="N81" s="34">
        <f t="shared" si="13"/>
        <v>6</v>
      </c>
    </row>
    <row r="82" spans="1:16" x14ac:dyDescent="0.25">
      <c r="A82" s="28" t="s">
        <v>82</v>
      </c>
      <c r="B82" s="34">
        <f>IFERROR(VLOOKUP($A82,Pivot!$A:$I,1+MATCH(B$3,Pivot!$B$4:$I$4,0),FALSE),0)</f>
        <v>0</v>
      </c>
      <c r="C82" s="34">
        <f>IFERROR(VLOOKUP($A82,Pivot!$A:$I,1+MATCH(C$3,Pivot!$B$4:$I$4,0),FALSE),0)</f>
        <v>0</v>
      </c>
      <c r="D82" s="34">
        <f>IFERROR(VLOOKUP($A82,Pivot!$A:$I,1+MATCH(D$3,Pivot!$B$4:$I$4,0),FALSE),0)</f>
        <v>4</v>
      </c>
      <c r="E82" s="34">
        <f>IFERROR(VLOOKUP($A82,Pivot!$A:$I,1+MATCH(E$3,Pivot!$B$4:$I$4,0),FALSE),0)</f>
        <v>0</v>
      </c>
      <c r="F82" s="34">
        <f>IFERROR(VLOOKUP($A82,Pivot!$A:$I,1+MATCH(F$3,Pivot!$B$4:$I$4,0),FALSE),0)</f>
        <v>0</v>
      </c>
      <c r="G82" s="34">
        <f>IFERROR(VLOOKUP($A82,Pivot!$A:$I,1+MATCH(G$3,Pivot!$B$4:$I$4,0),FALSE),0)</f>
        <v>0</v>
      </c>
      <c r="H82" s="34">
        <f>IFERROR(VLOOKUP($A82,Pivot!$A:$I,1+MATCH(H$3,Pivot!$B$4:$I$4,0),FALSE),0)</f>
        <v>0</v>
      </c>
      <c r="I82" s="34">
        <f>IFERROR(VLOOKUP($A82,Pivot!$A:$I,1+MATCH(I$3,Pivot!$B$4:$I$4,0),FALSE),0)</f>
        <v>0</v>
      </c>
      <c r="J82" s="34">
        <f>IFERROR(VLOOKUP($A82,Pivot!$A:$I,1+MATCH(J$3,Pivot!$B$4:$I$4,0),FALSE),0)</f>
        <v>0</v>
      </c>
      <c r="K82" s="34">
        <f>IFERROR(VLOOKUP($A82,Pivot!$A:$I,1+MATCH(K$3,Pivot!$B$4:$I$4,0),FALSE),0)</f>
        <v>0</v>
      </c>
      <c r="L82" s="34">
        <f>IFERROR(VLOOKUP($A82,Pivot!$A:$I,1+MATCH(L$3,Pivot!$B$4:$I$4,0),FALSE),0)</f>
        <v>0</v>
      </c>
      <c r="M82" s="34">
        <f>IFERROR(VLOOKUP($A82,Pivot!$A:$I,1+MATCH(M$3,Pivot!$B$4:$I$4,0),FALSE),0)</f>
        <v>0</v>
      </c>
      <c r="N82" s="34">
        <f t="shared" si="13"/>
        <v>4</v>
      </c>
    </row>
    <row r="83" spans="1:16" x14ac:dyDescent="0.25">
      <c r="A83" s="28" t="s">
        <v>83</v>
      </c>
      <c r="B83" s="34">
        <f>IFERROR(VLOOKUP($A83,Pivot!$A:$I,1+MATCH(B$3,Pivot!$B$4:$I$4,0),FALSE),0)</f>
        <v>0</v>
      </c>
      <c r="C83" s="34">
        <f>IFERROR(VLOOKUP($A83,Pivot!$A:$I,1+MATCH(C$3,Pivot!$B$4:$I$4,0),FALSE),0)</f>
        <v>0</v>
      </c>
      <c r="D83" s="34">
        <f>IFERROR(VLOOKUP($A83,Pivot!$A:$I,1+MATCH(D$3,Pivot!$B$4:$I$4,0),FALSE),0)</f>
        <v>4</v>
      </c>
      <c r="E83" s="34">
        <f>IFERROR(VLOOKUP($A83,Pivot!$A:$I,1+MATCH(E$3,Pivot!$B$4:$I$4,0),FALSE),0)</f>
        <v>0</v>
      </c>
      <c r="F83" s="34">
        <f>IFERROR(VLOOKUP($A83,Pivot!$A:$I,1+MATCH(F$3,Pivot!$B$4:$I$4,0),FALSE),0)</f>
        <v>1</v>
      </c>
      <c r="G83" s="34">
        <f>IFERROR(VLOOKUP($A83,Pivot!$A:$I,1+MATCH(G$3,Pivot!$B$4:$I$4,0),FALSE),0)</f>
        <v>0</v>
      </c>
      <c r="H83" s="34">
        <f>IFERROR(VLOOKUP($A83,Pivot!$A:$I,1+MATCH(H$3,Pivot!$B$4:$I$4,0),FALSE),0)</f>
        <v>0</v>
      </c>
      <c r="I83" s="34">
        <f>IFERROR(VLOOKUP($A83,Pivot!$A:$I,1+MATCH(I$3,Pivot!$B$4:$I$4,0),FALSE),0)</f>
        <v>0</v>
      </c>
      <c r="J83" s="34">
        <f>IFERROR(VLOOKUP($A83,Pivot!$A:$I,1+MATCH(J$3,Pivot!$B$4:$I$4,0),FALSE),0)</f>
        <v>1</v>
      </c>
      <c r="K83" s="34">
        <f>IFERROR(VLOOKUP($A83,Pivot!$A:$I,1+MATCH(K$3,Pivot!$B$4:$I$4,0),FALSE),0)</f>
        <v>1</v>
      </c>
      <c r="L83" s="34">
        <f>IFERROR(VLOOKUP($A83,Pivot!$A:$I,1+MATCH(L$3,Pivot!$B$4:$I$4,0),FALSE),0)</f>
        <v>0</v>
      </c>
      <c r="M83" s="34">
        <f>IFERROR(VLOOKUP($A83,Pivot!$A:$I,1+MATCH(M$3,Pivot!$B$4:$I$4,0),FALSE),0)</f>
        <v>0</v>
      </c>
      <c r="N83" s="34">
        <f t="shared" si="13"/>
        <v>7</v>
      </c>
    </row>
    <row r="84" spans="1:16" x14ac:dyDescent="0.25">
      <c r="A84" s="28" t="s">
        <v>693</v>
      </c>
      <c r="B84" s="34">
        <f>IFERROR(VLOOKUP($A84,Pivot!$A:$I,1+MATCH(B$3,Pivot!$B$4:$I$4,0),FALSE),0)</f>
        <v>0</v>
      </c>
      <c r="C84" s="34">
        <f>IFERROR(VLOOKUP($A84,Pivot!$A:$I,1+MATCH(C$3,Pivot!$B$4:$I$4,0),FALSE),0)</f>
        <v>0</v>
      </c>
      <c r="D84" s="34">
        <f>IFERROR(VLOOKUP($A84,Pivot!$A:$I,1+MATCH(D$3,Pivot!$B$4:$I$4,0),FALSE),0)</f>
        <v>0</v>
      </c>
      <c r="E84" s="34">
        <f>IFERROR(VLOOKUP($A84,Pivot!$A:$I,1+MATCH(E$3,Pivot!$B$4:$I$4,0),FALSE),0)</f>
        <v>0</v>
      </c>
      <c r="F84" s="34">
        <f>IFERROR(VLOOKUP($A84,Pivot!$A:$I,1+MATCH(F$3,Pivot!$B$4:$I$4,0),FALSE),0)</f>
        <v>0</v>
      </c>
      <c r="G84" s="34">
        <f>IFERROR(VLOOKUP($A84,Pivot!$A:$I,1+MATCH(G$3,Pivot!$B$4:$I$4,0),FALSE),0)</f>
        <v>0</v>
      </c>
      <c r="H84" s="34">
        <f>IFERROR(VLOOKUP($A84,Pivot!$A:$I,1+MATCH(H$3,Pivot!$B$4:$I$4,0),FALSE),0)</f>
        <v>0</v>
      </c>
      <c r="I84" s="34">
        <f>IFERROR(VLOOKUP($A84,Pivot!$A:$I,1+MATCH(I$3,Pivot!$B$4:$I$4,0),FALSE),0)</f>
        <v>0</v>
      </c>
      <c r="J84" s="34">
        <f>IFERROR(VLOOKUP($A84,Pivot!$A:$I,1+MATCH(J$3,Pivot!$B$4:$I$4,0),FALSE),0)</f>
        <v>0</v>
      </c>
      <c r="K84" s="34">
        <f>IFERROR(VLOOKUP($A84,Pivot!$A:$I,1+MATCH(K$3,Pivot!$B$4:$I$4,0),FALSE),0)</f>
        <v>0</v>
      </c>
      <c r="L84" s="34">
        <f>IFERROR(VLOOKUP($A84,Pivot!$A:$I,1+MATCH(L$3,Pivot!$B$4:$I$4,0),FALSE),0)</f>
        <v>0</v>
      </c>
      <c r="M84" s="34">
        <f>IFERROR(VLOOKUP($A84,Pivot!$A:$I,1+MATCH(M$3,Pivot!$B$4:$I$4,0),FALSE),0)</f>
        <v>0</v>
      </c>
      <c r="N84" s="34">
        <f t="shared" si="13"/>
        <v>0</v>
      </c>
    </row>
    <row r="85" spans="1:16" x14ac:dyDescent="0.25">
      <c r="A85" s="28" t="s">
        <v>84</v>
      </c>
      <c r="B85" s="34">
        <f>IFERROR(VLOOKUP($A85,Pivot!$A:$I,1+MATCH(B$3,Pivot!$B$4:$I$4,0),FALSE),0)</f>
        <v>0</v>
      </c>
      <c r="C85" s="34">
        <f>IFERROR(VLOOKUP($A85,Pivot!$A:$I,1+MATCH(C$3,Pivot!$B$4:$I$4,0),FALSE),0)</f>
        <v>0</v>
      </c>
      <c r="D85" s="34">
        <f>IFERROR(VLOOKUP($A85,Pivot!$A:$I,1+MATCH(D$3,Pivot!$B$4:$I$4,0),FALSE),0)</f>
        <v>7</v>
      </c>
      <c r="E85" s="34">
        <f>IFERROR(VLOOKUP($A85,Pivot!$A:$I,1+MATCH(E$3,Pivot!$B$4:$I$4,0),FALSE),0)</f>
        <v>0</v>
      </c>
      <c r="F85" s="34">
        <f>IFERROR(VLOOKUP($A85,Pivot!$A:$I,1+MATCH(F$3,Pivot!$B$4:$I$4,0),FALSE),0)</f>
        <v>0</v>
      </c>
      <c r="G85" s="34">
        <f>IFERROR(VLOOKUP($A85,Pivot!$A:$I,1+MATCH(G$3,Pivot!$B$4:$I$4,0),FALSE),0)</f>
        <v>0</v>
      </c>
      <c r="H85" s="34">
        <f>IFERROR(VLOOKUP($A85,Pivot!$A:$I,1+MATCH(H$3,Pivot!$B$4:$I$4,0),FALSE),0)</f>
        <v>0</v>
      </c>
      <c r="I85" s="34">
        <f>IFERROR(VLOOKUP($A85,Pivot!$A:$I,1+MATCH(I$3,Pivot!$B$4:$I$4,0),FALSE),0)</f>
        <v>0</v>
      </c>
      <c r="J85" s="34">
        <f>IFERROR(VLOOKUP($A85,Pivot!$A:$I,1+MATCH(J$3,Pivot!$B$4:$I$4,0),FALSE),0)</f>
        <v>0</v>
      </c>
      <c r="K85" s="34">
        <f>IFERROR(VLOOKUP($A85,Pivot!$A:$I,1+MATCH(K$3,Pivot!$B$4:$I$4,0),FALSE),0)</f>
        <v>0</v>
      </c>
      <c r="L85" s="34">
        <f>IFERROR(VLOOKUP($A85,Pivot!$A:$I,1+MATCH(L$3,Pivot!$B$4:$I$4,0),FALSE),0)</f>
        <v>0</v>
      </c>
      <c r="M85" s="34">
        <f>IFERROR(VLOOKUP($A85,Pivot!$A:$I,1+MATCH(M$3,Pivot!$B$4:$I$4,0),FALSE),0)</f>
        <v>0</v>
      </c>
      <c r="N85" s="34">
        <f t="shared" si="13"/>
        <v>7</v>
      </c>
    </row>
    <row r="86" spans="1:16" x14ac:dyDescent="0.25">
      <c r="A86" s="28" t="s">
        <v>85</v>
      </c>
      <c r="B86" s="34">
        <f>IFERROR(VLOOKUP($A86,Pivot!$A:$I,1+MATCH(B$3,Pivot!$B$4:$I$4,0),FALSE),0)</f>
        <v>0</v>
      </c>
      <c r="C86" s="34">
        <f>IFERROR(VLOOKUP($A86,Pivot!$A:$I,1+MATCH(C$3,Pivot!$B$4:$I$4,0),FALSE),0)</f>
        <v>0</v>
      </c>
      <c r="D86" s="34">
        <f>IFERROR(VLOOKUP($A86,Pivot!$A:$I,1+MATCH(D$3,Pivot!$B$4:$I$4,0),FALSE),0)</f>
        <v>3</v>
      </c>
      <c r="E86" s="34">
        <f>IFERROR(VLOOKUP($A86,Pivot!$A:$I,1+MATCH(E$3,Pivot!$B$4:$I$4,0),FALSE),0)</f>
        <v>0</v>
      </c>
      <c r="F86" s="34">
        <f>IFERROR(VLOOKUP($A86,Pivot!$A:$I,1+MATCH(F$3,Pivot!$B$4:$I$4,0),FALSE),0)</f>
        <v>0</v>
      </c>
      <c r="G86" s="34">
        <f>IFERROR(VLOOKUP($A86,Pivot!$A:$I,1+MATCH(G$3,Pivot!$B$4:$I$4,0),FALSE),0)</f>
        <v>0</v>
      </c>
      <c r="H86" s="34">
        <f>IFERROR(VLOOKUP($A86,Pivot!$A:$I,1+MATCH(H$3,Pivot!$B$4:$I$4,0),FALSE),0)</f>
        <v>0</v>
      </c>
      <c r="I86" s="34">
        <f>IFERROR(VLOOKUP($A86,Pivot!$A:$I,1+MATCH(I$3,Pivot!$B$4:$I$4,0),FALSE),0)</f>
        <v>0</v>
      </c>
      <c r="J86" s="34">
        <f>IFERROR(VLOOKUP($A86,Pivot!$A:$I,1+MATCH(J$3,Pivot!$B$4:$I$4,0),FALSE),0)</f>
        <v>0</v>
      </c>
      <c r="K86" s="34">
        <f>IFERROR(VLOOKUP($A86,Pivot!$A:$I,1+MATCH(K$3,Pivot!$B$4:$I$4,0),FALSE),0)</f>
        <v>0</v>
      </c>
      <c r="L86" s="34">
        <f>IFERROR(VLOOKUP($A86,Pivot!$A:$I,1+MATCH(L$3,Pivot!$B$4:$I$4,0),FALSE),0)</f>
        <v>0</v>
      </c>
      <c r="M86" s="34">
        <f>IFERROR(VLOOKUP($A86,Pivot!$A:$I,1+MATCH(M$3,Pivot!$B$4:$I$4,0),FALSE),0)</f>
        <v>0</v>
      </c>
      <c r="N86" s="34">
        <f t="shared" si="13"/>
        <v>3</v>
      </c>
    </row>
    <row r="87" spans="1:16" x14ac:dyDescent="0.25">
      <c r="A87" s="28" t="s">
        <v>86</v>
      </c>
      <c r="B87" s="34">
        <f>IFERROR(VLOOKUP($A87,Pivot!$A:$I,1+MATCH(B$3,Pivot!$B$4:$I$4,0),FALSE),0)</f>
        <v>0</v>
      </c>
      <c r="C87" s="34">
        <f>IFERROR(VLOOKUP($A87,Pivot!$A:$I,1+MATCH(C$3,Pivot!$B$4:$I$4,0),FALSE),0)</f>
        <v>0</v>
      </c>
      <c r="D87" s="34">
        <f>IFERROR(VLOOKUP($A87,Pivot!$A:$I,1+MATCH(D$3,Pivot!$B$4:$I$4,0),FALSE),0)</f>
        <v>5</v>
      </c>
      <c r="E87" s="34">
        <f>IFERROR(VLOOKUP($A87,Pivot!$A:$I,1+MATCH(E$3,Pivot!$B$4:$I$4,0),FALSE),0)</f>
        <v>0</v>
      </c>
      <c r="F87" s="34">
        <f>IFERROR(VLOOKUP($A87,Pivot!$A:$I,1+MATCH(F$3,Pivot!$B$4:$I$4,0),FALSE),0)</f>
        <v>0</v>
      </c>
      <c r="G87" s="34">
        <f>IFERROR(VLOOKUP($A87,Pivot!$A:$I,1+MATCH(G$3,Pivot!$B$4:$I$4,0),FALSE),0)</f>
        <v>0</v>
      </c>
      <c r="H87" s="34">
        <f>IFERROR(VLOOKUP($A87,Pivot!$A:$I,1+MATCH(H$3,Pivot!$B$4:$I$4,0),FALSE),0)</f>
        <v>0</v>
      </c>
      <c r="I87" s="34">
        <f>IFERROR(VLOOKUP($A87,Pivot!$A:$I,1+MATCH(I$3,Pivot!$B$4:$I$4,0),FALSE),0)</f>
        <v>0</v>
      </c>
      <c r="J87" s="34">
        <f>IFERROR(VLOOKUP($A87,Pivot!$A:$I,1+MATCH(J$3,Pivot!$B$4:$I$4,0),FALSE),0)</f>
        <v>0</v>
      </c>
      <c r="K87" s="34">
        <f>IFERROR(VLOOKUP($A87,Pivot!$A:$I,1+MATCH(K$3,Pivot!$B$4:$I$4,0),FALSE),0)</f>
        <v>0</v>
      </c>
      <c r="L87" s="34">
        <f>IFERROR(VLOOKUP($A87,Pivot!$A:$I,1+MATCH(L$3,Pivot!$B$4:$I$4,0),FALSE),0)</f>
        <v>0</v>
      </c>
      <c r="M87" s="34">
        <f>IFERROR(VLOOKUP($A87,Pivot!$A:$I,1+MATCH(M$3,Pivot!$B$4:$I$4,0),FALSE),0)</f>
        <v>0</v>
      </c>
      <c r="N87" s="34">
        <f t="shared" si="13"/>
        <v>5</v>
      </c>
    </row>
    <row r="88" spans="1:16" x14ac:dyDescent="0.25">
      <c r="A88" s="28" t="s">
        <v>694</v>
      </c>
      <c r="B88" s="34">
        <f>IFERROR(VLOOKUP($A88,Pivot!$A:$I,1+MATCH(B$3,Pivot!$B$4:$I$4,0),FALSE),0)</f>
        <v>0</v>
      </c>
      <c r="C88" s="34">
        <f>IFERROR(VLOOKUP($A88,Pivot!$A:$I,1+MATCH(C$3,Pivot!$B$4:$I$4,0),FALSE),0)</f>
        <v>0</v>
      </c>
      <c r="D88" s="34">
        <f>IFERROR(VLOOKUP($A88,Pivot!$A:$I,1+MATCH(D$3,Pivot!$B$4:$I$4,0),FALSE),0)</f>
        <v>1</v>
      </c>
      <c r="E88" s="34">
        <f>IFERROR(VLOOKUP($A88,Pivot!$A:$I,1+MATCH(E$3,Pivot!$B$4:$I$4,0),FALSE),0)</f>
        <v>0</v>
      </c>
      <c r="F88" s="34">
        <f>IFERROR(VLOOKUP($A88,Pivot!$A:$I,1+MATCH(F$3,Pivot!$B$4:$I$4,0),FALSE),0)</f>
        <v>0</v>
      </c>
      <c r="G88" s="34">
        <f>IFERROR(VLOOKUP($A88,Pivot!$A:$I,1+MATCH(G$3,Pivot!$B$4:$I$4,0),FALSE),0)</f>
        <v>0</v>
      </c>
      <c r="H88" s="34">
        <f>IFERROR(VLOOKUP($A88,Pivot!$A:$I,1+MATCH(H$3,Pivot!$B$4:$I$4,0),FALSE),0)</f>
        <v>0</v>
      </c>
      <c r="I88" s="34">
        <f>IFERROR(VLOOKUP($A88,Pivot!$A:$I,1+MATCH(I$3,Pivot!$B$4:$I$4,0),FALSE),0)</f>
        <v>0</v>
      </c>
      <c r="J88" s="34">
        <f>IFERROR(VLOOKUP($A88,Pivot!$A:$I,1+MATCH(J$3,Pivot!$B$4:$I$4,0),FALSE),0)</f>
        <v>0</v>
      </c>
      <c r="K88" s="34">
        <f>IFERROR(VLOOKUP($A88,Pivot!$A:$I,1+MATCH(K$3,Pivot!$B$4:$I$4,0),FALSE),0)</f>
        <v>0</v>
      </c>
      <c r="L88" s="34">
        <f>IFERROR(VLOOKUP($A88,Pivot!$A:$I,1+MATCH(L$3,Pivot!$B$4:$I$4,0),FALSE),0)</f>
        <v>0</v>
      </c>
      <c r="M88" s="34">
        <f>IFERROR(VLOOKUP($A88,Pivot!$A:$I,1+MATCH(M$3,Pivot!$B$4:$I$4,0),FALSE),0)</f>
        <v>0</v>
      </c>
      <c r="N88" s="34">
        <f t="shared" si="13"/>
        <v>1</v>
      </c>
    </row>
    <row r="89" spans="1:16" x14ac:dyDescent="0.25">
      <c r="A89" s="33" t="s">
        <v>87</v>
      </c>
      <c r="B89" s="32">
        <f>SUM(B90:B112)</f>
        <v>0</v>
      </c>
      <c r="C89" s="32">
        <f t="shared" ref="C89:N89" si="14">SUM(C90:C112)</f>
        <v>0</v>
      </c>
      <c r="D89" s="32">
        <f t="shared" si="14"/>
        <v>181</v>
      </c>
      <c r="E89" s="32">
        <f t="shared" si="14"/>
        <v>0</v>
      </c>
      <c r="F89" s="32">
        <f t="shared" ref="F89:M89" si="15">SUM(F90:F112)</f>
        <v>2</v>
      </c>
      <c r="G89" s="32">
        <f t="shared" si="15"/>
        <v>1</v>
      </c>
      <c r="H89" s="32">
        <f t="shared" si="15"/>
        <v>0</v>
      </c>
      <c r="I89" s="32">
        <f t="shared" si="15"/>
        <v>2</v>
      </c>
      <c r="J89" s="32">
        <f t="shared" si="15"/>
        <v>0</v>
      </c>
      <c r="K89" s="32">
        <f t="shared" si="15"/>
        <v>1</v>
      </c>
      <c r="L89" s="32">
        <f t="shared" si="15"/>
        <v>0</v>
      </c>
      <c r="M89" s="32">
        <f t="shared" si="15"/>
        <v>0</v>
      </c>
      <c r="N89" s="32">
        <f t="shared" si="14"/>
        <v>187</v>
      </c>
      <c r="O89" s="33"/>
      <c r="P89" s="33"/>
    </row>
    <row r="90" spans="1:16" x14ac:dyDescent="0.25">
      <c r="A90" s="28" t="s">
        <v>695</v>
      </c>
      <c r="B90" s="34">
        <f>IFERROR(VLOOKUP($A90,Pivot!$A:$I,1+MATCH(B$3,Pivot!$B$4:$I$4,0),FALSE),0)</f>
        <v>0</v>
      </c>
      <c r="C90" s="34">
        <f>IFERROR(VLOOKUP($A90,Pivot!$A:$I,1+MATCH(C$3,Pivot!$B$4:$I$4,0),FALSE),0)</f>
        <v>0</v>
      </c>
      <c r="D90" s="34">
        <f>IFERROR(VLOOKUP($A90,Pivot!$A:$I,1+MATCH(D$3,Pivot!$B$4:$I$4,0),FALSE),0)</f>
        <v>0</v>
      </c>
      <c r="E90" s="34">
        <f>IFERROR(VLOOKUP($A90,Pivot!$A:$I,1+MATCH(E$3,Pivot!$B$4:$I$4,0),FALSE),0)</f>
        <v>0</v>
      </c>
      <c r="F90" s="34">
        <f>IFERROR(VLOOKUP($A90,Pivot!$A:$I,1+MATCH(F$3,Pivot!$B$4:$I$4,0),FALSE),0)</f>
        <v>0</v>
      </c>
      <c r="G90" s="34">
        <f>IFERROR(VLOOKUP($A90,Pivot!$A:$I,1+MATCH(G$3,Pivot!$B$4:$I$4,0),FALSE),0)</f>
        <v>0</v>
      </c>
      <c r="H90" s="34">
        <f>IFERROR(VLOOKUP($A90,Pivot!$A:$I,1+MATCH(H$3,Pivot!$B$4:$I$4,0),FALSE),0)</f>
        <v>0</v>
      </c>
      <c r="I90" s="34">
        <f>IFERROR(VLOOKUP($A90,Pivot!$A:$I,1+MATCH(I$3,Pivot!$B$4:$I$4,0),FALSE),0)</f>
        <v>0</v>
      </c>
      <c r="J90" s="34">
        <f>IFERROR(VLOOKUP($A90,Pivot!$A:$I,1+MATCH(J$3,Pivot!$B$4:$I$4,0),FALSE),0)</f>
        <v>0</v>
      </c>
      <c r="K90" s="34">
        <f>IFERROR(VLOOKUP($A90,Pivot!$A:$I,1+MATCH(K$3,Pivot!$B$4:$I$4,0),FALSE),0)</f>
        <v>0</v>
      </c>
      <c r="L90" s="34">
        <f>IFERROR(VLOOKUP($A90,Pivot!$A:$I,1+MATCH(L$3,Pivot!$B$4:$I$4,0),FALSE),0)</f>
        <v>0</v>
      </c>
      <c r="M90" s="34">
        <f>IFERROR(VLOOKUP($A90,Pivot!$A:$I,1+MATCH(M$3,Pivot!$B$4:$I$4,0),FALSE),0)</f>
        <v>0</v>
      </c>
      <c r="N90" s="34">
        <f t="shared" ref="N90:N112" si="16">SUM(B90:M90)</f>
        <v>0</v>
      </c>
    </row>
    <row r="91" spans="1:16" x14ac:dyDescent="0.25">
      <c r="A91" s="28" t="s">
        <v>88</v>
      </c>
      <c r="B91" s="34">
        <f>IFERROR(VLOOKUP($A91,Pivot!$A:$I,1+MATCH(B$3,Pivot!$B$4:$I$4,0),FALSE),0)</f>
        <v>0</v>
      </c>
      <c r="C91" s="34">
        <f>IFERROR(VLOOKUP($A91,Pivot!$A:$I,1+MATCH(C$3,Pivot!$B$4:$I$4,0),FALSE),0)</f>
        <v>0</v>
      </c>
      <c r="D91" s="34">
        <f>IFERROR(VLOOKUP($A91,Pivot!$A:$I,1+MATCH(D$3,Pivot!$B$4:$I$4,0),FALSE),0)</f>
        <v>3</v>
      </c>
      <c r="E91" s="34">
        <f>IFERROR(VLOOKUP($A91,Pivot!$A:$I,1+MATCH(E$3,Pivot!$B$4:$I$4,0),FALSE),0)</f>
        <v>0</v>
      </c>
      <c r="F91" s="34">
        <f>IFERROR(VLOOKUP($A91,Pivot!$A:$I,1+MATCH(F$3,Pivot!$B$4:$I$4,0),FALSE),0)</f>
        <v>0</v>
      </c>
      <c r="G91" s="34">
        <f>IFERROR(VLOOKUP($A91,Pivot!$A:$I,1+MATCH(G$3,Pivot!$B$4:$I$4,0),FALSE),0)</f>
        <v>0</v>
      </c>
      <c r="H91" s="34">
        <f>IFERROR(VLOOKUP($A91,Pivot!$A:$I,1+MATCH(H$3,Pivot!$B$4:$I$4,0),FALSE),0)</f>
        <v>0</v>
      </c>
      <c r="I91" s="34">
        <f>IFERROR(VLOOKUP($A91,Pivot!$A:$I,1+MATCH(I$3,Pivot!$B$4:$I$4,0),FALSE),0)</f>
        <v>0</v>
      </c>
      <c r="J91" s="34">
        <f>IFERROR(VLOOKUP($A91,Pivot!$A:$I,1+MATCH(J$3,Pivot!$B$4:$I$4,0),FALSE),0)</f>
        <v>0</v>
      </c>
      <c r="K91" s="34">
        <f>IFERROR(VLOOKUP($A91,Pivot!$A:$I,1+MATCH(K$3,Pivot!$B$4:$I$4,0),FALSE),0)</f>
        <v>0</v>
      </c>
      <c r="L91" s="34">
        <f>IFERROR(VLOOKUP($A91,Pivot!$A:$I,1+MATCH(L$3,Pivot!$B$4:$I$4,0),FALSE),0)</f>
        <v>0</v>
      </c>
      <c r="M91" s="34">
        <f>IFERROR(VLOOKUP($A91,Pivot!$A:$I,1+MATCH(M$3,Pivot!$B$4:$I$4,0),FALSE),0)</f>
        <v>0</v>
      </c>
      <c r="N91" s="34">
        <f t="shared" si="16"/>
        <v>3</v>
      </c>
    </row>
    <row r="92" spans="1:16" x14ac:dyDescent="0.25">
      <c r="A92" s="28" t="s">
        <v>89</v>
      </c>
      <c r="B92" s="34">
        <f>IFERROR(VLOOKUP($A92,Pivot!$A:$I,1+MATCH(B$3,Pivot!$B$4:$I$4,0),FALSE),0)</f>
        <v>0</v>
      </c>
      <c r="C92" s="34">
        <f>IFERROR(VLOOKUP($A92,Pivot!$A:$I,1+MATCH(C$3,Pivot!$B$4:$I$4,0),FALSE),0)</f>
        <v>0</v>
      </c>
      <c r="D92" s="34">
        <f>IFERROR(VLOOKUP($A92,Pivot!$A:$I,1+MATCH(D$3,Pivot!$B$4:$I$4,0),FALSE),0)</f>
        <v>10</v>
      </c>
      <c r="E92" s="34">
        <f>IFERROR(VLOOKUP($A92,Pivot!$A:$I,1+MATCH(E$3,Pivot!$B$4:$I$4,0),FALSE),0)</f>
        <v>0</v>
      </c>
      <c r="F92" s="34">
        <f>IFERROR(VLOOKUP($A92,Pivot!$A:$I,1+MATCH(F$3,Pivot!$B$4:$I$4,0),FALSE),0)</f>
        <v>0</v>
      </c>
      <c r="G92" s="34">
        <f>IFERROR(VLOOKUP($A92,Pivot!$A:$I,1+MATCH(G$3,Pivot!$B$4:$I$4,0),FALSE),0)</f>
        <v>0</v>
      </c>
      <c r="H92" s="34">
        <f>IFERROR(VLOOKUP($A92,Pivot!$A:$I,1+MATCH(H$3,Pivot!$B$4:$I$4,0),FALSE),0)</f>
        <v>0</v>
      </c>
      <c r="I92" s="34">
        <f>IFERROR(VLOOKUP($A92,Pivot!$A:$I,1+MATCH(I$3,Pivot!$B$4:$I$4,0),FALSE),0)</f>
        <v>0</v>
      </c>
      <c r="J92" s="34">
        <f>IFERROR(VLOOKUP($A92,Pivot!$A:$I,1+MATCH(J$3,Pivot!$B$4:$I$4,0),FALSE),0)</f>
        <v>0</v>
      </c>
      <c r="K92" s="34">
        <f>IFERROR(VLOOKUP($A92,Pivot!$A:$I,1+MATCH(K$3,Pivot!$B$4:$I$4,0),FALSE),0)</f>
        <v>0</v>
      </c>
      <c r="L92" s="34">
        <f>IFERROR(VLOOKUP($A92,Pivot!$A:$I,1+MATCH(L$3,Pivot!$B$4:$I$4,0),FALSE),0)</f>
        <v>0</v>
      </c>
      <c r="M92" s="34">
        <f>IFERROR(VLOOKUP($A92,Pivot!$A:$I,1+MATCH(M$3,Pivot!$B$4:$I$4,0),FALSE),0)</f>
        <v>0</v>
      </c>
      <c r="N92" s="34">
        <f t="shared" si="16"/>
        <v>10</v>
      </c>
    </row>
    <row r="93" spans="1:16" x14ac:dyDescent="0.25">
      <c r="A93" s="28" t="s">
        <v>696</v>
      </c>
      <c r="B93" s="34">
        <f>IFERROR(VLOOKUP($A93,Pivot!$A:$I,1+MATCH(B$3,Pivot!$B$4:$I$4,0),FALSE),0)</f>
        <v>0</v>
      </c>
      <c r="C93" s="34">
        <f>IFERROR(VLOOKUP($A93,Pivot!$A:$I,1+MATCH(C$3,Pivot!$B$4:$I$4,0),FALSE),0)</f>
        <v>0</v>
      </c>
      <c r="D93" s="34">
        <f>IFERROR(VLOOKUP($A93,Pivot!$A:$I,1+MATCH(D$3,Pivot!$B$4:$I$4,0),FALSE),0)</f>
        <v>2</v>
      </c>
      <c r="E93" s="34">
        <f>IFERROR(VLOOKUP($A93,Pivot!$A:$I,1+MATCH(E$3,Pivot!$B$4:$I$4,0),FALSE),0)</f>
        <v>0</v>
      </c>
      <c r="F93" s="34">
        <f>IFERROR(VLOOKUP($A93,Pivot!$A:$I,1+MATCH(F$3,Pivot!$B$4:$I$4,0),FALSE),0)</f>
        <v>0</v>
      </c>
      <c r="G93" s="34">
        <f>IFERROR(VLOOKUP($A93,Pivot!$A:$I,1+MATCH(G$3,Pivot!$B$4:$I$4,0),FALSE),0)</f>
        <v>0</v>
      </c>
      <c r="H93" s="34">
        <f>IFERROR(VLOOKUP($A93,Pivot!$A:$I,1+MATCH(H$3,Pivot!$B$4:$I$4,0),FALSE),0)</f>
        <v>0</v>
      </c>
      <c r="I93" s="34">
        <f>IFERROR(VLOOKUP($A93,Pivot!$A:$I,1+MATCH(I$3,Pivot!$B$4:$I$4,0),FALSE),0)</f>
        <v>0</v>
      </c>
      <c r="J93" s="34">
        <f>IFERROR(VLOOKUP($A93,Pivot!$A:$I,1+MATCH(J$3,Pivot!$B$4:$I$4,0),FALSE),0)</f>
        <v>0</v>
      </c>
      <c r="K93" s="34">
        <f>IFERROR(VLOOKUP($A93,Pivot!$A:$I,1+MATCH(K$3,Pivot!$B$4:$I$4,0),FALSE),0)</f>
        <v>0</v>
      </c>
      <c r="L93" s="34">
        <f>IFERROR(VLOOKUP($A93,Pivot!$A:$I,1+MATCH(L$3,Pivot!$B$4:$I$4,0),FALSE),0)</f>
        <v>0</v>
      </c>
      <c r="M93" s="34">
        <f>IFERROR(VLOOKUP($A93,Pivot!$A:$I,1+MATCH(M$3,Pivot!$B$4:$I$4,0),FALSE),0)</f>
        <v>0</v>
      </c>
      <c r="N93" s="34">
        <f t="shared" si="16"/>
        <v>2</v>
      </c>
    </row>
    <row r="94" spans="1:16" x14ac:dyDescent="0.25">
      <c r="A94" s="28" t="s">
        <v>90</v>
      </c>
      <c r="B94" s="34">
        <f>IFERROR(VLOOKUP($A94,Pivot!$A:$I,1+MATCH(B$3,Pivot!$B$4:$I$4,0),FALSE),0)</f>
        <v>0</v>
      </c>
      <c r="C94" s="34">
        <f>IFERROR(VLOOKUP($A94,Pivot!$A:$I,1+MATCH(C$3,Pivot!$B$4:$I$4,0),FALSE),0)</f>
        <v>0</v>
      </c>
      <c r="D94" s="34">
        <f>IFERROR(VLOOKUP($A94,Pivot!$A:$I,1+MATCH(D$3,Pivot!$B$4:$I$4,0),FALSE),0)</f>
        <v>3</v>
      </c>
      <c r="E94" s="34">
        <f>IFERROR(VLOOKUP($A94,Pivot!$A:$I,1+MATCH(E$3,Pivot!$B$4:$I$4,0),FALSE),0)</f>
        <v>0</v>
      </c>
      <c r="F94" s="34">
        <f>IFERROR(VLOOKUP($A94,Pivot!$A:$I,1+MATCH(F$3,Pivot!$B$4:$I$4,0),FALSE),0)</f>
        <v>0</v>
      </c>
      <c r="G94" s="34">
        <f>IFERROR(VLOOKUP($A94,Pivot!$A:$I,1+MATCH(G$3,Pivot!$B$4:$I$4,0),FALSE),0)</f>
        <v>0</v>
      </c>
      <c r="H94" s="34">
        <f>IFERROR(VLOOKUP($A94,Pivot!$A:$I,1+MATCH(H$3,Pivot!$B$4:$I$4,0),FALSE),0)</f>
        <v>0</v>
      </c>
      <c r="I94" s="34">
        <f>IFERROR(VLOOKUP($A94,Pivot!$A:$I,1+MATCH(I$3,Pivot!$B$4:$I$4,0),FALSE),0)</f>
        <v>0</v>
      </c>
      <c r="J94" s="34">
        <f>IFERROR(VLOOKUP($A94,Pivot!$A:$I,1+MATCH(J$3,Pivot!$B$4:$I$4,0),FALSE),0)</f>
        <v>0</v>
      </c>
      <c r="K94" s="34">
        <f>IFERROR(VLOOKUP($A94,Pivot!$A:$I,1+MATCH(K$3,Pivot!$B$4:$I$4,0),FALSE),0)</f>
        <v>0</v>
      </c>
      <c r="L94" s="34">
        <f>IFERROR(VLOOKUP($A94,Pivot!$A:$I,1+MATCH(L$3,Pivot!$B$4:$I$4,0),FALSE),0)</f>
        <v>0</v>
      </c>
      <c r="M94" s="34">
        <f>IFERROR(VLOOKUP($A94,Pivot!$A:$I,1+MATCH(M$3,Pivot!$B$4:$I$4,0),FALSE),0)</f>
        <v>0</v>
      </c>
      <c r="N94" s="34">
        <f t="shared" si="16"/>
        <v>3</v>
      </c>
    </row>
    <row r="95" spans="1:16" x14ac:dyDescent="0.25">
      <c r="A95" s="28" t="s">
        <v>91</v>
      </c>
      <c r="B95" s="34">
        <f>IFERROR(VLOOKUP($A95,Pivot!$A:$I,1+MATCH(B$3,Pivot!$B$4:$I$4,0),FALSE),0)</f>
        <v>0</v>
      </c>
      <c r="C95" s="34">
        <f>IFERROR(VLOOKUP($A95,Pivot!$A:$I,1+MATCH(C$3,Pivot!$B$4:$I$4,0),FALSE),0)</f>
        <v>0</v>
      </c>
      <c r="D95" s="34">
        <f>IFERROR(VLOOKUP($A95,Pivot!$A:$I,1+MATCH(D$3,Pivot!$B$4:$I$4,0),FALSE),0)</f>
        <v>4</v>
      </c>
      <c r="E95" s="34">
        <f>IFERROR(VLOOKUP($A95,Pivot!$A:$I,1+MATCH(E$3,Pivot!$B$4:$I$4,0),FALSE),0)</f>
        <v>0</v>
      </c>
      <c r="F95" s="34">
        <f>IFERROR(VLOOKUP($A95,Pivot!$A:$I,1+MATCH(F$3,Pivot!$B$4:$I$4,0),FALSE),0)</f>
        <v>0</v>
      </c>
      <c r="G95" s="34">
        <f>IFERROR(VLOOKUP($A95,Pivot!$A:$I,1+MATCH(G$3,Pivot!$B$4:$I$4,0),FALSE),0)</f>
        <v>0</v>
      </c>
      <c r="H95" s="34">
        <f>IFERROR(VLOOKUP($A95,Pivot!$A:$I,1+MATCH(H$3,Pivot!$B$4:$I$4,0),FALSE),0)</f>
        <v>0</v>
      </c>
      <c r="I95" s="34">
        <f>IFERROR(VLOOKUP($A95,Pivot!$A:$I,1+MATCH(I$3,Pivot!$B$4:$I$4,0),FALSE),0)</f>
        <v>0</v>
      </c>
      <c r="J95" s="34">
        <f>IFERROR(VLOOKUP($A95,Pivot!$A:$I,1+MATCH(J$3,Pivot!$B$4:$I$4,0),FALSE),0)</f>
        <v>0</v>
      </c>
      <c r="K95" s="34">
        <f>IFERROR(VLOOKUP($A95,Pivot!$A:$I,1+MATCH(K$3,Pivot!$B$4:$I$4,0),FALSE),0)</f>
        <v>0</v>
      </c>
      <c r="L95" s="34">
        <f>IFERROR(VLOOKUP($A95,Pivot!$A:$I,1+MATCH(L$3,Pivot!$B$4:$I$4,0),FALSE),0)</f>
        <v>0</v>
      </c>
      <c r="M95" s="34">
        <f>IFERROR(VLOOKUP($A95,Pivot!$A:$I,1+MATCH(M$3,Pivot!$B$4:$I$4,0),FALSE),0)</f>
        <v>0</v>
      </c>
      <c r="N95" s="34">
        <f t="shared" si="16"/>
        <v>4</v>
      </c>
    </row>
    <row r="96" spans="1:16" x14ac:dyDescent="0.25">
      <c r="A96" s="28" t="s">
        <v>92</v>
      </c>
      <c r="B96" s="34">
        <f>IFERROR(VLOOKUP($A96,Pivot!$A:$I,1+MATCH(B$3,Pivot!$B$4:$I$4,0),FALSE),0)</f>
        <v>0</v>
      </c>
      <c r="C96" s="34">
        <f>IFERROR(VLOOKUP($A96,Pivot!$A:$I,1+MATCH(C$3,Pivot!$B$4:$I$4,0),FALSE),0)</f>
        <v>0</v>
      </c>
      <c r="D96" s="34">
        <f>IFERROR(VLOOKUP($A96,Pivot!$A:$I,1+MATCH(D$3,Pivot!$B$4:$I$4,0),FALSE),0)</f>
        <v>13</v>
      </c>
      <c r="E96" s="34">
        <f>IFERROR(VLOOKUP($A96,Pivot!$A:$I,1+MATCH(E$3,Pivot!$B$4:$I$4,0),FALSE),0)</f>
        <v>0</v>
      </c>
      <c r="F96" s="34">
        <f>IFERROR(VLOOKUP($A96,Pivot!$A:$I,1+MATCH(F$3,Pivot!$B$4:$I$4,0),FALSE),0)</f>
        <v>0</v>
      </c>
      <c r="G96" s="34">
        <f>IFERROR(VLOOKUP($A96,Pivot!$A:$I,1+MATCH(G$3,Pivot!$B$4:$I$4,0),FALSE),0)</f>
        <v>0</v>
      </c>
      <c r="H96" s="34">
        <f>IFERROR(VLOOKUP($A96,Pivot!$A:$I,1+MATCH(H$3,Pivot!$B$4:$I$4,0),FALSE),0)</f>
        <v>0</v>
      </c>
      <c r="I96" s="34">
        <f>IFERROR(VLOOKUP($A96,Pivot!$A:$I,1+MATCH(I$3,Pivot!$B$4:$I$4,0),FALSE),0)</f>
        <v>0</v>
      </c>
      <c r="J96" s="34">
        <f>IFERROR(VLOOKUP($A96,Pivot!$A:$I,1+MATCH(J$3,Pivot!$B$4:$I$4,0),FALSE),0)</f>
        <v>0</v>
      </c>
      <c r="K96" s="34">
        <f>IFERROR(VLOOKUP($A96,Pivot!$A:$I,1+MATCH(K$3,Pivot!$B$4:$I$4,0),FALSE),0)</f>
        <v>0</v>
      </c>
      <c r="L96" s="34">
        <f>IFERROR(VLOOKUP($A96,Pivot!$A:$I,1+MATCH(L$3,Pivot!$B$4:$I$4,0),FALSE),0)</f>
        <v>0</v>
      </c>
      <c r="M96" s="34">
        <f>IFERROR(VLOOKUP($A96,Pivot!$A:$I,1+MATCH(M$3,Pivot!$B$4:$I$4,0),FALSE),0)</f>
        <v>0</v>
      </c>
      <c r="N96" s="34">
        <f t="shared" si="16"/>
        <v>13</v>
      </c>
    </row>
    <row r="97" spans="1:14" x14ac:dyDescent="0.25">
      <c r="A97" s="28" t="s">
        <v>562</v>
      </c>
      <c r="B97" s="34">
        <f>IFERROR(VLOOKUP($A97,Pivot!$A:$I,1+MATCH(B$3,Pivot!$B$4:$I$4,0),FALSE),0)</f>
        <v>0</v>
      </c>
      <c r="C97" s="34">
        <f>IFERROR(VLOOKUP($A97,Pivot!$A:$I,1+MATCH(C$3,Pivot!$B$4:$I$4,0),FALSE),0)</f>
        <v>0</v>
      </c>
      <c r="D97" s="34">
        <f>IFERROR(VLOOKUP($A97,Pivot!$A:$I,1+MATCH(D$3,Pivot!$B$4:$I$4,0),FALSE),0)</f>
        <v>4</v>
      </c>
      <c r="E97" s="34">
        <f>IFERROR(VLOOKUP($A97,Pivot!$A:$I,1+MATCH(E$3,Pivot!$B$4:$I$4,0),FALSE),0)</f>
        <v>0</v>
      </c>
      <c r="F97" s="34">
        <f>IFERROR(VLOOKUP($A97,Pivot!$A:$I,1+MATCH(F$3,Pivot!$B$4:$I$4,0),FALSE),0)</f>
        <v>0</v>
      </c>
      <c r="G97" s="34">
        <f>IFERROR(VLOOKUP($A97,Pivot!$A:$I,1+MATCH(G$3,Pivot!$B$4:$I$4,0),FALSE),0)</f>
        <v>0</v>
      </c>
      <c r="H97" s="34">
        <f>IFERROR(VLOOKUP($A97,Pivot!$A:$I,1+MATCH(H$3,Pivot!$B$4:$I$4,0),FALSE),0)</f>
        <v>0</v>
      </c>
      <c r="I97" s="34">
        <f>IFERROR(VLOOKUP($A97,Pivot!$A:$I,1+MATCH(I$3,Pivot!$B$4:$I$4,0),FALSE),0)</f>
        <v>0</v>
      </c>
      <c r="J97" s="34">
        <f>IFERROR(VLOOKUP($A97,Pivot!$A:$I,1+MATCH(J$3,Pivot!$B$4:$I$4,0),FALSE),0)</f>
        <v>0</v>
      </c>
      <c r="K97" s="34">
        <f>IFERROR(VLOOKUP($A97,Pivot!$A:$I,1+MATCH(K$3,Pivot!$B$4:$I$4,0),FALSE),0)</f>
        <v>0</v>
      </c>
      <c r="L97" s="34">
        <f>IFERROR(VLOOKUP($A97,Pivot!$A:$I,1+MATCH(L$3,Pivot!$B$4:$I$4,0),FALSE),0)</f>
        <v>0</v>
      </c>
      <c r="M97" s="34">
        <f>IFERROR(VLOOKUP($A97,Pivot!$A:$I,1+MATCH(M$3,Pivot!$B$4:$I$4,0),FALSE),0)</f>
        <v>0</v>
      </c>
      <c r="N97" s="34">
        <f t="shared" si="16"/>
        <v>4</v>
      </c>
    </row>
    <row r="98" spans="1:14" x14ac:dyDescent="0.25">
      <c r="A98" s="28" t="s">
        <v>563</v>
      </c>
      <c r="B98" s="34">
        <f>IFERROR(VLOOKUP($A98,Pivot!$A:$I,1+MATCH(B$3,Pivot!$B$4:$I$4,0),FALSE),0)</f>
        <v>0</v>
      </c>
      <c r="C98" s="34">
        <f>IFERROR(VLOOKUP($A98,Pivot!$A:$I,1+MATCH(C$3,Pivot!$B$4:$I$4,0),FALSE),0)</f>
        <v>0</v>
      </c>
      <c r="D98" s="34">
        <f>IFERROR(VLOOKUP($A98,Pivot!$A:$I,1+MATCH(D$3,Pivot!$B$4:$I$4,0),FALSE),0)</f>
        <v>7</v>
      </c>
      <c r="E98" s="34">
        <f>IFERROR(VLOOKUP($A98,Pivot!$A:$I,1+MATCH(E$3,Pivot!$B$4:$I$4,0),FALSE),0)</f>
        <v>0</v>
      </c>
      <c r="F98" s="34">
        <f>IFERROR(VLOOKUP($A98,Pivot!$A:$I,1+MATCH(F$3,Pivot!$B$4:$I$4,0),FALSE),0)</f>
        <v>0</v>
      </c>
      <c r="G98" s="34">
        <f>IFERROR(VLOOKUP($A98,Pivot!$A:$I,1+MATCH(G$3,Pivot!$B$4:$I$4,0),FALSE),0)</f>
        <v>0</v>
      </c>
      <c r="H98" s="34">
        <f>IFERROR(VLOOKUP($A98,Pivot!$A:$I,1+MATCH(H$3,Pivot!$B$4:$I$4,0),FALSE),0)</f>
        <v>0</v>
      </c>
      <c r="I98" s="34">
        <f>IFERROR(VLOOKUP($A98,Pivot!$A:$I,1+MATCH(I$3,Pivot!$B$4:$I$4,0),FALSE),0)</f>
        <v>0</v>
      </c>
      <c r="J98" s="34">
        <f>IFERROR(VLOOKUP($A98,Pivot!$A:$I,1+MATCH(J$3,Pivot!$B$4:$I$4,0),FALSE),0)</f>
        <v>0</v>
      </c>
      <c r="K98" s="34">
        <f>IFERROR(VLOOKUP($A98,Pivot!$A:$I,1+MATCH(K$3,Pivot!$B$4:$I$4,0),FALSE),0)</f>
        <v>0</v>
      </c>
      <c r="L98" s="34">
        <f>IFERROR(VLOOKUP($A98,Pivot!$A:$I,1+MATCH(L$3,Pivot!$B$4:$I$4,0),FALSE),0)</f>
        <v>0</v>
      </c>
      <c r="M98" s="34">
        <f>IFERROR(VLOOKUP($A98,Pivot!$A:$I,1+MATCH(M$3,Pivot!$B$4:$I$4,0),FALSE),0)</f>
        <v>0</v>
      </c>
      <c r="N98" s="34">
        <f t="shared" si="16"/>
        <v>7</v>
      </c>
    </row>
    <row r="99" spans="1:14" x14ac:dyDescent="0.25">
      <c r="A99" s="28" t="s">
        <v>93</v>
      </c>
      <c r="B99" s="34">
        <f>IFERROR(VLOOKUP($A99,Pivot!$A:$I,1+MATCH(B$3,Pivot!$B$4:$I$4,0),FALSE),0)</f>
        <v>0</v>
      </c>
      <c r="C99" s="34">
        <f>IFERROR(VLOOKUP($A99,Pivot!$A:$I,1+MATCH(C$3,Pivot!$B$4:$I$4,0),FALSE),0)</f>
        <v>0</v>
      </c>
      <c r="D99" s="34">
        <f>IFERROR(VLOOKUP($A99,Pivot!$A:$I,1+MATCH(D$3,Pivot!$B$4:$I$4,0),FALSE),0)</f>
        <v>52</v>
      </c>
      <c r="E99" s="34">
        <f>IFERROR(VLOOKUP($A99,Pivot!$A:$I,1+MATCH(E$3,Pivot!$B$4:$I$4,0),FALSE),0)</f>
        <v>0</v>
      </c>
      <c r="F99" s="34">
        <f>IFERROR(VLOOKUP($A99,Pivot!$A:$I,1+MATCH(F$3,Pivot!$B$4:$I$4,0),FALSE),0)</f>
        <v>2</v>
      </c>
      <c r="G99" s="34">
        <f>IFERROR(VLOOKUP($A99,Pivot!$A:$I,1+MATCH(G$3,Pivot!$B$4:$I$4,0),FALSE),0)</f>
        <v>0</v>
      </c>
      <c r="H99" s="34">
        <f>IFERROR(VLOOKUP($A99,Pivot!$A:$I,1+MATCH(H$3,Pivot!$B$4:$I$4,0),FALSE),0)</f>
        <v>0</v>
      </c>
      <c r="I99" s="34">
        <f>IFERROR(VLOOKUP($A99,Pivot!$A:$I,1+MATCH(I$3,Pivot!$B$4:$I$4,0),FALSE),0)</f>
        <v>1</v>
      </c>
      <c r="J99" s="34">
        <f>IFERROR(VLOOKUP($A99,Pivot!$A:$I,1+MATCH(J$3,Pivot!$B$4:$I$4,0),FALSE),0)</f>
        <v>0</v>
      </c>
      <c r="K99" s="34">
        <f>IFERROR(VLOOKUP($A99,Pivot!$A:$I,1+MATCH(K$3,Pivot!$B$4:$I$4,0),FALSE),0)</f>
        <v>0</v>
      </c>
      <c r="L99" s="34">
        <f>IFERROR(VLOOKUP($A99,Pivot!$A:$I,1+MATCH(L$3,Pivot!$B$4:$I$4,0),FALSE),0)</f>
        <v>0</v>
      </c>
      <c r="M99" s="34">
        <f>IFERROR(VLOOKUP($A99,Pivot!$A:$I,1+MATCH(M$3,Pivot!$B$4:$I$4,0),FALSE),0)</f>
        <v>0</v>
      </c>
      <c r="N99" s="34">
        <f t="shared" si="16"/>
        <v>55</v>
      </c>
    </row>
    <row r="100" spans="1:14" x14ac:dyDescent="0.25">
      <c r="A100" s="28" t="s">
        <v>94</v>
      </c>
      <c r="B100" s="34">
        <f>IFERROR(VLOOKUP($A100,Pivot!$A:$I,1+MATCH(B$3,Pivot!$B$4:$I$4,0),FALSE),0)</f>
        <v>0</v>
      </c>
      <c r="C100" s="34">
        <f>IFERROR(VLOOKUP($A100,Pivot!$A:$I,1+MATCH(C$3,Pivot!$B$4:$I$4,0),FALSE),0)</f>
        <v>0</v>
      </c>
      <c r="D100" s="34">
        <f>IFERROR(VLOOKUP($A100,Pivot!$A:$I,1+MATCH(D$3,Pivot!$B$4:$I$4,0),FALSE),0)</f>
        <v>11</v>
      </c>
      <c r="E100" s="34">
        <f>IFERROR(VLOOKUP($A100,Pivot!$A:$I,1+MATCH(E$3,Pivot!$B$4:$I$4,0),FALSE),0)</f>
        <v>0</v>
      </c>
      <c r="F100" s="34">
        <f>IFERROR(VLOOKUP($A100,Pivot!$A:$I,1+MATCH(F$3,Pivot!$B$4:$I$4,0),FALSE),0)</f>
        <v>0</v>
      </c>
      <c r="G100" s="34">
        <f>IFERROR(VLOOKUP($A100,Pivot!$A:$I,1+MATCH(G$3,Pivot!$B$4:$I$4,0),FALSE),0)</f>
        <v>0</v>
      </c>
      <c r="H100" s="34">
        <f>IFERROR(VLOOKUP($A100,Pivot!$A:$I,1+MATCH(H$3,Pivot!$B$4:$I$4,0),FALSE),0)</f>
        <v>0</v>
      </c>
      <c r="I100" s="34">
        <f>IFERROR(VLOOKUP($A100,Pivot!$A:$I,1+MATCH(I$3,Pivot!$B$4:$I$4,0),FALSE),0)</f>
        <v>0</v>
      </c>
      <c r="J100" s="34">
        <f>IFERROR(VLOOKUP($A100,Pivot!$A:$I,1+MATCH(J$3,Pivot!$B$4:$I$4,0),FALSE),0)</f>
        <v>0</v>
      </c>
      <c r="K100" s="34">
        <f>IFERROR(VLOOKUP($A100,Pivot!$A:$I,1+MATCH(K$3,Pivot!$B$4:$I$4,0),FALSE),0)</f>
        <v>0</v>
      </c>
      <c r="L100" s="34">
        <f>IFERROR(VLOOKUP($A100,Pivot!$A:$I,1+MATCH(L$3,Pivot!$B$4:$I$4,0),FALSE),0)</f>
        <v>0</v>
      </c>
      <c r="M100" s="34">
        <f>IFERROR(VLOOKUP($A100,Pivot!$A:$I,1+MATCH(M$3,Pivot!$B$4:$I$4,0),FALSE),0)</f>
        <v>0</v>
      </c>
      <c r="N100" s="34">
        <f t="shared" si="16"/>
        <v>11</v>
      </c>
    </row>
    <row r="101" spans="1:14" x14ac:dyDescent="0.25">
      <c r="A101" s="28" t="s">
        <v>95</v>
      </c>
      <c r="B101" s="34">
        <f>IFERROR(VLOOKUP($A101,Pivot!$A:$I,1+MATCH(B$3,Pivot!$B$4:$I$4,0),FALSE),0)</f>
        <v>0</v>
      </c>
      <c r="C101" s="34">
        <f>IFERROR(VLOOKUP($A101,Pivot!$A:$I,1+MATCH(C$3,Pivot!$B$4:$I$4,0),FALSE),0)</f>
        <v>0</v>
      </c>
      <c r="D101" s="34">
        <f>IFERROR(VLOOKUP($A101,Pivot!$A:$I,1+MATCH(D$3,Pivot!$B$4:$I$4,0),FALSE),0)</f>
        <v>6</v>
      </c>
      <c r="E101" s="34">
        <f>IFERROR(VLOOKUP($A101,Pivot!$A:$I,1+MATCH(E$3,Pivot!$B$4:$I$4,0),FALSE),0)</f>
        <v>0</v>
      </c>
      <c r="F101" s="34">
        <f>IFERROR(VLOOKUP($A101,Pivot!$A:$I,1+MATCH(F$3,Pivot!$B$4:$I$4,0),FALSE),0)</f>
        <v>0</v>
      </c>
      <c r="G101" s="34">
        <f>IFERROR(VLOOKUP($A101,Pivot!$A:$I,1+MATCH(G$3,Pivot!$B$4:$I$4,0),FALSE),0)</f>
        <v>0</v>
      </c>
      <c r="H101" s="34">
        <f>IFERROR(VLOOKUP($A101,Pivot!$A:$I,1+MATCH(H$3,Pivot!$B$4:$I$4,0),FALSE),0)</f>
        <v>0</v>
      </c>
      <c r="I101" s="34">
        <f>IFERROR(VLOOKUP($A101,Pivot!$A:$I,1+MATCH(I$3,Pivot!$B$4:$I$4,0),FALSE),0)</f>
        <v>0</v>
      </c>
      <c r="J101" s="34">
        <f>IFERROR(VLOOKUP($A101,Pivot!$A:$I,1+MATCH(J$3,Pivot!$B$4:$I$4,0),FALSE),0)</f>
        <v>0</v>
      </c>
      <c r="K101" s="34">
        <f>IFERROR(VLOOKUP($A101,Pivot!$A:$I,1+MATCH(K$3,Pivot!$B$4:$I$4,0),FALSE),0)</f>
        <v>0</v>
      </c>
      <c r="L101" s="34">
        <f>IFERROR(VLOOKUP($A101,Pivot!$A:$I,1+MATCH(L$3,Pivot!$B$4:$I$4,0),FALSE),0)</f>
        <v>0</v>
      </c>
      <c r="M101" s="34">
        <f>IFERROR(VLOOKUP($A101,Pivot!$A:$I,1+MATCH(M$3,Pivot!$B$4:$I$4,0),FALSE),0)</f>
        <v>0</v>
      </c>
      <c r="N101" s="34">
        <f t="shared" si="16"/>
        <v>6</v>
      </c>
    </row>
    <row r="102" spans="1:14" x14ac:dyDescent="0.25">
      <c r="A102" s="28" t="s">
        <v>96</v>
      </c>
      <c r="B102" s="34">
        <f>IFERROR(VLOOKUP($A102,Pivot!$A:$I,1+MATCH(B$3,Pivot!$B$4:$I$4,0),FALSE),0)</f>
        <v>0</v>
      </c>
      <c r="C102" s="34">
        <f>IFERROR(VLOOKUP($A102,Pivot!$A:$I,1+MATCH(C$3,Pivot!$B$4:$I$4,0),FALSE),0)</f>
        <v>0</v>
      </c>
      <c r="D102" s="34">
        <f>IFERROR(VLOOKUP($A102,Pivot!$A:$I,1+MATCH(D$3,Pivot!$B$4:$I$4,0),FALSE),0)</f>
        <v>7</v>
      </c>
      <c r="E102" s="34">
        <f>IFERROR(VLOOKUP($A102,Pivot!$A:$I,1+MATCH(E$3,Pivot!$B$4:$I$4,0),FALSE),0)</f>
        <v>0</v>
      </c>
      <c r="F102" s="34">
        <f>IFERROR(VLOOKUP($A102,Pivot!$A:$I,1+MATCH(F$3,Pivot!$B$4:$I$4,0),FALSE),0)</f>
        <v>0</v>
      </c>
      <c r="G102" s="34">
        <f>IFERROR(VLOOKUP($A102,Pivot!$A:$I,1+MATCH(G$3,Pivot!$B$4:$I$4,0),FALSE),0)</f>
        <v>0</v>
      </c>
      <c r="H102" s="34">
        <f>IFERROR(VLOOKUP($A102,Pivot!$A:$I,1+MATCH(H$3,Pivot!$B$4:$I$4,0),FALSE),0)</f>
        <v>0</v>
      </c>
      <c r="I102" s="34">
        <f>IFERROR(VLOOKUP($A102,Pivot!$A:$I,1+MATCH(I$3,Pivot!$B$4:$I$4,0),FALSE),0)</f>
        <v>0</v>
      </c>
      <c r="J102" s="34">
        <f>IFERROR(VLOOKUP($A102,Pivot!$A:$I,1+MATCH(J$3,Pivot!$B$4:$I$4,0),FALSE),0)</f>
        <v>0</v>
      </c>
      <c r="K102" s="34">
        <f>IFERROR(VLOOKUP($A102,Pivot!$A:$I,1+MATCH(K$3,Pivot!$B$4:$I$4,0),FALSE),0)</f>
        <v>0</v>
      </c>
      <c r="L102" s="34">
        <f>IFERROR(VLOOKUP($A102,Pivot!$A:$I,1+MATCH(L$3,Pivot!$B$4:$I$4,0),FALSE),0)</f>
        <v>0</v>
      </c>
      <c r="M102" s="34">
        <f>IFERROR(VLOOKUP($A102,Pivot!$A:$I,1+MATCH(M$3,Pivot!$B$4:$I$4,0),FALSE),0)</f>
        <v>0</v>
      </c>
      <c r="N102" s="34">
        <f t="shared" si="16"/>
        <v>7</v>
      </c>
    </row>
    <row r="103" spans="1:14" x14ac:dyDescent="0.25">
      <c r="A103" s="28" t="s">
        <v>97</v>
      </c>
      <c r="B103" s="34">
        <f>IFERROR(VLOOKUP($A103,Pivot!$A:$I,1+MATCH(B$3,Pivot!$B$4:$I$4,0),FALSE),0)</f>
        <v>0</v>
      </c>
      <c r="C103" s="34">
        <f>IFERROR(VLOOKUP($A103,Pivot!$A:$I,1+MATCH(C$3,Pivot!$B$4:$I$4,0),FALSE),0)</f>
        <v>0</v>
      </c>
      <c r="D103" s="34">
        <f>IFERROR(VLOOKUP($A103,Pivot!$A:$I,1+MATCH(D$3,Pivot!$B$4:$I$4,0),FALSE),0)</f>
        <v>6</v>
      </c>
      <c r="E103" s="34">
        <f>IFERROR(VLOOKUP($A103,Pivot!$A:$I,1+MATCH(E$3,Pivot!$B$4:$I$4,0),FALSE),0)</f>
        <v>0</v>
      </c>
      <c r="F103" s="34">
        <f>IFERROR(VLOOKUP($A103,Pivot!$A:$I,1+MATCH(F$3,Pivot!$B$4:$I$4,0),FALSE),0)</f>
        <v>0</v>
      </c>
      <c r="G103" s="34">
        <f>IFERROR(VLOOKUP($A103,Pivot!$A:$I,1+MATCH(G$3,Pivot!$B$4:$I$4,0),FALSE),0)</f>
        <v>0</v>
      </c>
      <c r="H103" s="34">
        <f>IFERROR(VLOOKUP($A103,Pivot!$A:$I,1+MATCH(H$3,Pivot!$B$4:$I$4,0),FALSE),0)</f>
        <v>0</v>
      </c>
      <c r="I103" s="34">
        <f>IFERROR(VLOOKUP($A103,Pivot!$A:$I,1+MATCH(I$3,Pivot!$B$4:$I$4,0),FALSE),0)</f>
        <v>0</v>
      </c>
      <c r="J103" s="34">
        <f>IFERROR(VLOOKUP($A103,Pivot!$A:$I,1+MATCH(J$3,Pivot!$B$4:$I$4,0),FALSE),0)</f>
        <v>0</v>
      </c>
      <c r="K103" s="34">
        <f>IFERROR(VLOOKUP($A103,Pivot!$A:$I,1+MATCH(K$3,Pivot!$B$4:$I$4,0),FALSE),0)</f>
        <v>0</v>
      </c>
      <c r="L103" s="34">
        <f>IFERROR(VLOOKUP($A103,Pivot!$A:$I,1+MATCH(L$3,Pivot!$B$4:$I$4,0),FALSE),0)</f>
        <v>0</v>
      </c>
      <c r="M103" s="34">
        <f>IFERROR(VLOOKUP($A103,Pivot!$A:$I,1+MATCH(M$3,Pivot!$B$4:$I$4,0),FALSE),0)</f>
        <v>0</v>
      </c>
      <c r="N103" s="34">
        <f t="shared" si="16"/>
        <v>6</v>
      </c>
    </row>
    <row r="104" spans="1:14" x14ac:dyDescent="0.25">
      <c r="A104" s="28" t="s">
        <v>98</v>
      </c>
      <c r="B104" s="34">
        <f>IFERROR(VLOOKUP($A104,Pivot!$A:$I,1+MATCH(B$3,Pivot!$B$4:$I$4,0),FALSE),0)</f>
        <v>0</v>
      </c>
      <c r="C104" s="34">
        <f>IFERROR(VLOOKUP($A104,Pivot!$A:$I,1+MATCH(C$3,Pivot!$B$4:$I$4,0),FALSE),0)</f>
        <v>0</v>
      </c>
      <c r="D104" s="34">
        <f>IFERROR(VLOOKUP($A104,Pivot!$A:$I,1+MATCH(D$3,Pivot!$B$4:$I$4,0),FALSE),0)</f>
        <v>6</v>
      </c>
      <c r="E104" s="34">
        <f>IFERROR(VLOOKUP($A104,Pivot!$A:$I,1+MATCH(E$3,Pivot!$B$4:$I$4,0),FALSE),0)</f>
        <v>0</v>
      </c>
      <c r="F104" s="34">
        <f>IFERROR(VLOOKUP($A104,Pivot!$A:$I,1+MATCH(F$3,Pivot!$B$4:$I$4,0),FALSE),0)</f>
        <v>0</v>
      </c>
      <c r="G104" s="34">
        <f>IFERROR(VLOOKUP($A104,Pivot!$A:$I,1+MATCH(G$3,Pivot!$B$4:$I$4,0),FALSE),0)</f>
        <v>0</v>
      </c>
      <c r="H104" s="34">
        <f>IFERROR(VLOOKUP($A104,Pivot!$A:$I,1+MATCH(H$3,Pivot!$B$4:$I$4,0),FALSE),0)</f>
        <v>0</v>
      </c>
      <c r="I104" s="34">
        <f>IFERROR(VLOOKUP($A104,Pivot!$A:$I,1+MATCH(I$3,Pivot!$B$4:$I$4,0),FALSE),0)</f>
        <v>0</v>
      </c>
      <c r="J104" s="34">
        <f>IFERROR(VLOOKUP($A104,Pivot!$A:$I,1+MATCH(J$3,Pivot!$B$4:$I$4,0),FALSE),0)</f>
        <v>0</v>
      </c>
      <c r="K104" s="34">
        <f>IFERROR(VLOOKUP($A104,Pivot!$A:$I,1+MATCH(K$3,Pivot!$B$4:$I$4,0),FALSE),0)</f>
        <v>0</v>
      </c>
      <c r="L104" s="34">
        <f>IFERROR(VLOOKUP($A104,Pivot!$A:$I,1+MATCH(L$3,Pivot!$B$4:$I$4,0),FALSE),0)</f>
        <v>0</v>
      </c>
      <c r="M104" s="34">
        <f>IFERROR(VLOOKUP($A104,Pivot!$A:$I,1+MATCH(M$3,Pivot!$B$4:$I$4,0),FALSE),0)</f>
        <v>0</v>
      </c>
      <c r="N104" s="34">
        <f t="shared" si="16"/>
        <v>6</v>
      </c>
    </row>
    <row r="105" spans="1:14" x14ac:dyDescent="0.25">
      <c r="A105" s="28" t="s">
        <v>570</v>
      </c>
      <c r="B105" s="34">
        <f>IFERROR(VLOOKUP($A105,Pivot!$A:$I,1+MATCH(B$3,Pivot!$B$4:$I$4,0),FALSE),0)</f>
        <v>0</v>
      </c>
      <c r="C105" s="34">
        <f>IFERROR(VLOOKUP($A105,Pivot!$A:$I,1+MATCH(C$3,Pivot!$B$4:$I$4,0),FALSE),0)</f>
        <v>0</v>
      </c>
      <c r="D105" s="34">
        <f>IFERROR(VLOOKUP($A105,Pivot!$A:$I,1+MATCH(D$3,Pivot!$B$4:$I$4,0),FALSE),0)</f>
        <v>6</v>
      </c>
      <c r="E105" s="34">
        <f>IFERROR(VLOOKUP($A105,Pivot!$A:$I,1+MATCH(E$3,Pivot!$B$4:$I$4,0),FALSE),0)</f>
        <v>0</v>
      </c>
      <c r="F105" s="34">
        <f>IFERROR(VLOOKUP($A105,Pivot!$A:$I,1+MATCH(F$3,Pivot!$B$4:$I$4,0),FALSE),0)</f>
        <v>0</v>
      </c>
      <c r="G105" s="34">
        <f>IFERROR(VLOOKUP($A105,Pivot!$A:$I,1+MATCH(G$3,Pivot!$B$4:$I$4,0),FALSE),0)</f>
        <v>0</v>
      </c>
      <c r="H105" s="34">
        <f>IFERROR(VLOOKUP($A105,Pivot!$A:$I,1+MATCH(H$3,Pivot!$B$4:$I$4,0),FALSE),0)</f>
        <v>0</v>
      </c>
      <c r="I105" s="34">
        <f>IFERROR(VLOOKUP($A105,Pivot!$A:$I,1+MATCH(I$3,Pivot!$B$4:$I$4,0),FALSE),0)</f>
        <v>0</v>
      </c>
      <c r="J105" s="34">
        <f>IFERROR(VLOOKUP($A105,Pivot!$A:$I,1+MATCH(J$3,Pivot!$B$4:$I$4,0),FALSE),0)</f>
        <v>0</v>
      </c>
      <c r="K105" s="34">
        <f>IFERROR(VLOOKUP($A105,Pivot!$A:$I,1+MATCH(K$3,Pivot!$B$4:$I$4,0),FALSE),0)</f>
        <v>0</v>
      </c>
      <c r="L105" s="34">
        <f>IFERROR(VLOOKUP($A105,Pivot!$A:$I,1+MATCH(L$3,Pivot!$B$4:$I$4,0),FALSE),0)</f>
        <v>0</v>
      </c>
      <c r="M105" s="34">
        <f>IFERROR(VLOOKUP($A105,Pivot!$A:$I,1+MATCH(M$3,Pivot!$B$4:$I$4,0),FALSE),0)</f>
        <v>0</v>
      </c>
      <c r="N105" s="34">
        <f t="shared" si="16"/>
        <v>6</v>
      </c>
    </row>
    <row r="106" spans="1:14" x14ac:dyDescent="0.25">
      <c r="A106" s="28" t="s">
        <v>99</v>
      </c>
      <c r="B106" s="34">
        <f>IFERROR(VLOOKUP($A106,Pivot!$A:$I,1+MATCH(B$3,Pivot!$B$4:$I$4,0),FALSE),0)</f>
        <v>0</v>
      </c>
      <c r="C106" s="34">
        <f>IFERROR(VLOOKUP($A106,Pivot!$A:$I,1+MATCH(C$3,Pivot!$B$4:$I$4,0),FALSE),0)</f>
        <v>0</v>
      </c>
      <c r="D106" s="34">
        <f>IFERROR(VLOOKUP($A106,Pivot!$A:$I,1+MATCH(D$3,Pivot!$B$4:$I$4,0),FALSE),0)</f>
        <v>9</v>
      </c>
      <c r="E106" s="34">
        <f>IFERROR(VLOOKUP($A106,Pivot!$A:$I,1+MATCH(E$3,Pivot!$B$4:$I$4,0),FALSE),0)</f>
        <v>0</v>
      </c>
      <c r="F106" s="34">
        <f>IFERROR(VLOOKUP($A106,Pivot!$A:$I,1+MATCH(F$3,Pivot!$B$4:$I$4,0),FALSE),0)</f>
        <v>0</v>
      </c>
      <c r="G106" s="34">
        <f>IFERROR(VLOOKUP($A106,Pivot!$A:$I,1+MATCH(G$3,Pivot!$B$4:$I$4,0),FALSE),0)</f>
        <v>1</v>
      </c>
      <c r="H106" s="34">
        <f>IFERROR(VLOOKUP($A106,Pivot!$A:$I,1+MATCH(H$3,Pivot!$B$4:$I$4,0),FALSE),0)</f>
        <v>0</v>
      </c>
      <c r="I106" s="34">
        <f>IFERROR(VLOOKUP($A106,Pivot!$A:$I,1+MATCH(I$3,Pivot!$B$4:$I$4,0),FALSE),0)</f>
        <v>0</v>
      </c>
      <c r="J106" s="34">
        <f>IFERROR(VLOOKUP($A106,Pivot!$A:$I,1+MATCH(J$3,Pivot!$B$4:$I$4,0),FALSE),0)</f>
        <v>0</v>
      </c>
      <c r="K106" s="34">
        <f>IFERROR(VLOOKUP($A106,Pivot!$A:$I,1+MATCH(K$3,Pivot!$B$4:$I$4,0),FALSE),0)</f>
        <v>1</v>
      </c>
      <c r="L106" s="34">
        <f>IFERROR(VLOOKUP($A106,Pivot!$A:$I,1+MATCH(L$3,Pivot!$B$4:$I$4,0),FALSE),0)</f>
        <v>0</v>
      </c>
      <c r="M106" s="34">
        <f>IFERROR(VLOOKUP($A106,Pivot!$A:$I,1+MATCH(M$3,Pivot!$B$4:$I$4,0),FALSE),0)</f>
        <v>0</v>
      </c>
      <c r="N106" s="34">
        <f t="shared" si="16"/>
        <v>11</v>
      </c>
    </row>
    <row r="107" spans="1:14" x14ac:dyDescent="0.25">
      <c r="A107" s="28" t="s">
        <v>100</v>
      </c>
      <c r="B107" s="34">
        <f>IFERROR(VLOOKUP($A107,Pivot!$A:$I,1+MATCH(B$3,Pivot!$B$4:$I$4,0),FALSE),0)</f>
        <v>0</v>
      </c>
      <c r="C107" s="34">
        <f>IFERROR(VLOOKUP($A107,Pivot!$A:$I,1+MATCH(C$3,Pivot!$B$4:$I$4,0),FALSE),0)</f>
        <v>0</v>
      </c>
      <c r="D107" s="34">
        <f>IFERROR(VLOOKUP($A107,Pivot!$A:$I,1+MATCH(D$3,Pivot!$B$4:$I$4,0),FALSE),0)</f>
        <v>7</v>
      </c>
      <c r="E107" s="34">
        <f>IFERROR(VLOOKUP($A107,Pivot!$A:$I,1+MATCH(E$3,Pivot!$B$4:$I$4,0),FALSE),0)</f>
        <v>0</v>
      </c>
      <c r="F107" s="34">
        <f>IFERROR(VLOOKUP($A107,Pivot!$A:$I,1+MATCH(F$3,Pivot!$B$4:$I$4,0),FALSE),0)</f>
        <v>0</v>
      </c>
      <c r="G107" s="34">
        <f>IFERROR(VLOOKUP($A107,Pivot!$A:$I,1+MATCH(G$3,Pivot!$B$4:$I$4,0),FALSE),0)</f>
        <v>0</v>
      </c>
      <c r="H107" s="34">
        <f>IFERROR(VLOOKUP($A107,Pivot!$A:$I,1+MATCH(H$3,Pivot!$B$4:$I$4,0),FALSE),0)</f>
        <v>0</v>
      </c>
      <c r="I107" s="34">
        <f>IFERROR(VLOOKUP($A107,Pivot!$A:$I,1+MATCH(I$3,Pivot!$B$4:$I$4,0),FALSE),0)</f>
        <v>0</v>
      </c>
      <c r="J107" s="34">
        <f>IFERROR(VLOOKUP($A107,Pivot!$A:$I,1+MATCH(J$3,Pivot!$B$4:$I$4,0),FALSE),0)</f>
        <v>0</v>
      </c>
      <c r="K107" s="34">
        <f>IFERROR(VLOOKUP($A107,Pivot!$A:$I,1+MATCH(K$3,Pivot!$B$4:$I$4,0),FALSE),0)</f>
        <v>0</v>
      </c>
      <c r="L107" s="34">
        <f>IFERROR(VLOOKUP($A107,Pivot!$A:$I,1+MATCH(L$3,Pivot!$B$4:$I$4,0),FALSE),0)</f>
        <v>0</v>
      </c>
      <c r="M107" s="34">
        <f>IFERROR(VLOOKUP($A107,Pivot!$A:$I,1+MATCH(M$3,Pivot!$B$4:$I$4,0),FALSE),0)</f>
        <v>0</v>
      </c>
      <c r="N107" s="34">
        <f t="shared" si="16"/>
        <v>7</v>
      </c>
    </row>
    <row r="108" spans="1:14" x14ac:dyDescent="0.25">
      <c r="A108" s="28" t="s">
        <v>697</v>
      </c>
      <c r="B108" s="34">
        <f>IFERROR(VLOOKUP($A108,Pivot!$A:$I,1+MATCH(B$3,Pivot!$B$4:$I$4,0),FALSE),0)</f>
        <v>0</v>
      </c>
      <c r="C108" s="34">
        <f>IFERROR(VLOOKUP($A108,Pivot!$A:$I,1+MATCH(C$3,Pivot!$B$4:$I$4,0),FALSE),0)</f>
        <v>0</v>
      </c>
      <c r="D108" s="34">
        <f>IFERROR(VLOOKUP($A108,Pivot!$A:$I,1+MATCH(D$3,Pivot!$B$4:$I$4,0),FALSE),0)</f>
        <v>3</v>
      </c>
      <c r="E108" s="34">
        <f>IFERROR(VLOOKUP($A108,Pivot!$A:$I,1+MATCH(E$3,Pivot!$B$4:$I$4,0),FALSE),0)</f>
        <v>0</v>
      </c>
      <c r="F108" s="34">
        <f>IFERROR(VLOOKUP($A108,Pivot!$A:$I,1+MATCH(F$3,Pivot!$B$4:$I$4,0),FALSE),0)</f>
        <v>0</v>
      </c>
      <c r="G108" s="34">
        <f>IFERROR(VLOOKUP($A108,Pivot!$A:$I,1+MATCH(G$3,Pivot!$B$4:$I$4,0),FALSE),0)</f>
        <v>0</v>
      </c>
      <c r="H108" s="34">
        <f>IFERROR(VLOOKUP($A108,Pivot!$A:$I,1+MATCH(H$3,Pivot!$B$4:$I$4,0),FALSE),0)</f>
        <v>0</v>
      </c>
      <c r="I108" s="34">
        <f>IFERROR(VLOOKUP($A108,Pivot!$A:$I,1+MATCH(I$3,Pivot!$B$4:$I$4,0),FALSE),0)</f>
        <v>0</v>
      </c>
      <c r="J108" s="34">
        <f>IFERROR(VLOOKUP($A108,Pivot!$A:$I,1+MATCH(J$3,Pivot!$B$4:$I$4,0),FALSE),0)</f>
        <v>0</v>
      </c>
      <c r="K108" s="34">
        <f>IFERROR(VLOOKUP($A108,Pivot!$A:$I,1+MATCH(K$3,Pivot!$B$4:$I$4,0),FALSE),0)</f>
        <v>0</v>
      </c>
      <c r="L108" s="34">
        <f>IFERROR(VLOOKUP($A108,Pivot!$A:$I,1+MATCH(L$3,Pivot!$B$4:$I$4,0),FALSE),0)</f>
        <v>0</v>
      </c>
      <c r="M108" s="34">
        <f>IFERROR(VLOOKUP($A108,Pivot!$A:$I,1+MATCH(M$3,Pivot!$B$4:$I$4,0),FALSE),0)</f>
        <v>0</v>
      </c>
      <c r="N108" s="34">
        <f t="shared" si="16"/>
        <v>3</v>
      </c>
    </row>
    <row r="109" spans="1:14" x14ac:dyDescent="0.25">
      <c r="A109" s="28" t="s">
        <v>101</v>
      </c>
      <c r="B109" s="34">
        <f>IFERROR(VLOOKUP($A109,Pivot!$A:$I,1+MATCH(B$3,Pivot!$B$4:$I$4,0),FALSE),0)</f>
        <v>0</v>
      </c>
      <c r="C109" s="34">
        <f>IFERROR(VLOOKUP($A109,Pivot!$A:$I,1+MATCH(C$3,Pivot!$B$4:$I$4,0),FALSE),0)</f>
        <v>0</v>
      </c>
      <c r="D109" s="34">
        <f>IFERROR(VLOOKUP($A109,Pivot!$A:$I,1+MATCH(D$3,Pivot!$B$4:$I$4,0),FALSE),0)</f>
        <v>1</v>
      </c>
      <c r="E109" s="34">
        <f>IFERROR(VLOOKUP($A109,Pivot!$A:$I,1+MATCH(E$3,Pivot!$B$4:$I$4,0),FALSE),0)</f>
        <v>0</v>
      </c>
      <c r="F109" s="34">
        <f>IFERROR(VLOOKUP($A109,Pivot!$A:$I,1+MATCH(F$3,Pivot!$B$4:$I$4,0),FALSE),0)</f>
        <v>0</v>
      </c>
      <c r="G109" s="34">
        <f>IFERROR(VLOOKUP($A109,Pivot!$A:$I,1+MATCH(G$3,Pivot!$B$4:$I$4,0),FALSE),0)</f>
        <v>0</v>
      </c>
      <c r="H109" s="34">
        <f>IFERROR(VLOOKUP($A109,Pivot!$A:$I,1+MATCH(H$3,Pivot!$B$4:$I$4,0),FALSE),0)</f>
        <v>0</v>
      </c>
      <c r="I109" s="34">
        <f>IFERROR(VLOOKUP($A109,Pivot!$A:$I,1+MATCH(I$3,Pivot!$B$4:$I$4,0),FALSE),0)</f>
        <v>0</v>
      </c>
      <c r="J109" s="34">
        <f>IFERROR(VLOOKUP($A109,Pivot!$A:$I,1+MATCH(J$3,Pivot!$B$4:$I$4,0),FALSE),0)</f>
        <v>0</v>
      </c>
      <c r="K109" s="34">
        <f>IFERROR(VLOOKUP($A109,Pivot!$A:$I,1+MATCH(K$3,Pivot!$B$4:$I$4,0),FALSE),0)</f>
        <v>0</v>
      </c>
      <c r="L109" s="34">
        <f>IFERROR(VLOOKUP($A109,Pivot!$A:$I,1+MATCH(L$3,Pivot!$B$4:$I$4,0),FALSE),0)</f>
        <v>0</v>
      </c>
      <c r="M109" s="34">
        <f>IFERROR(VLOOKUP($A109,Pivot!$A:$I,1+MATCH(M$3,Pivot!$B$4:$I$4,0),FALSE),0)</f>
        <v>0</v>
      </c>
      <c r="N109" s="34">
        <f t="shared" si="16"/>
        <v>1</v>
      </c>
    </row>
    <row r="110" spans="1:14" x14ac:dyDescent="0.25">
      <c r="A110" s="28" t="s">
        <v>102</v>
      </c>
      <c r="B110" s="34">
        <f>IFERROR(VLOOKUP($A110,Pivot!$A:$I,1+MATCH(B$3,Pivot!$B$4:$I$4,0),FALSE),0)</f>
        <v>0</v>
      </c>
      <c r="C110" s="34">
        <f>IFERROR(VLOOKUP($A110,Pivot!$A:$I,1+MATCH(C$3,Pivot!$B$4:$I$4,0),FALSE),0)</f>
        <v>0</v>
      </c>
      <c r="D110" s="34">
        <f>IFERROR(VLOOKUP($A110,Pivot!$A:$I,1+MATCH(D$3,Pivot!$B$4:$I$4,0),FALSE),0)</f>
        <v>7</v>
      </c>
      <c r="E110" s="34">
        <f>IFERROR(VLOOKUP($A110,Pivot!$A:$I,1+MATCH(E$3,Pivot!$B$4:$I$4,0),FALSE),0)</f>
        <v>0</v>
      </c>
      <c r="F110" s="34">
        <f>IFERROR(VLOOKUP($A110,Pivot!$A:$I,1+MATCH(F$3,Pivot!$B$4:$I$4,0),FALSE),0)</f>
        <v>0</v>
      </c>
      <c r="G110" s="34">
        <f>IFERROR(VLOOKUP($A110,Pivot!$A:$I,1+MATCH(G$3,Pivot!$B$4:$I$4,0),FALSE),0)</f>
        <v>0</v>
      </c>
      <c r="H110" s="34">
        <f>IFERROR(VLOOKUP($A110,Pivot!$A:$I,1+MATCH(H$3,Pivot!$B$4:$I$4,0),FALSE),0)</f>
        <v>0</v>
      </c>
      <c r="I110" s="34">
        <f>IFERROR(VLOOKUP($A110,Pivot!$A:$I,1+MATCH(I$3,Pivot!$B$4:$I$4,0),FALSE),0)</f>
        <v>0</v>
      </c>
      <c r="J110" s="34">
        <f>IFERROR(VLOOKUP($A110,Pivot!$A:$I,1+MATCH(J$3,Pivot!$B$4:$I$4,0),FALSE),0)</f>
        <v>0</v>
      </c>
      <c r="K110" s="34">
        <f>IFERROR(VLOOKUP($A110,Pivot!$A:$I,1+MATCH(K$3,Pivot!$B$4:$I$4,0),FALSE),0)</f>
        <v>0</v>
      </c>
      <c r="L110" s="34">
        <f>IFERROR(VLOOKUP($A110,Pivot!$A:$I,1+MATCH(L$3,Pivot!$B$4:$I$4,0),FALSE),0)</f>
        <v>0</v>
      </c>
      <c r="M110" s="34">
        <f>IFERROR(VLOOKUP($A110,Pivot!$A:$I,1+MATCH(M$3,Pivot!$B$4:$I$4,0),FALSE),0)</f>
        <v>0</v>
      </c>
      <c r="N110" s="34">
        <f t="shared" si="16"/>
        <v>7</v>
      </c>
    </row>
    <row r="111" spans="1:14" x14ac:dyDescent="0.25">
      <c r="A111" s="28" t="s">
        <v>103</v>
      </c>
      <c r="B111" s="34">
        <f>IFERROR(VLOOKUP($A111,Pivot!$A:$I,1+MATCH(B$3,Pivot!$B$4:$I$4,0),FALSE),0)</f>
        <v>0</v>
      </c>
      <c r="C111" s="34">
        <f>IFERROR(VLOOKUP($A111,Pivot!$A:$I,1+MATCH(C$3,Pivot!$B$4:$I$4,0),FALSE),0)</f>
        <v>0</v>
      </c>
      <c r="D111" s="34">
        <f>IFERROR(VLOOKUP($A111,Pivot!$A:$I,1+MATCH(D$3,Pivot!$B$4:$I$4,0),FALSE),0)</f>
        <v>9</v>
      </c>
      <c r="E111" s="34">
        <f>IFERROR(VLOOKUP($A111,Pivot!$A:$I,1+MATCH(E$3,Pivot!$B$4:$I$4,0),FALSE),0)</f>
        <v>0</v>
      </c>
      <c r="F111" s="34">
        <f>IFERROR(VLOOKUP($A111,Pivot!$A:$I,1+MATCH(F$3,Pivot!$B$4:$I$4,0),FALSE),0)</f>
        <v>0</v>
      </c>
      <c r="G111" s="34">
        <f>IFERROR(VLOOKUP($A111,Pivot!$A:$I,1+MATCH(G$3,Pivot!$B$4:$I$4,0),FALSE),0)</f>
        <v>0</v>
      </c>
      <c r="H111" s="34">
        <f>IFERROR(VLOOKUP($A111,Pivot!$A:$I,1+MATCH(H$3,Pivot!$B$4:$I$4,0),FALSE),0)</f>
        <v>0</v>
      </c>
      <c r="I111" s="34">
        <f>IFERROR(VLOOKUP($A111,Pivot!$A:$I,1+MATCH(I$3,Pivot!$B$4:$I$4,0),FALSE),0)</f>
        <v>0</v>
      </c>
      <c r="J111" s="34">
        <f>IFERROR(VLOOKUP($A111,Pivot!$A:$I,1+MATCH(J$3,Pivot!$B$4:$I$4,0),FALSE),0)</f>
        <v>0</v>
      </c>
      <c r="K111" s="34">
        <f>IFERROR(VLOOKUP($A111,Pivot!$A:$I,1+MATCH(K$3,Pivot!$B$4:$I$4,0),FALSE),0)</f>
        <v>0</v>
      </c>
      <c r="L111" s="34">
        <f>IFERROR(VLOOKUP($A111,Pivot!$A:$I,1+MATCH(L$3,Pivot!$B$4:$I$4,0),FALSE),0)</f>
        <v>0</v>
      </c>
      <c r="M111" s="34">
        <f>IFERROR(VLOOKUP($A111,Pivot!$A:$I,1+MATCH(M$3,Pivot!$B$4:$I$4,0),FALSE),0)</f>
        <v>0</v>
      </c>
      <c r="N111" s="34">
        <f t="shared" si="16"/>
        <v>9</v>
      </c>
    </row>
    <row r="112" spans="1:14" x14ac:dyDescent="0.25">
      <c r="A112" s="28" t="s">
        <v>104</v>
      </c>
      <c r="B112" s="34">
        <f>IFERROR(VLOOKUP($A112,Pivot!$A:$I,1+MATCH(B$3,Pivot!$B$4:$I$4,0),FALSE),0)</f>
        <v>0</v>
      </c>
      <c r="C112" s="34">
        <f>IFERROR(VLOOKUP($A112,Pivot!$A:$I,1+MATCH(C$3,Pivot!$B$4:$I$4,0),FALSE),0)</f>
        <v>0</v>
      </c>
      <c r="D112" s="34">
        <f>IFERROR(VLOOKUP($A112,Pivot!$A:$I,1+MATCH(D$3,Pivot!$B$4:$I$4,0),FALSE),0)</f>
        <v>5</v>
      </c>
      <c r="E112" s="34">
        <f>IFERROR(VLOOKUP($A112,Pivot!$A:$I,1+MATCH(E$3,Pivot!$B$4:$I$4,0),FALSE),0)</f>
        <v>0</v>
      </c>
      <c r="F112" s="34">
        <f>IFERROR(VLOOKUP($A112,Pivot!$A:$I,1+MATCH(F$3,Pivot!$B$4:$I$4,0),FALSE),0)</f>
        <v>0</v>
      </c>
      <c r="G112" s="34">
        <f>IFERROR(VLOOKUP($A112,Pivot!$A:$I,1+MATCH(G$3,Pivot!$B$4:$I$4,0),FALSE),0)</f>
        <v>0</v>
      </c>
      <c r="H112" s="34">
        <f>IFERROR(VLOOKUP($A112,Pivot!$A:$I,1+MATCH(H$3,Pivot!$B$4:$I$4,0),FALSE),0)</f>
        <v>0</v>
      </c>
      <c r="I112" s="34">
        <f>IFERROR(VLOOKUP($A112,Pivot!$A:$I,1+MATCH(I$3,Pivot!$B$4:$I$4,0),FALSE),0)</f>
        <v>1</v>
      </c>
      <c r="J112" s="34">
        <f>IFERROR(VLOOKUP($A112,Pivot!$A:$I,1+MATCH(J$3,Pivot!$B$4:$I$4,0),FALSE),0)</f>
        <v>0</v>
      </c>
      <c r="K112" s="34">
        <f>IFERROR(VLOOKUP($A112,Pivot!$A:$I,1+MATCH(K$3,Pivot!$B$4:$I$4,0),FALSE),0)</f>
        <v>0</v>
      </c>
      <c r="L112" s="34">
        <f>IFERROR(VLOOKUP($A112,Pivot!$A:$I,1+MATCH(L$3,Pivot!$B$4:$I$4,0),FALSE),0)</f>
        <v>0</v>
      </c>
      <c r="M112" s="34">
        <f>IFERROR(VLOOKUP($A112,Pivot!$A:$I,1+MATCH(M$3,Pivot!$B$4:$I$4,0),FALSE),0)</f>
        <v>0</v>
      </c>
      <c r="N112" s="34">
        <f t="shared" si="16"/>
        <v>6</v>
      </c>
    </row>
    <row r="113" spans="1:16" x14ac:dyDescent="0.25">
      <c r="A113" s="33" t="s">
        <v>105</v>
      </c>
      <c r="B113" s="32">
        <f>SUM(B114:B132)</f>
        <v>0</v>
      </c>
      <c r="C113" s="32">
        <f t="shared" ref="C113:N113" si="17">SUM(C114:C132)</f>
        <v>1</v>
      </c>
      <c r="D113" s="32">
        <f t="shared" si="17"/>
        <v>101</v>
      </c>
      <c r="E113" s="32">
        <f t="shared" si="17"/>
        <v>0</v>
      </c>
      <c r="F113" s="32">
        <f t="shared" ref="F113:M113" si="18">SUM(F114:F132)</f>
        <v>3</v>
      </c>
      <c r="G113" s="32">
        <f t="shared" si="18"/>
        <v>0</v>
      </c>
      <c r="H113" s="32">
        <f t="shared" si="18"/>
        <v>0</v>
      </c>
      <c r="I113" s="32">
        <f t="shared" si="18"/>
        <v>6</v>
      </c>
      <c r="J113" s="32">
        <f t="shared" si="18"/>
        <v>5</v>
      </c>
      <c r="K113" s="32">
        <f t="shared" si="18"/>
        <v>2</v>
      </c>
      <c r="L113" s="32">
        <f t="shared" si="18"/>
        <v>0</v>
      </c>
      <c r="M113" s="32">
        <f t="shared" si="18"/>
        <v>0</v>
      </c>
      <c r="N113" s="32">
        <f t="shared" si="17"/>
        <v>118</v>
      </c>
      <c r="O113" s="33"/>
      <c r="P113" s="33"/>
    </row>
    <row r="114" spans="1:16" x14ac:dyDescent="0.25">
      <c r="A114" s="28" t="s">
        <v>698</v>
      </c>
      <c r="B114" s="34">
        <f>IFERROR(VLOOKUP($A114,Pivot!$A:$I,1+MATCH(B$3,Pivot!$B$4:$I$4,0),FALSE),0)</f>
        <v>0</v>
      </c>
      <c r="C114" s="34">
        <f>IFERROR(VLOOKUP($A114,Pivot!$A:$I,1+MATCH(C$3,Pivot!$B$4:$I$4,0),FALSE),0)</f>
        <v>0</v>
      </c>
      <c r="D114" s="34">
        <f>IFERROR(VLOOKUP($A114,Pivot!$A:$I,1+MATCH(D$3,Pivot!$B$4:$I$4,0),FALSE),0)</f>
        <v>0</v>
      </c>
      <c r="E114" s="34">
        <f>IFERROR(VLOOKUP($A114,Pivot!$A:$I,1+MATCH(E$3,Pivot!$B$4:$I$4,0),FALSE),0)</f>
        <v>0</v>
      </c>
      <c r="F114" s="34">
        <f>IFERROR(VLOOKUP($A114,Pivot!$A:$I,1+MATCH(F$3,Pivot!$B$4:$I$4,0),FALSE),0)</f>
        <v>0</v>
      </c>
      <c r="G114" s="34">
        <f>IFERROR(VLOOKUP($A114,Pivot!$A:$I,1+MATCH(G$3,Pivot!$B$4:$I$4,0),FALSE),0)</f>
        <v>0</v>
      </c>
      <c r="H114" s="34">
        <f>IFERROR(VLOOKUP($A114,Pivot!$A:$I,1+MATCH(H$3,Pivot!$B$4:$I$4,0),FALSE),0)</f>
        <v>0</v>
      </c>
      <c r="I114" s="34">
        <f>IFERROR(VLOOKUP($A114,Pivot!$A:$I,1+MATCH(I$3,Pivot!$B$4:$I$4,0),FALSE),0)</f>
        <v>0</v>
      </c>
      <c r="J114" s="34">
        <f>IFERROR(VLOOKUP($A114,Pivot!$A:$I,1+MATCH(J$3,Pivot!$B$4:$I$4,0),FALSE),0)</f>
        <v>0</v>
      </c>
      <c r="K114" s="34">
        <f>IFERROR(VLOOKUP($A114,Pivot!$A:$I,1+MATCH(K$3,Pivot!$B$4:$I$4,0),FALSE),0)</f>
        <v>0</v>
      </c>
      <c r="L114" s="34">
        <f>IFERROR(VLOOKUP($A114,Pivot!$A:$I,1+MATCH(L$3,Pivot!$B$4:$I$4,0),FALSE),0)</f>
        <v>0</v>
      </c>
      <c r="M114" s="34">
        <f>IFERROR(VLOOKUP($A114,Pivot!$A:$I,1+MATCH(M$3,Pivot!$B$4:$I$4,0),FALSE),0)</f>
        <v>0</v>
      </c>
      <c r="N114" s="34">
        <f t="shared" ref="N114:N132" si="19">SUM(B114:M114)</f>
        <v>0</v>
      </c>
    </row>
    <row r="115" spans="1:16" x14ac:dyDescent="0.25">
      <c r="A115" s="28" t="s">
        <v>699</v>
      </c>
      <c r="B115" s="34">
        <f>IFERROR(VLOOKUP($A115,Pivot!$A:$I,1+MATCH(B$3,Pivot!$B$4:$I$4,0),FALSE),0)</f>
        <v>0</v>
      </c>
      <c r="C115" s="34">
        <f>IFERROR(VLOOKUP($A115,Pivot!$A:$I,1+MATCH(C$3,Pivot!$B$4:$I$4,0),FALSE),0)</f>
        <v>0</v>
      </c>
      <c r="D115" s="34">
        <f>IFERROR(VLOOKUP($A115,Pivot!$A:$I,1+MATCH(D$3,Pivot!$B$4:$I$4,0),FALSE),0)</f>
        <v>1</v>
      </c>
      <c r="E115" s="34">
        <f>IFERROR(VLOOKUP($A115,Pivot!$A:$I,1+MATCH(E$3,Pivot!$B$4:$I$4,0),FALSE),0)</f>
        <v>0</v>
      </c>
      <c r="F115" s="34">
        <f>IFERROR(VLOOKUP($A115,Pivot!$A:$I,1+MATCH(F$3,Pivot!$B$4:$I$4,0),FALSE),0)</f>
        <v>0</v>
      </c>
      <c r="G115" s="34">
        <f>IFERROR(VLOOKUP($A115,Pivot!$A:$I,1+MATCH(G$3,Pivot!$B$4:$I$4,0),FALSE),0)</f>
        <v>0</v>
      </c>
      <c r="H115" s="34">
        <f>IFERROR(VLOOKUP($A115,Pivot!$A:$I,1+MATCH(H$3,Pivot!$B$4:$I$4,0),FALSE),0)</f>
        <v>0</v>
      </c>
      <c r="I115" s="34">
        <f>IFERROR(VLOOKUP($A115,Pivot!$A:$I,1+MATCH(I$3,Pivot!$B$4:$I$4,0),FALSE),0)</f>
        <v>0</v>
      </c>
      <c r="J115" s="34">
        <f>IFERROR(VLOOKUP($A115,Pivot!$A:$I,1+MATCH(J$3,Pivot!$B$4:$I$4,0),FALSE),0)</f>
        <v>0</v>
      </c>
      <c r="K115" s="34">
        <f>IFERROR(VLOOKUP($A115,Pivot!$A:$I,1+MATCH(K$3,Pivot!$B$4:$I$4,0),FALSE),0)</f>
        <v>0</v>
      </c>
      <c r="L115" s="34">
        <f>IFERROR(VLOOKUP($A115,Pivot!$A:$I,1+MATCH(L$3,Pivot!$B$4:$I$4,0),FALSE),0)</f>
        <v>0</v>
      </c>
      <c r="M115" s="34">
        <f>IFERROR(VLOOKUP($A115,Pivot!$A:$I,1+MATCH(M$3,Pivot!$B$4:$I$4,0),FALSE),0)</f>
        <v>0</v>
      </c>
      <c r="N115" s="34">
        <f t="shared" si="19"/>
        <v>1</v>
      </c>
    </row>
    <row r="116" spans="1:16" x14ac:dyDescent="0.25">
      <c r="A116" s="28" t="s">
        <v>106</v>
      </c>
      <c r="B116" s="34">
        <f>IFERROR(VLOOKUP($A116,Pivot!$A:$I,1+MATCH(B$3,Pivot!$B$4:$I$4,0),FALSE),0)</f>
        <v>0</v>
      </c>
      <c r="C116" s="34">
        <f>IFERROR(VLOOKUP($A116,Pivot!$A:$I,1+MATCH(C$3,Pivot!$B$4:$I$4,0),FALSE),0)</f>
        <v>0</v>
      </c>
      <c r="D116" s="34">
        <f>IFERROR(VLOOKUP($A116,Pivot!$A:$I,1+MATCH(D$3,Pivot!$B$4:$I$4,0),FALSE),0)</f>
        <v>7</v>
      </c>
      <c r="E116" s="34">
        <f>IFERROR(VLOOKUP($A116,Pivot!$A:$I,1+MATCH(E$3,Pivot!$B$4:$I$4,0),FALSE),0)</f>
        <v>0</v>
      </c>
      <c r="F116" s="34">
        <f>IFERROR(VLOOKUP($A116,Pivot!$A:$I,1+MATCH(F$3,Pivot!$B$4:$I$4,0),FALSE),0)</f>
        <v>0</v>
      </c>
      <c r="G116" s="34">
        <f>IFERROR(VLOOKUP($A116,Pivot!$A:$I,1+MATCH(G$3,Pivot!$B$4:$I$4,0),FALSE),0)</f>
        <v>0</v>
      </c>
      <c r="H116" s="34">
        <f>IFERROR(VLOOKUP($A116,Pivot!$A:$I,1+MATCH(H$3,Pivot!$B$4:$I$4,0),FALSE),0)</f>
        <v>0</v>
      </c>
      <c r="I116" s="34">
        <f>IFERROR(VLOOKUP($A116,Pivot!$A:$I,1+MATCH(I$3,Pivot!$B$4:$I$4,0),FALSE),0)</f>
        <v>0</v>
      </c>
      <c r="J116" s="34">
        <f>IFERROR(VLOOKUP($A116,Pivot!$A:$I,1+MATCH(J$3,Pivot!$B$4:$I$4,0),FALSE),0)</f>
        <v>1</v>
      </c>
      <c r="K116" s="34">
        <f>IFERROR(VLOOKUP($A116,Pivot!$A:$I,1+MATCH(K$3,Pivot!$B$4:$I$4,0),FALSE),0)</f>
        <v>0</v>
      </c>
      <c r="L116" s="34">
        <f>IFERROR(VLOOKUP($A116,Pivot!$A:$I,1+MATCH(L$3,Pivot!$B$4:$I$4,0),FALSE),0)</f>
        <v>0</v>
      </c>
      <c r="M116" s="34">
        <f>IFERROR(VLOOKUP($A116,Pivot!$A:$I,1+MATCH(M$3,Pivot!$B$4:$I$4,0),FALSE),0)</f>
        <v>0</v>
      </c>
      <c r="N116" s="34">
        <f t="shared" si="19"/>
        <v>8</v>
      </c>
    </row>
    <row r="117" spans="1:16" x14ac:dyDescent="0.25">
      <c r="A117" s="28" t="s">
        <v>107</v>
      </c>
      <c r="B117" s="34">
        <f>IFERROR(VLOOKUP($A117,Pivot!$A:$I,1+MATCH(B$3,Pivot!$B$4:$I$4,0),FALSE),0)</f>
        <v>0</v>
      </c>
      <c r="C117" s="34">
        <f>IFERROR(VLOOKUP($A117,Pivot!$A:$I,1+MATCH(C$3,Pivot!$B$4:$I$4,0),FALSE),0)</f>
        <v>0</v>
      </c>
      <c r="D117" s="34">
        <f>IFERROR(VLOOKUP($A117,Pivot!$A:$I,1+MATCH(D$3,Pivot!$B$4:$I$4,0),FALSE),0)</f>
        <v>5</v>
      </c>
      <c r="E117" s="34">
        <f>IFERROR(VLOOKUP($A117,Pivot!$A:$I,1+MATCH(E$3,Pivot!$B$4:$I$4,0),FALSE),0)</f>
        <v>0</v>
      </c>
      <c r="F117" s="34">
        <f>IFERROR(VLOOKUP($A117,Pivot!$A:$I,1+MATCH(F$3,Pivot!$B$4:$I$4,0),FALSE),0)</f>
        <v>0</v>
      </c>
      <c r="G117" s="34">
        <f>IFERROR(VLOOKUP($A117,Pivot!$A:$I,1+MATCH(G$3,Pivot!$B$4:$I$4,0),FALSE),0)</f>
        <v>0</v>
      </c>
      <c r="H117" s="34">
        <f>IFERROR(VLOOKUP($A117,Pivot!$A:$I,1+MATCH(H$3,Pivot!$B$4:$I$4,0),FALSE),0)</f>
        <v>0</v>
      </c>
      <c r="I117" s="34">
        <f>IFERROR(VLOOKUP($A117,Pivot!$A:$I,1+MATCH(I$3,Pivot!$B$4:$I$4,0),FALSE),0)</f>
        <v>1</v>
      </c>
      <c r="J117" s="34">
        <f>IFERROR(VLOOKUP($A117,Pivot!$A:$I,1+MATCH(J$3,Pivot!$B$4:$I$4,0),FALSE),0)</f>
        <v>1</v>
      </c>
      <c r="K117" s="34">
        <f>IFERROR(VLOOKUP($A117,Pivot!$A:$I,1+MATCH(K$3,Pivot!$B$4:$I$4,0),FALSE),0)</f>
        <v>1</v>
      </c>
      <c r="L117" s="34">
        <f>IFERROR(VLOOKUP($A117,Pivot!$A:$I,1+MATCH(L$3,Pivot!$B$4:$I$4,0),FALSE),0)</f>
        <v>0</v>
      </c>
      <c r="M117" s="34">
        <f>IFERROR(VLOOKUP($A117,Pivot!$A:$I,1+MATCH(M$3,Pivot!$B$4:$I$4,0),FALSE),0)</f>
        <v>0</v>
      </c>
      <c r="N117" s="34">
        <f t="shared" si="19"/>
        <v>8</v>
      </c>
    </row>
    <row r="118" spans="1:16" x14ac:dyDescent="0.25">
      <c r="A118" s="28" t="s">
        <v>108</v>
      </c>
      <c r="B118" s="34">
        <f>IFERROR(VLOOKUP($A118,Pivot!$A:$I,1+MATCH(B$3,Pivot!$B$4:$I$4,0),FALSE),0)</f>
        <v>0</v>
      </c>
      <c r="C118" s="34">
        <f>IFERROR(VLOOKUP($A118,Pivot!$A:$I,1+MATCH(C$3,Pivot!$B$4:$I$4,0),FALSE),0)</f>
        <v>0</v>
      </c>
      <c r="D118" s="34">
        <f>IFERROR(VLOOKUP($A118,Pivot!$A:$I,1+MATCH(D$3,Pivot!$B$4:$I$4,0),FALSE),0)</f>
        <v>27</v>
      </c>
      <c r="E118" s="34">
        <f>IFERROR(VLOOKUP($A118,Pivot!$A:$I,1+MATCH(E$3,Pivot!$B$4:$I$4,0),FALSE),0)</f>
        <v>0</v>
      </c>
      <c r="F118" s="34">
        <f>IFERROR(VLOOKUP($A118,Pivot!$A:$I,1+MATCH(F$3,Pivot!$B$4:$I$4,0),FALSE),0)</f>
        <v>0</v>
      </c>
      <c r="G118" s="34">
        <f>IFERROR(VLOOKUP($A118,Pivot!$A:$I,1+MATCH(G$3,Pivot!$B$4:$I$4,0),FALSE),0)</f>
        <v>0</v>
      </c>
      <c r="H118" s="34">
        <f>IFERROR(VLOOKUP($A118,Pivot!$A:$I,1+MATCH(H$3,Pivot!$B$4:$I$4,0),FALSE),0)</f>
        <v>0</v>
      </c>
      <c r="I118" s="34">
        <f>IFERROR(VLOOKUP($A118,Pivot!$A:$I,1+MATCH(I$3,Pivot!$B$4:$I$4,0),FALSE),0)</f>
        <v>1</v>
      </c>
      <c r="J118" s="34">
        <f>IFERROR(VLOOKUP($A118,Pivot!$A:$I,1+MATCH(J$3,Pivot!$B$4:$I$4,0),FALSE),0)</f>
        <v>0</v>
      </c>
      <c r="K118" s="34">
        <f>IFERROR(VLOOKUP($A118,Pivot!$A:$I,1+MATCH(K$3,Pivot!$B$4:$I$4,0),FALSE),0)</f>
        <v>1</v>
      </c>
      <c r="L118" s="34">
        <f>IFERROR(VLOOKUP($A118,Pivot!$A:$I,1+MATCH(L$3,Pivot!$B$4:$I$4,0),FALSE),0)</f>
        <v>0</v>
      </c>
      <c r="M118" s="34">
        <f>IFERROR(VLOOKUP($A118,Pivot!$A:$I,1+MATCH(M$3,Pivot!$B$4:$I$4,0),FALSE),0)</f>
        <v>0</v>
      </c>
      <c r="N118" s="34">
        <f t="shared" si="19"/>
        <v>29</v>
      </c>
    </row>
    <row r="119" spans="1:16" x14ac:dyDescent="0.25">
      <c r="A119" s="28" t="s">
        <v>700</v>
      </c>
      <c r="B119" s="34">
        <f>IFERROR(VLOOKUP($A119,Pivot!$A:$I,1+MATCH(B$3,Pivot!$B$4:$I$4,0),FALSE),0)</f>
        <v>0</v>
      </c>
      <c r="C119" s="34">
        <f>IFERROR(VLOOKUP($A119,Pivot!$A:$I,1+MATCH(C$3,Pivot!$B$4:$I$4,0),FALSE),0)</f>
        <v>0</v>
      </c>
      <c r="D119" s="34">
        <f>IFERROR(VLOOKUP($A119,Pivot!$A:$I,1+MATCH(D$3,Pivot!$B$4:$I$4,0),FALSE),0)</f>
        <v>0</v>
      </c>
      <c r="E119" s="34">
        <f>IFERROR(VLOOKUP($A119,Pivot!$A:$I,1+MATCH(E$3,Pivot!$B$4:$I$4,0),FALSE),0)</f>
        <v>0</v>
      </c>
      <c r="F119" s="34">
        <f>IFERROR(VLOOKUP($A119,Pivot!$A:$I,1+MATCH(F$3,Pivot!$B$4:$I$4,0),FALSE),0)</f>
        <v>0</v>
      </c>
      <c r="G119" s="34">
        <f>IFERROR(VLOOKUP($A119,Pivot!$A:$I,1+MATCH(G$3,Pivot!$B$4:$I$4,0),FALSE),0)</f>
        <v>0</v>
      </c>
      <c r="H119" s="34">
        <f>IFERROR(VLOOKUP($A119,Pivot!$A:$I,1+MATCH(H$3,Pivot!$B$4:$I$4,0),FALSE),0)</f>
        <v>0</v>
      </c>
      <c r="I119" s="34">
        <f>IFERROR(VLOOKUP($A119,Pivot!$A:$I,1+MATCH(I$3,Pivot!$B$4:$I$4,0),FALSE),0)</f>
        <v>1</v>
      </c>
      <c r="J119" s="34">
        <f>IFERROR(VLOOKUP($A119,Pivot!$A:$I,1+MATCH(J$3,Pivot!$B$4:$I$4,0),FALSE),0)</f>
        <v>0</v>
      </c>
      <c r="K119" s="34">
        <f>IFERROR(VLOOKUP($A119,Pivot!$A:$I,1+MATCH(K$3,Pivot!$B$4:$I$4,0),FALSE),0)</f>
        <v>0</v>
      </c>
      <c r="L119" s="34">
        <f>IFERROR(VLOOKUP($A119,Pivot!$A:$I,1+MATCH(L$3,Pivot!$B$4:$I$4,0),FALSE),0)</f>
        <v>0</v>
      </c>
      <c r="M119" s="34">
        <f>IFERROR(VLOOKUP($A119,Pivot!$A:$I,1+MATCH(M$3,Pivot!$B$4:$I$4,0),FALSE),0)</f>
        <v>0</v>
      </c>
      <c r="N119" s="34">
        <f t="shared" si="19"/>
        <v>1</v>
      </c>
    </row>
    <row r="120" spans="1:16" x14ac:dyDescent="0.25">
      <c r="A120" s="28" t="s">
        <v>109</v>
      </c>
      <c r="B120" s="34">
        <f>IFERROR(VLOOKUP($A120,Pivot!$A:$I,1+MATCH(B$3,Pivot!$B$4:$I$4,0),FALSE),0)</f>
        <v>0</v>
      </c>
      <c r="C120" s="34">
        <f>IFERROR(VLOOKUP($A120,Pivot!$A:$I,1+MATCH(C$3,Pivot!$B$4:$I$4,0),FALSE),0)</f>
        <v>1</v>
      </c>
      <c r="D120" s="34">
        <f>IFERROR(VLOOKUP($A120,Pivot!$A:$I,1+MATCH(D$3,Pivot!$B$4:$I$4,0),FALSE),0)</f>
        <v>29</v>
      </c>
      <c r="E120" s="34">
        <f>IFERROR(VLOOKUP($A120,Pivot!$A:$I,1+MATCH(E$3,Pivot!$B$4:$I$4,0),FALSE),0)</f>
        <v>0</v>
      </c>
      <c r="F120" s="34">
        <f>IFERROR(VLOOKUP($A120,Pivot!$A:$I,1+MATCH(F$3,Pivot!$B$4:$I$4,0),FALSE),0)</f>
        <v>0</v>
      </c>
      <c r="G120" s="34">
        <f>IFERROR(VLOOKUP($A120,Pivot!$A:$I,1+MATCH(G$3,Pivot!$B$4:$I$4,0),FALSE),0)</f>
        <v>0</v>
      </c>
      <c r="H120" s="34">
        <f>IFERROR(VLOOKUP($A120,Pivot!$A:$I,1+MATCH(H$3,Pivot!$B$4:$I$4,0),FALSE),0)</f>
        <v>0</v>
      </c>
      <c r="I120" s="34">
        <f>IFERROR(VLOOKUP($A120,Pivot!$A:$I,1+MATCH(I$3,Pivot!$B$4:$I$4,0),FALSE),0)</f>
        <v>0</v>
      </c>
      <c r="J120" s="34">
        <f>IFERROR(VLOOKUP($A120,Pivot!$A:$I,1+MATCH(J$3,Pivot!$B$4:$I$4,0),FALSE),0)</f>
        <v>0</v>
      </c>
      <c r="K120" s="34">
        <f>IFERROR(VLOOKUP($A120,Pivot!$A:$I,1+MATCH(K$3,Pivot!$B$4:$I$4,0),FALSE),0)</f>
        <v>0</v>
      </c>
      <c r="L120" s="34">
        <f>IFERROR(VLOOKUP($A120,Pivot!$A:$I,1+MATCH(L$3,Pivot!$B$4:$I$4,0),FALSE),0)</f>
        <v>0</v>
      </c>
      <c r="M120" s="34">
        <f>IFERROR(VLOOKUP($A120,Pivot!$A:$I,1+MATCH(M$3,Pivot!$B$4:$I$4,0),FALSE),0)</f>
        <v>0</v>
      </c>
      <c r="N120" s="34">
        <f t="shared" si="19"/>
        <v>30</v>
      </c>
    </row>
    <row r="121" spans="1:16" x14ac:dyDescent="0.25">
      <c r="A121" s="28" t="s">
        <v>701</v>
      </c>
      <c r="B121" s="34">
        <f>IFERROR(VLOOKUP($A121,Pivot!$A:$I,1+MATCH(B$3,Pivot!$B$4:$I$4,0),FALSE),0)</f>
        <v>0</v>
      </c>
      <c r="C121" s="34">
        <f>IFERROR(VLOOKUP($A121,Pivot!$A:$I,1+MATCH(C$3,Pivot!$B$4:$I$4,0),FALSE),0)</f>
        <v>0</v>
      </c>
      <c r="D121" s="34">
        <f>IFERROR(VLOOKUP($A121,Pivot!$A:$I,1+MATCH(D$3,Pivot!$B$4:$I$4,0),FALSE),0)</f>
        <v>0</v>
      </c>
      <c r="E121" s="34">
        <f>IFERROR(VLOOKUP($A121,Pivot!$A:$I,1+MATCH(E$3,Pivot!$B$4:$I$4,0),FALSE),0)</f>
        <v>0</v>
      </c>
      <c r="F121" s="34">
        <f>IFERROR(VLOOKUP($A121,Pivot!$A:$I,1+MATCH(F$3,Pivot!$B$4:$I$4,0),FALSE),0)</f>
        <v>0</v>
      </c>
      <c r="G121" s="34">
        <f>IFERROR(VLOOKUP($A121,Pivot!$A:$I,1+MATCH(G$3,Pivot!$B$4:$I$4,0),FALSE),0)</f>
        <v>0</v>
      </c>
      <c r="H121" s="34">
        <f>IFERROR(VLOOKUP($A121,Pivot!$A:$I,1+MATCH(H$3,Pivot!$B$4:$I$4,0),FALSE),0)</f>
        <v>0</v>
      </c>
      <c r="I121" s="34">
        <f>IFERROR(VLOOKUP($A121,Pivot!$A:$I,1+MATCH(I$3,Pivot!$B$4:$I$4,0),FALSE),0)</f>
        <v>0</v>
      </c>
      <c r="J121" s="34">
        <f>IFERROR(VLOOKUP($A121,Pivot!$A:$I,1+MATCH(J$3,Pivot!$B$4:$I$4,0),FALSE),0)</f>
        <v>0</v>
      </c>
      <c r="K121" s="34">
        <f>IFERROR(VLOOKUP($A121,Pivot!$A:$I,1+MATCH(K$3,Pivot!$B$4:$I$4,0),FALSE),0)</f>
        <v>0</v>
      </c>
      <c r="L121" s="34">
        <f>IFERROR(VLOOKUP($A121,Pivot!$A:$I,1+MATCH(L$3,Pivot!$B$4:$I$4,0),FALSE),0)</f>
        <v>0</v>
      </c>
      <c r="M121" s="34">
        <f>IFERROR(VLOOKUP($A121,Pivot!$A:$I,1+MATCH(M$3,Pivot!$B$4:$I$4,0),FALSE),0)</f>
        <v>0</v>
      </c>
      <c r="N121" s="34">
        <f t="shared" si="19"/>
        <v>0</v>
      </c>
    </row>
    <row r="122" spans="1:16" x14ac:dyDescent="0.25">
      <c r="A122" s="28" t="s">
        <v>702</v>
      </c>
      <c r="B122" s="34">
        <f>IFERROR(VLOOKUP($A122,Pivot!$A:$I,1+MATCH(B$3,Pivot!$B$4:$I$4,0),FALSE),0)</f>
        <v>0</v>
      </c>
      <c r="C122" s="34">
        <f>IFERROR(VLOOKUP($A122,Pivot!$A:$I,1+MATCH(C$3,Pivot!$B$4:$I$4,0),FALSE),0)</f>
        <v>0</v>
      </c>
      <c r="D122" s="34">
        <f>IFERROR(VLOOKUP($A122,Pivot!$A:$I,1+MATCH(D$3,Pivot!$B$4:$I$4,0),FALSE),0)</f>
        <v>0</v>
      </c>
      <c r="E122" s="34">
        <f>IFERROR(VLOOKUP($A122,Pivot!$A:$I,1+MATCH(E$3,Pivot!$B$4:$I$4,0),FALSE),0)</f>
        <v>0</v>
      </c>
      <c r="F122" s="34">
        <f>IFERROR(VLOOKUP($A122,Pivot!$A:$I,1+MATCH(F$3,Pivot!$B$4:$I$4,0),FALSE),0)</f>
        <v>0</v>
      </c>
      <c r="G122" s="34">
        <f>IFERROR(VLOOKUP($A122,Pivot!$A:$I,1+MATCH(G$3,Pivot!$B$4:$I$4,0),FALSE),0)</f>
        <v>0</v>
      </c>
      <c r="H122" s="34">
        <f>IFERROR(VLOOKUP($A122,Pivot!$A:$I,1+MATCH(H$3,Pivot!$B$4:$I$4,0),FALSE),0)</f>
        <v>0</v>
      </c>
      <c r="I122" s="34">
        <f>IFERROR(VLOOKUP($A122,Pivot!$A:$I,1+MATCH(I$3,Pivot!$B$4:$I$4,0),FALSE),0)</f>
        <v>0</v>
      </c>
      <c r="J122" s="34">
        <f>IFERROR(VLOOKUP($A122,Pivot!$A:$I,1+MATCH(J$3,Pivot!$B$4:$I$4,0),FALSE),0)</f>
        <v>0</v>
      </c>
      <c r="K122" s="34">
        <f>IFERROR(VLOOKUP($A122,Pivot!$A:$I,1+MATCH(K$3,Pivot!$B$4:$I$4,0),FALSE),0)</f>
        <v>0</v>
      </c>
      <c r="L122" s="34">
        <f>IFERROR(VLOOKUP($A122,Pivot!$A:$I,1+MATCH(L$3,Pivot!$B$4:$I$4,0),FALSE),0)</f>
        <v>0</v>
      </c>
      <c r="M122" s="34">
        <f>IFERROR(VLOOKUP($A122,Pivot!$A:$I,1+MATCH(M$3,Pivot!$B$4:$I$4,0),FALSE),0)</f>
        <v>0</v>
      </c>
      <c r="N122" s="34">
        <f t="shared" si="19"/>
        <v>0</v>
      </c>
    </row>
    <row r="123" spans="1:16" x14ac:dyDescent="0.25">
      <c r="A123" s="28" t="s">
        <v>110</v>
      </c>
      <c r="B123" s="34">
        <f>IFERROR(VLOOKUP($A123,Pivot!$A:$I,1+MATCH(B$3,Pivot!$B$4:$I$4,0),FALSE),0)</f>
        <v>0</v>
      </c>
      <c r="C123" s="34">
        <f>IFERROR(VLOOKUP($A123,Pivot!$A:$I,1+MATCH(C$3,Pivot!$B$4:$I$4,0),FALSE),0)</f>
        <v>0</v>
      </c>
      <c r="D123" s="34">
        <f>IFERROR(VLOOKUP($A123,Pivot!$A:$I,1+MATCH(D$3,Pivot!$B$4:$I$4,0),FALSE),0)</f>
        <v>4</v>
      </c>
      <c r="E123" s="34">
        <f>IFERROR(VLOOKUP($A123,Pivot!$A:$I,1+MATCH(E$3,Pivot!$B$4:$I$4,0),FALSE),0)</f>
        <v>0</v>
      </c>
      <c r="F123" s="34">
        <f>IFERROR(VLOOKUP($A123,Pivot!$A:$I,1+MATCH(F$3,Pivot!$B$4:$I$4,0),FALSE),0)</f>
        <v>0</v>
      </c>
      <c r="G123" s="34">
        <f>IFERROR(VLOOKUP($A123,Pivot!$A:$I,1+MATCH(G$3,Pivot!$B$4:$I$4,0),FALSE),0)</f>
        <v>0</v>
      </c>
      <c r="H123" s="34">
        <f>IFERROR(VLOOKUP($A123,Pivot!$A:$I,1+MATCH(H$3,Pivot!$B$4:$I$4,0),FALSE),0)</f>
        <v>0</v>
      </c>
      <c r="I123" s="34">
        <f>IFERROR(VLOOKUP($A123,Pivot!$A:$I,1+MATCH(I$3,Pivot!$B$4:$I$4,0),FALSE),0)</f>
        <v>0</v>
      </c>
      <c r="J123" s="34">
        <f>IFERROR(VLOOKUP($A123,Pivot!$A:$I,1+MATCH(J$3,Pivot!$B$4:$I$4,0),FALSE),0)</f>
        <v>1</v>
      </c>
      <c r="K123" s="34">
        <f>IFERROR(VLOOKUP($A123,Pivot!$A:$I,1+MATCH(K$3,Pivot!$B$4:$I$4,0),FALSE),0)</f>
        <v>0</v>
      </c>
      <c r="L123" s="34">
        <f>IFERROR(VLOOKUP($A123,Pivot!$A:$I,1+MATCH(L$3,Pivot!$B$4:$I$4,0),FALSE),0)</f>
        <v>0</v>
      </c>
      <c r="M123" s="34">
        <f>IFERROR(VLOOKUP($A123,Pivot!$A:$I,1+MATCH(M$3,Pivot!$B$4:$I$4,0),FALSE),0)</f>
        <v>0</v>
      </c>
      <c r="N123" s="34">
        <f t="shared" si="19"/>
        <v>5</v>
      </c>
    </row>
    <row r="124" spans="1:16" x14ac:dyDescent="0.25">
      <c r="A124" s="28" t="s">
        <v>111</v>
      </c>
      <c r="B124" s="34">
        <f>IFERROR(VLOOKUP($A124,Pivot!$A:$I,1+MATCH(B$3,Pivot!$B$4:$I$4,0),FALSE),0)</f>
        <v>0</v>
      </c>
      <c r="C124" s="34">
        <f>IFERROR(VLOOKUP($A124,Pivot!$A:$I,1+MATCH(C$3,Pivot!$B$4:$I$4,0),FALSE),0)</f>
        <v>0</v>
      </c>
      <c r="D124" s="34">
        <f>IFERROR(VLOOKUP($A124,Pivot!$A:$I,1+MATCH(D$3,Pivot!$B$4:$I$4,0),FALSE),0)</f>
        <v>2</v>
      </c>
      <c r="E124" s="34">
        <f>IFERROR(VLOOKUP($A124,Pivot!$A:$I,1+MATCH(E$3,Pivot!$B$4:$I$4,0),FALSE),0)</f>
        <v>0</v>
      </c>
      <c r="F124" s="34">
        <f>IFERROR(VLOOKUP($A124,Pivot!$A:$I,1+MATCH(F$3,Pivot!$B$4:$I$4,0),FALSE),0)</f>
        <v>0</v>
      </c>
      <c r="G124" s="34">
        <f>IFERROR(VLOOKUP($A124,Pivot!$A:$I,1+MATCH(G$3,Pivot!$B$4:$I$4,0),FALSE),0)</f>
        <v>0</v>
      </c>
      <c r="H124" s="34">
        <f>IFERROR(VLOOKUP($A124,Pivot!$A:$I,1+MATCH(H$3,Pivot!$B$4:$I$4,0),FALSE),0)</f>
        <v>0</v>
      </c>
      <c r="I124" s="34">
        <f>IFERROR(VLOOKUP($A124,Pivot!$A:$I,1+MATCH(I$3,Pivot!$B$4:$I$4,0),FALSE),0)</f>
        <v>0</v>
      </c>
      <c r="J124" s="34">
        <f>IFERROR(VLOOKUP($A124,Pivot!$A:$I,1+MATCH(J$3,Pivot!$B$4:$I$4,0),FALSE),0)</f>
        <v>0</v>
      </c>
      <c r="K124" s="34">
        <f>IFERROR(VLOOKUP($A124,Pivot!$A:$I,1+MATCH(K$3,Pivot!$B$4:$I$4,0),FALSE),0)</f>
        <v>0</v>
      </c>
      <c r="L124" s="34">
        <f>IFERROR(VLOOKUP($A124,Pivot!$A:$I,1+MATCH(L$3,Pivot!$B$4:$I$4,0),FALSE),0)</f>
        <v>0</v>
      </c>
      <c r="M124" s="34">
        <f>IFERROR(VLOOKUP($A124,Pivot!$A:$I,1+MATCH(M$3,Pivot!$B$4:$I$4,0),FALSE),0)</f>
        <v>0</v>
      </c>
      <c r="N124" s="34">
        <f t="shared" si="19"/>
        <v>2</v>
      </c>
    </row>
    <row r="125" spans="1:16" x14ac:dyDescent="0.25">
      <c r="A125" s="28" t="s">
        <v>703</v>
      </c>
      <c r="B125" s="34">
        <f>IFERROR(VLOOKUP($A125,Pivot!$A:$I,1+MATCH(B$3,Pivot!$B$4:$I$4,0),FALSE),0)</f>
        <v>0</v>
      </c>
      <c r="C125" s="34">
        <f>IFERROR(VLOOKUP($A125,Pivot!$A:$I,1+MATCH(C$3,Pivot!$B$4:$I$4,0),FALSE),0)</f>
        <v>0</v>
      </c>
      <c r="D125" s="34">
        <f>IFERROR(VLOOKUP($A125,Pivot!$A:$I,1+MATCH(D$3,Pivot!$B$4:$I$4,0),FALSE),0)</f>
        <v>1</v>
      </c>
      <c r="E125" s="34">
        <f>IFERROR(VLOOKUP($A125,Pivot!$A:$I,1+MATCH(E$3,Pivot!$B$4:$I$4,0),FALSE),0)</f>
        <v>0</v>
      </c>
      <c r="F125" s="34">
        <f>IFERROR(VLOOKUP($A125,Pivot!$A:$I,1+MATCH(F$3,Pivot!$B$4:$I$4,0),FALSE),0)</f>
        <v>1</v>
      </c>
      <c r="G125" s="34">
        <f>IFERROR(VLOOKUP($A125,Pivot!$A:$I,1+MATCH(G$3,Pivot!$B$4:$I$4,0),FALSE),0)</f>
        <v>0</v>
      </c>
      <c r="H125" s="34">
        <f>IFERROR(VLOOKUP($A125,Pivot!$A:$I,1+MATCH(H$3,Pivot!$B$4:$I$4,0),FALSE),0)</f>
        <v>0</v>
      </c>
      <c r="I125" s="34">
        <f>IFERROR(VLOOKUP($A125,Pivot!$A:$I,1+MATCH(I$3,Pivot!$B$4:$I$4,0),FALSE),0)</f>
        <v>0</v>
      </c>
      <c r="J125" s="34">
        <f>IFERROR(VLOOKUP($A125,Pivot!$A:$I,1+MATCH(J$3,Pivot!$B$4:$I$4,0),FALSE),0)</f>
        <v>0</v>
      </c>
      <c r="K125" s="34">
        <f>IFERROR(VLOOKUP($A125,Pivot!$A:$I,1+MATCH(K$3,Pivot!$B$4:$I$4,0),FALSE),0)</f>
        <v>0</v>
      </c>
      <c r="L125" s="34">
        <f>IFERROR(VLOOKUP($A125,Pivot!$A:$I,1+MATCH(L$3,Pivot!$B$4:$I$4,0),FALSE),0)</f>
        <v>0</v>
      </c>
      <c r="M125" s="34">
        <f>IFERROR(VLOOKUP($A125,Pivot!$A:$I,1+MATCH(M$3,Pivot!$B$4:$I$4,0),FALSE),0)</f>
        <v>0</v>
      </c>
      <c r="N125" s="34">
        <f t="shared" si="19"/>
        <v>2</v>
      </c>
    </row>
    <row r="126" spans="1:16" x14ac:dyDescent="0.25">
      <c r="A126" s="28" t="s">
        <v>704</v>
      </c>
      <c r="B126" s="34">
        <f>IFERROR(VLOOKUP($A126,Pivot!$A:$I,1+MATCH(B$3,Pivot!$B$4:$I$4,0),FALSE),0)</f>
        <v>0</v>
      </c>
      <c r="C126" s="34">
        <f>IFERROR(VLOOKUP($A126,Pivot!$A:$I,1+MATCH(C$3,Pivot!$B$4:$I$4,0),FALSE),0)</f>
        <v>0</v>
      </c>
      <c r="D126" s="34">
        <f>IFERROR(VLOOKUP($A126,Pivot!$A:$I,1+MATCH(D$3,Pivot!$B$4:$I$4,0),FALSE),0)</f>
        <v>0</v>
      </c>
      <c r="E126" s="34">
        <f>IFERROR(VLOOKUP($A126,Pivot!$A:$I,1+MATCH(E$3,Pivot!$B$4:$I$4,0),FALSE),0)</f>
        <v>0</v>
      </c>
      <c r="F126" s="34">
        <f>IFERROR(VLOOKUP($A126,Pivot!$A:$I,1+MATCH(F$3,Pivot!$B$4:$I$4,0),FALSE),0)</f>
        <v>2</v>
      </c>
      <c r="G126" s="34">
        <f>IFERROR(VLOOKUP($A126,Pivot!$A:$I,1+MATCH(G$3,Pivot!$B$4:$I$4,0),FALSE),0)</f>
        <v>0</v>
      </c>
      <c r="H126" s="34">
        <f>IFERROR(VLOOKUP($A126,Pivot!$A:$I,1+MATCH(H$3,Pivot!$B$4:$I$4,0),FALSE),0)</f>
        <v>0</v>
      </c>
      <c r="I126" s="34">
        <f>IFERROR(VLOOKUP($A126,Pivot!$A:$I,1+MATCH(I$3,Pivot!$B$4:$I$4,0),FALSE),0)</f>
        <v>0</v>
      </c>
      <c r="J126" s="34">
        <f>IFERROR(VLOOKUP($A126,Pivot!$A:$I,1+MATCH(J$3,Pivot!$B$4:$I$4,0),FALSE),0)</f>
        <v>0</v>
      </c>
      <c r="K126" s="34">
        <f>IFERROR(VLOOKUP($A126,Pivot!$A:$I,1+MATCH(K$3,Pivot!$B$4:$I$4,0),FALSE),0)</f>
        <v>0</v>
      </c>
      <c r="L126" s="34">
        <f>IFERROR(VLOOKUP($A126,Pivot!$A:$I,1+MATCH(L$3,Pivot!$B$4:$I$4,0),FALSE),0)</f>
        <v>0</v>
      </c>
      <c r="M126" s="34">
        <f>IFERROR(VLOOKUP($A126,Pivot!$A:$I,1+MATCH(M$3,Pivot!$B$4:$I$4,0),FALSE),0)</f>
        <v>0</v>
      </c>
      <c r="N126" s="34">
        <f t="shared" si="19"/>
        <v>2</v>
      </c>
    </row>
    <row r="127" spans="1:16" x14ac:dyDescent="0.25">
      <c r="A127" s="28" t="s">
        <v>705</v>
      </c>
      <c r="B127" s="34">
        <f>IFERROR(VLOOKUP($A127,Pivot!$A:$I,1+MATCH(B$3,Pivot!$B$4:$I$4,0),FALSE),0)</f>
        <v>0</v>
      </c>
      <c r="C127" s="34">
        <f>IFERROR(VLOOKUP($A127,Pivot!$A:$I,1+MATCH(C$3,Pivot!$B$4:$I$4,0),FALSE),0)</f>
        <v>0</v>
      </c>
      <c r="D127" s="34">
        <f>IFERROR(VLOOKUP($A127,Pivot!$A:$I,1+MATCH(D$3,Pivot!$B$4:$I$4,0),FALSE),0)</f>
        <v>1</v>
      </c>
      <c r="E127" s="34">
        <f>IFERROR(VLOOKUP($A127,Pivot!$A:$I,1+MATCH(E$3,Pivot!$B$4:$I$4,0),FALSE),0)</f>
        <v>0</v>
      </c>
      <c r="F127" s="34">
        <f>IFERROR(VLOOKUP($A127,Pivot!$A:$I,1+MATCH(F$3,Pivot!$B$4:$I$4,0),FALSE),0)</f>
        <v>0</v>
      </c>
      <c r="G127" s="34">
        <f>IFERROR(VLOOKUP($A127,Pivot!$A:$I,1+MATCH(G$3,Pivot!$B$4:$I$4,0),FALSE),0)</f>
        <v>0</v>
      </c>
      <c r="H127" s="34">
        <f>IFERROR(VLOOKUP($A127,Pivot!$A:$I,1+MATCH(H$3,Pivot!$B$4:$I$4,0),FALSE),0)</f>
        <v>0</v>
      </c>
      <c r="I127" s="34">
        <f>IFERROR(VLOOKUP($A127,Pivot!$A:$I,1+MATCH(I$3,Pivot!$B$4:$I$4,0),FALSE),0)</f>
        <v>0</v>
      </c>
      <c r="J127" s="34">
        <f>IFERROR(VLOOKUP($A127,Pivot!$A:$I,1+MATCH(J$3,Pivot!$B$4:$I$4,0),FALSE),0)</f>
        <v>0</v>
      </c>
      <c r="K127" s="34">
        <f>IFERROR(VLOOKUP($A127,Pivot!$A:$I,1+MATCH(K$3,Pivot!$B$4:$I$4,0),FALSE),0)</f>
        <v>0</v>
      </c>
      <c r="L127" s="34">
        <f>IFERROR(VLOOKUP($A127,Pivot!$A:$I,1+MATCH(L$3,Pivot!$B$4:$I$4,0),FALSE),0)</f>
        <v>0</v>
      </c>
      <c r="M127" s="34">
        <f>IFERROR(VLOOKUP($A127,Pivot!$A:$I,1+MATCH(M$3,Pivot!$B$4:$I$4,0),FALSE),0)</f>
        <v>0</v>
      </c>
      <c r="N127" s="34">
        <f t="shared" si="19"/>
        <v>1</v>
      </c>
    </row>
    <row r="128" spans="1:16" x14ac:dyDescent="0.25">
      <c r="A128" s="28" t="s">
        <v>112</v>
      </c>
      <c r="B128" s="34">
        <f>IFERROR(VLOOKUP($A128,Pivot!$A:$I,1+MATCH(B$3,Pivot!$B$4:$I$4,0),FALSE),0)</f>
        <v>0</v>
      </c>
      <c r="C128" s="34">
        <f>IFERROR(VLOOKUP($A128,Pivot!$A:$I,1+MATCH(C$3,Pivot!$B$4:$I$4,0),FALSE),0)</f>
        <v>0</v>
      </c>
      <c r="D128" s="34">
        <f>IFERROR(VLOOKUP($A128,Pivot!$A:$I,1+MATCH(D$3,Pivot!$B$4:$I$4,0),FALSE),0)</f>
        <v>11</v>
      </c>
      <c r="E128" s="34">
        <f>IFERROR(VLOOKUP($A128,Pivot!$A:$I,1+MATCH(E$3,Pivot!$B$4:$I$4,0),FALSE),0)</f>
        <v>0</v>
      </c>
      <c r="F128" s="34">
        <f>IFERROR(VLOOKUP($A128,Pivot!$A:$I,1+MATCH(F$3,Pivot!$B$4:$I$4,0),FALSE),0)</f>
        <v>0</v>
      </c>
      <c r="G128" s="34">
        <f>IFERROR(VLOOKUP($A128,Pivot!$A:$I,1+MATCH(G$3,Pivot!$B$4:$I$4,0),FALSE),0)</f>
        <v>0</v>
      </c>
      <c r="H128" s="34">
        <f>IFERROR(VLOOKUP($A128,Pivot!$A:$I,1+MATCH(H$3,Pivot!$B$4:$I$4,0),FALSE),0)</f>
        <v>0</v>
      </c>
      <c r="I128" s="34">
        <f>IFERROR(VLOOKUP($A128,Pivot!$A:$I,1+MATCH(I$3,Pivot!$B$4:$I$4,0),FALSE),0)</f>
        <v>2</v>
      </c>
      <c r="J128" s="34">
        <f>IFERROR(VLOOKUP($A128,Pivot!$A:$I,1+MATCH(J$3,Pivot!$B$4:$I$4,0),FALSE),0)</f>
        <v>0</v>
      </c>
      <c r="K128" s="34">
        <f>IFERROR(VLOOKUP($A128,Pivot!$A:$I,1+MATCH(K$3,Pivot!$B$4:$I$4,0),FALSE),0)</f>
        <v>0</v>
      </c>
      <c r="L128" s="34">
        <f>IFERROR(VLOOKUP($A128,Pivot!$A:$I,1+MATCH(L$3,Pivot!$B$4:$I$4,0),FALSE),0)</f>
        <v>0</v>
      </c>
      <c r="M128" s="34">
        <f>IFERROR(VLOOKUP($A128,Pivot!$A:$I,1+MATCH(M$3,Pivot!$B$4:$I$4,0),FALSE),0)</f>
        <v>0</v>
      </c>
      <c r="N128" s="34">
        <f t="shared" si="19"/>
        <v>13</v>
      </c>
    </row>
    <row r="129" spans="1:16" x14ac:dyDescent="0.25">
      <c r="A129" s="28" t="s">
        <v>706</v>
      </c>
      <c r="B129" s="34">
        <f>IFERROR(VLOOKUP($A129,Pivot!$A:$I,1+MATCH(B$3,Pivot!$B$4:$I$4,0),FALSE),0)</f>
        <v>0</v>
      </c>
      <c r="C129" s="34">
        <f>IFERROR(VLOOKUP($A129,Pivot!$A:$I,1+MATCH(C$3,Pivot!$B$4:$I$4,0),FALSE),0)</f>
        <v>0</v>
      </c>
      <c r="D129" s="34">
        <f>IFERROR(VLOOKUP($A129,Pivot!$A:$I,1+MATCH(D$3,Pivot!$B$4:$I$4,0),FALSE),0)</f>
        <v>3</v>
      </c>
      <c r="E129" s="34">
        <f>IFERROR(VLOOKUP($A129,Pivot!$A:$I,1+MATCH(E$3,Pivot!$B$4:$I$4,0),FALSE),0)</f>
        <v>0</v>
      </c>
      <c r="F129" s="34">
        <f>IFERROR(VLOOKUP($A129,Pivot!$A:$I,1+MATCH(F$3,Pivot!$B$4:$I$4,0),FALSE),0)</f>
        <v>0</v>
      </c>
      <c r="G129" s="34">
        <f>IFERROR(VLOOKUP($A129,Pivot!$A:$I,1+MATCH(G$3,Pivot!$B$4:$I$4,0),FALSE),0)</f>
        <v>0</v>
      </c>
      <c r="H129" s="34">
        <f>IFERROR(VLOOKUP($A129,Pivot!$A:$I,1+MATCH(H$3,Pivot!$B$4:$I$4,0),FALSE),0)</f>
        <v>0</v>
      </c>
      <c r="I129" s="34">
        <f>IFERROR(VLOOKUP($A129,Pivot!$A:$I,1+MATCH(I$3,Pivot!$B$4:$I$4,0),FALSE),0)</f>
        <v>0</v>
      </c>
      <c r="J129" s="34">
        <f>IFERROR(VLOOKUP($A129,Pivot!$A:$I,1+MATCH(J$3,Pivot!$B$4:$I$4,0),FALSE),0)</f>
        <v>1</v>
      </c>
      <c r="K129" s="34">
        <f>IFERROR(VLOOKUP($A129,Pivot!$A:$I,1+MATCH(K$3,Pivot!$B$4:$I$4,0),FALSE),0)</f>
        <v>0</v>
      </c>
      <c r="L129" s="34">
        <f>IFERROR(VLOOKUP($A129,Pivot!$A:$I,1+MATCH(L$3,Pivot!$B$4:$I$4,0),FALSE),0)</f>
        <v>0</v>
      </c>
      <c r="M129" s="34">
        <f>IFERROR(VLOOKUP($A129,Pivot!$A:$I,1+MATCH(M$3,Pivot!$B$4:$I$4,0),FALSE),0)</f>
        <v>0</v>
      </c>
      <c r="N129" s="34">
        <f t="shared" si="19"/>
        <v>4</v>
      </c>
    </row>
    <row r="130" spans="1:16" x14ac:dyDescent="0.25">
      <c r="A130" s="28" t="s">
        <v>113</v>
      </c>
      <c r="B130" s="34">
        <f>IFERROR(VLOOKUP($A130,Pivot!$A:$I,1+MATCH(B$3,Pivot!$B$4:$I$4,0),FALSE),0)</f>
        <v>0</v>
      </c>
      <c r="C130" s="34">
        <f>IFERROR(VLOOKUP($A130,Pivot!$A:$I,1+MATCH(C$3,Pivot!$B$4:$I$4,0),FALSE),0)</f>
        <v>0</v>
      </c>
      <c r="D130" s="34">
        <f>IFERROR(VLOOKUP($A130,Pivot!$A:$I,1+MATCH(D$3,Pivot!$B$4:$I$4,0),FALSE),0)</f>
        <v>10</v>
      </c>
      <c r="E130" s="34">
        <f>IFERROR(VLOOKUP($A130,Pivot!$A:$I,1+MATCH(E$3,Pivot!$B$4:$I$4,0),FALSE),0)</f>
        <v>0</v>
      </c>
      <c r="F130" s="34">
        <f>IFERROR(VLOOKUP($A130,Pivot!$A:$I,1+MATCH(F$3,Pivot!$B$4:$I$4,0),FALSE),0)</f>
        <v>0</v>
      </c>
      <c r="G130" s="34">
        <f>IFERROR(VLOOKUP($A130,Pivot!$A:$I,1+MATCH(G$3,Pivot!$B$4:$I$4,0),FALSE),0)</f>
        <v>0</v>
      </c>
      <c r="H130" s="34">
        <f>IFERROR(VLOOKUP($A130,Pivot!$A:$I,1+MATCH(H$3,Pivot!$B$4:$I$4,0),FALSE),0)</f>
        <v>0</v>
      </c>
      <c r="I130" s="34">
        <f>IFERROR(VLOOKUP($A130,Pivot!$A:$I,1+MATCH(I$3,Pivot!$B$4:$I$4,0),FALSE),0)</f>
        <v>1</v>
      </c>
      <c r="J130" s="34">
        <f>IFERROR(VLOOKUP($A130,Pivot!$A:$I,1+MATCH(J$3,Pivot!$B$4:$I$4,0),FALSE),0)</f>
        <v>1</v>
      </c>
      <c r="K130" s="34">
        <f>IFERROR(VLOOKUP($A130,Pivot!$A:$I,1+MATCH(K$3,Pivot!$B$4:$I$4,0),FALSE),0)</f>
        <v>0</v>
      </c>
      <c r="L130" s="34">
        <f>IFERROR(VLOOKUP($A130,Pivot!$A:$I,1+MATCH(L$3,Pivot!$B$4:$I$4,0),FALSE),0)</f>
        <v>0</v>
      </c>
      <c r="M130" s="34">
        <f>IFERROR(VLOOKUP($A130,Pivot!$A:$I,1+MATCH(M$3,Pivot!$B$4:$I$4,0),FALSE),0)</f>
        <v>0</v>
      </c>
      <c r="N130" s="34">
        <f t="shared" si="19"/>
        <v>12</v>
      </c>
    </row>
    <row r="131" spans="1:16" x14ac:dyDescent="0.25">
      <c r="A131" s="28" t="s">
        <v>707</v>
      </c>
      <c r="B131" s="34">
        <f>IFERROR(VLOOKUP($A131,Pivot!$A:$I,1+MATCH(B$3,Pivot!$B$4:$I$4,0),FALSE),0)</f>
        <v>0</v>
      </c>
      <c r="C131" s="34">
        <f>IFERROR(VLOOKUP($A131,Pivot!$A:$I,1+MATCH(C$3,Pivot!$B$4:$I$4,0),FALSE),0)</f>
        <v>0</v>
      </c>
      <c r="D131" s="34">
        <f>IFERROR(VLOOKUP($A131,Pivot!$A:$I,1+MATCH(D$3,Pivot!$B$4:$I$4,0),FALSE),0)</f>
        <v>0</v>
      </c>
      <c r="E131" s="34">
        <f>IFERROR(VLOOKUP($A131,Pivot!$A:$I,1+MATCH(E$3,Pivot!$B$4:$I$4,0),FALSE),0)</f>
        <v>0</v>
      </c>
      <c r="F131" s="34">
        <f>IFERROR(VLOOKUP($A131,Pivot!$A:$I,1+MATCH(F$3,Pivot!$B$4:$I$4,0),FALSE),0)</f>
        <v>0</v>
      </c>
      <c r="G131" s="34">
        <f>IFERROR(VLOOKUP($A131,Pivot!$A:$I,1+MATCH(G$3,Pivot!$B$4:$I$4,0),FALSE),0)</f>
        <v>0</v>
      </c>
      <c r="H131" s="34">
        <f>IFERROR(VLOOKUP($A131,Pivot!$A:$I,1+MATCH(H$3,Pivot!$B$4:$I$4,0),FALSE),0)</f>
        <v>0</v>
      </c>
      <c r="I131" s="34">
        <f>IFERROR(VLOOKUP($A131,Pivot!$A:$I,1+MATCH(I$3,Pivot!$B$4:$I$4,0),FALSE),0)</f>
        <v>0</v>
      </c>
      <c r="J131" s="34">
        <f>IFERROR(VLOOKUP($A131,Pivot!$A:$I,1+MATCH(J$3,Pivot!$B$4:$I$4,0),FALSE),0)</f>
        <v>0</v>
      </c>
      <c r="K131" s="34">
        <f>IFERROR(VLOOKUP($A131,Pivot!$A:$I,1+MATCH(K$3,Pivot!$B$4:$I$4,0),FALSE),0)</f>
        <v>0</v>
      </c>
      <c r="L131" s="34">
        <f>IFERROR(VLOOKUP($A131,Pivot!$A:$I,1+MATCH(L$3,Pivot!$B$4:$I$4,0),FALSE),0)</f>
        <v>0</v>
      </c>
      <c r="M131" s="34">
        <f>IFERROR(VLOOKUP($A131,Pivot!$A:$I,1+MATCH(M$3,Pivot!$B$4:$I$4,0),FALSE),0)</f>
        <v>0</v>
      </c>
      <c r="N131" s="34">
        <f t="shared" si="19"/>
        <v>0</v>
      </c>
    </row>
    <row r="132" spans="1:16" x14ac:dyDescent="0.25">
      <c r="A132" s="28" t="s">
        <v>708</v>
      </c>
      <c r="B132" s="34">
        <f>IFERROR(VLOOKUP($A132,Pivot!$A:$I,1+MATCH(B$3,Pivot!$B$4:$I$4,0),FALSE),0)</f>
        <v>0</v>
      </c>
      <c r="C132" s="34">
        <f>IFERROR(VLOOKUP($A132,Pivot!$A:$I,1+MATCH(C$3,Pivot!$B$4:$I$4,0),FALSE),0)</f>
        <v>0</v>
      </c>
      <c r="D132" s="34">
        <f>IFERROR(VLOOKUP($A132,Pivot!$A:$I,1+MATCH(D$3,Pivot!$B$4:$I$4,0),FALSE),0)</f>
        <v>0</v>
      </c>
      <c r="E132" s="34">
        <f>IFERROR(VLOOKUP($A132,Pivot!$A:$I,1+MATCH(E$3,Pivot!$B$4:$I$4,0),FALSE),0)</f>
        <v>0</v>
      </c>
      <c r="F132" s="34">
        <f>IFERROR(VLOOKUP($A132,Pivot!$A:$I,1+MATCH(F$3,Pivot!$B$4:$I$4,0),FALSE),0)</f>
        <v>0</v>
      </c>
      <c r="G132" s="34">
        <f>IFERROR(VLOOKUP($A132,Pivot!$A:$I,1+MATCH(G$3,Pivot!$B$4:$I$4,0),FALSE),0)</f>
        <v>0</v>
      </c>
      <c r="H132" s="34">
        <f>IFERROR(VLOOKUP($A132,Pivot!$A:$I,1+MATCH(H$3,Pivot!$B$4:$I$4,0),FALSE),0)</f>
        <v>0</v>
      </c>
      <c r="I132" s="34">
        <f>IFERROR(VLOOKUP($A132,Pivot!$A:$I,1+MATCH(I$3,Pivot!$B$4:$I$4,0),FALSE),0)</f>
        <v>0</v>
      </c>
      <c r="J132" s="34">
        <f>IFERROR(VLOOKUP($A132,Pivot!$A:$I,1+MATCH(J$3,Pivot!$B$4:$I$4,0),FALSE),0)</f>
        <v>0</v>
      </c>
      <c r="K132" s="34">
        <f>IFERROR(VLOOKUP($A132,Pivot!$A:$I,1+MATCH(K$3,Pivot!$B$4:$I$4,0),FALSE),0)</f>
        <v>0</v>
      </c>
      <c r="L132" s="34">
        <f>IFERROR(VLOOKUP($A132,Pivot!$A:$I,1+MATCH(L$3,Pivot!$B$4:$I$4,0),FALSE),0)</f>
        <v>0</v>
      </c>
      <c r="M132" s="34">
        <f>IFERROR(VLOOKUP($A132,Pivot!$A:$I,1+MATCH(M$3,Pivot!$B$4:$I$4,0),FALSE),0)</f>
        <v>0</v>
      </c>
      <c r="N132" s="34">
        <f t="shared" si="19"/>
        <v>0</v>
      </c>
    </row>
    <row r="133" spans="1:16" x14ac:dyDescent="0.25">
      <c r="A133" s="33" t="s">
        <v>114</v>
      </c>
      <c r="B133" s="32">
        <f>SUM(B134:B148)</f>
        <v>0</v>
      </c>
      <c r="C133" s="32">
        <f t="shared" ref="C133:N133" si="20">SUM(C134:C148)</f>
        <v>1</v>
      </c>
      <c r="D133" s="32">
        <f t="shared" si="20"/>
        <v>83</v>
      </c>
      <c r="E133" s="32">
        <f t="shared" si="20"/>
        <v>0</v>
      </c>
      <c r="F133" s="32">
        <f t="shared" ref="F133:M133" si="21">SUM(F134:F148)</f>
        <v>2</v>
      </c>
      <c r="G133" s="32">
        <f t="shared" si="21"/>
        <v>0</v>
      </c>
      <c r="H133" s="32">
        <f t="shared" si="21"/>
        <v>0</v>
      </c>
      <c r="I133" s="32">
        <f t="shared" si="21"/>
        <v>4</v>
      </c>
      <c r="J133" s="32">
        <f t="shared" si="21"/>
        <v>5</v>
      </c>
      <c r="K133" s="32">
        <f t="shared" si="21"/>
        <v>2</v>
      </c>
      <c r="L133" s="32">
        <f t="shared" si="21"/>
        <v>0</v>
      </c>
      <c r="M133" s="32">
        <f t="shared" si="21"/>
        <v>0</v>
      </c>
      <c r="N133" s="32">
        <f t="shared" si="20"/>
        <v>97</v>
      </c>
      <c r="O133" s="33"/>
      <c r="P133" s="33"/>
    </row>
    <row r="134" spans="1:16" x14ac:dyDescent="0.25">
      <c r="A134" s="28" t="s">
        <v>709</v>
      </c>
      <c r="B134" s="34">
        <f>IFERROR(VLOOKUP($A134,Pivot!$A:$I,1+MATCH(B$3,Pivot!$B$4:$I$4,0),FALSE),0)</f>
        <v>0</v>
      </c>
      <c r="C134" s="34">
        <f>IFERROR(VLOOKUP($A134,Pivot!$A:$I,1+MATCH(C$3,Pivot!$B$4:$I$4,0),FALSE),0)</f>
        <v>0</v>
      </c>
      <c r="D134" s="34">
        <f>IFERROR(VLOOKUP($A134,Pivot!$A:$I,1+MATCH(D$3,Pivot!$B$4:$I$4,0),FALSE),0)</f>
        <v>2</v>
      </c>
      <c r="E134" s="34">
        <f>IFERROR(VLOOKUP($A134,Pivot!$A:$I,1+MATCH(E$3,Pivot!$B$4:$I$4,0),FALSE),0)</f>
        <v>0</v>
      </c>
      <c r="F134" s="34">
        <f>IFERROR(VLOOKUP($A134,Pivot!$A:$I,1+MATCH(F$3,Pivot!$B$4:$I$4,0),FALSE),0)</f>
        <v>0</v>
      </c>
      <c r="G134" s="34">
        <f>IFERROR(VLOOKUP($A134,Pivot!$A:$I,1+MATCH(G$3,Pivot!$B$4:$I$4,0),FALSE),0)</f>
        <v>0</v>
      </c>
      <c r="H134" s="34">
        <f>IFERROR(VLOOKUP($A134,Pivot!$A:$I,1+MATCH(H$3,Pivot!$B$4:$I$4,0),FALSE),0)</f>
        <v>0</v>
      </c>
      <c r="I134" s="34">
        <f>IFERROR(VLOOKUP($A134,Pivot!$A:$I,1+MATCH(I$3,Pivot!$B$4:$I$4,0),FALSE),0)</f>
        <v>0</v>
      </c>
      <c r="J134" s="34">
        <f>IFERROR(VLOOKUP($A134,Pivot!$A:$I,1+MATCH(J$3,Pivot!$B$4:$I$4,0),FALSE),0)</f>
        <v>0</v>
      </c>
      <c r="K134" s="34">
        <f>IFERROR(VLOOKUP($A134,Pivot!$A:$I,1+MATCH(K$3,Pivot!$B$4:$I$4,0),FALSE),0)</f>
        <v>0</v>
      </c>
      <c r="L134" s="34">
        <f>IFERROR(VLOOKUP($A134,Pivot!$A:$I,1+MATCH(L$3,Pivot!$B$4:$I$4,0),FALSE),0)</f>
        <v>0</v>
      </c>
      <c r="M134" s="34">
        <f>IFERROR(VLOOKUP($A134,Pivot!$A:$I,1+MATCH(M$3,Pivot!$B$4:$I$4,0),FALSE),0)</f>
        <v>0</v>
      </c>
      <c r="N134" s="34">
        <f t="shared" ref="N134:N148" si="22">SUM(B134:M134)</f>
        <v>2</v>
      </c>
    </row>
    <row r="135" spans="1:16" x14ac:dyDescent="0.25">
      <c r="A135" s="28" t="s">
        <v>115</v>
      </c>
      <c r="B135" s="34">
        <f>IFERROR(VLOOKUP($A135,Pivot!$A:$I,1+MATCH(B$3,Pivot!$B$4:$I$4,0),FALSE),0)</f>
        <v>0</v>
      </c>
      <c r="C135" s="34">
        <f>IFERROR(VLOOKUP($A135,Pivot!$A:$I,1+MATCH(C$3,Pivot!$B$4:$I$4,0),FALSE),0)</f>
        <v>0</v>
      </c>
      <c r="D135" s="34">
        <f>IFERROR(VLOOKUP($A135,Pivot!$A:$I,1+MATCH(D$3,Pivot!$B$4:$I$4,0),FALSE),0)</f>
        <v>5</v>
      </c>
      <c r="E135" s="34">
        <f>IFERROR(VLOOKUP($A135,Pivot!$A:$I,1+MATCH(E$3,Pivot!$B$4:$I$4,0),FALSE),0)</f>
        <v>0</v>
      </c>
      <c r="F135" s="34">
        <f>IFERROR(VLOOKUP($A135,Pivot!$A:$I,1+MATCH(F$3,Pivot!$B$4:$I$4,0),FALSE),0)</f>
        <v>0</v>
      </c>
      <c r="G135" s="34">
        <f>IFERROR(VLOOKUP($A135,Pivot!$A:$I,1+MATCH(G$3,Pivot!$B$4:$I$4,0),FALSE),0)</f>
        <v>0</v>
      </c>
      <c r="H135" s="34">
        <f>IFERROR(VLOOKUP($A135,Pivot!$A:$I,1+MATCH(H$3,Pivot!$B$4:$I$4,0),FALSE),0)</f>
        <v>0</v>
      </c>
      <c r="I135" s="34">
        <f>IFERROR(VLOOKUP($A135,Pivot!$A:$I,1+MATCH(I$3,Pivot!$B$4:$I$4,0),FALSE),0)</f>
        <v>0</v>
      </c>
      <c r="J135" s="34">
        <f>IFERROR(VLOOKUP($A135,Pivot!$A:$I,1+MATCH(J$3,Pivot!$B$4:$I$4,0),FALSE),0)</f>
        <v>0</v>
      </c>
      <c r="K135" s="34">
        <f>IFERROR(VLOOKUP($A135,Pivot!$A:$I,1+MATCH(K$3,Pivot!$B$4:$I$4,0),FALSE),0)</f>
        <v>0</v>
      </c>
      <c r="L135" s="34">
        <f>IFERROR(VLOOKUP($A135,Pivot!$A:$I,1+MATCH(L$3,Pivot!$B$4:$I$4,0),FALSE),0)</f>
        <v>0</v>
      </c>
      <c r="M135" s="34">
        <f>IFERROR(VLOOKUP($A135,Pivot!$A:$I,1+MATCH(M$3,Pivot!$B$4:$I$4,0),FALSE),0)</f>
        <v>0</v>
      </c>
      <c r="N135" s="34">
        <f t="shared" si="22"/>
        <v>5</v>
      </c>
    </row>
    <row r="136" spans="1:16" x14ac:dyDescent="0.25">
      <c r="A136" s="28" t="s">
        <v>116</v>
      </c>
      <c r="B136" s="34">
        <f>IFERROR(VLOOKUP($A136,Pivot!$A:$I,1+MATCH(B$3,Pivot!$B$4:$I$4,0),FALSE),0)</f>
        <v>0</v>
      </c>
      <c r="C136" s="34">
        <f>IFERROR(VLOOKUP($A136,Pivot!$A:$I,1+MATCH(C$3,Pivot!$B$4:$I$4,0),FALSE),0)</f>
        <v>0</v>
      </c>
      <c r="D136" s="34">
        <f>IFERROR(VLOOKUP($A136,Pivot!$A:$I,1+MATCH(D$3,Pivot!$B$4:$I$4,0),FALSE),0)</f>
        <v>3</v>
      </c>
      <c r="E136" s="34">
        <f>IFERROR(VLOOKUP($A136,Pivot!$A:$I,1+MATCH(E$3,Pivot!$B$4:$I$4,0),FALSE),0)</f>
        <v>0</v>
      </c>
      <c r="F136" s="34">
        <f>IFERROR(VLOOKUP($A136,Pivot!$A:$I,1+MATCH(F$3,Pivot!$B$4:$I$4,0),FALSE),0)</f>
        <v>0</v>
      </c>
      <c r="G136" s="34">
        <f>IFERROR(VLOOKUP($A136,Pivot!$A:$I,1+MATCH(G$3,Pivot!$B$4:$I$4,0),FALSE),0)</f>
        <v>0</v>
      </c>
      <c r="H136" s="34">
        <f>IFERROR(VLOOKUP($A136,Pivot!$A:$I,1+MATCH(H$3,Pivot!$B$4:$I$4,0),FALSE),0)</f>
        <v>0</v>
      </c>
      <c r="I136" s="34">
        <f>IFERROR(VLOOKUP($A136,Pivot!$A:$I,1+MATCH(I$3,Pivot!$B$4:$I$4,0),FALSE),0)</f>
        <v>0</v>
      </c>
      <c r="J136" s="34">
        <f>IFERROR(VLOOKUP($A136,Pivot!$A:$I,1+MATCH(J$3,Pivot!$B$4:$I$4,0),FALSE),0)</f>
        <v>0</v>
      </c>
      <c r="K136" s="34">
        <f>IFERROR(VLOOKUP($A136,Pivot!$A:$I,1+MATCH(K$3,Pivot!$B$4:$I$4,0),FALSE),0)</f>
        <v>0</v>
      </c>
      <c r="L136" s="34">
        <f>IFERROR(VLOOKUP($A136,Pivot!$A:$I,1+MATCH(L$3,Pivot!$B$4:$I$4,0),FALSE),0)</f>
        <v>0</v>
      </c>
      <c r="M136" s="34">
        <f>IFERROR(VLOOKUP($A136,Pivot!$A:$I,1+MATCH(M$3,Pivot!$B$4:$I$4,0),FALSE),0)</f>
        <v>0</v>
      </c>
      <c r="N136" s="34">
        <f t="shared" si="22"/>
        <v>3</v>
      </c>
    </row>
    <row r="137" spans="1:16" x14ac:dyDescent="0.25">
      <c r="A137" s="28" t="s">
        <v>117</v>
      </c>
      <c r="B137" s="34">
        <f>IFERROR(VLOOKUP($A137,Pivot!$A:$I,1+MATCH(B$3,Pivot!$B$4:$I$4,0),FALSE),0)</f>
        <v>0</v>
      </c>
      <c r="C137" s="34">
        <f>IFERROR(VLOOKUP($A137,Pivot!$A:$I,1+MATCH(C$3,Pivot!$B$4:$I$4,0),FALSE),0)</f>
        <v>0</v>
      </c>
      <c r="D137" s="34">
        <f>IFERROR(VLOOKUP($A137,Pivot!$A:$I,1+MATCH(D$3,Pivot!$B$4:$I$4,0),FALSE),0)</f>
        <v>8</v>
      </c>
      <c r="E137" s="34">
        <f>IFERROR(VLOOKUP($A137,Pivot!$A:$I,1+MATCH(E$3,Pivot!$B$4:$I$4,0),FALSE),0)</f>
        <v>0</v>
      </c>
      <c r="F137" s="34">
        <f>IFERROR(VLOOKUP($A137,Pivot!$A:$I,1+MATCH(F$3,Pivot!$B$4:$I$4,0),FALSE),0)</f>
        <v>0</v>
      </c>
      <c r="G137" s="34">
        <f>IFERROR(VLOOKUP($A137,Pivot!$A:$I,1+MATCH(G$3,Pivot!$B$4:$I$4,0),FALSE),0)</f>
        <v>0</v>
      </c>
      <c r="H137" s="34">
        <f>IFERROR(VLOOKUP($A137,Pivot!$A:$I,1+MATCH(H$3,Pivot!$B$4:$I$4,0),FALSE),0)</f>
        <v>0</v>
      </c>
      <c r="I137" s="34">
        <f>IFERROR(VLOOKUP($A137,Pivot!$A:$I,1+MATCH(I$3,Pivot!$B$4:$I$4,0),FALSE),0)</f>
        <v>0</v>
      </c>
      <c r="J137" s="34">
        <f>IFERROR(VLOOKUP($A137,Pivot!$A:$I,1+MATCH(J$3,Pivot!$B$4:$I$4,0),FALSE),0)</f>
        <v>0</v>
      </c>
      <c r="K137" s="34">
        <f>IFERROR(VLOOKUP($A137,Pivot!$A:$I,1+MATCH(K$3,Pivot!$B$4:$I$4,0),FALSE),0)</f>
        <v>0</v>
      </c>
      <c r="L137" s="34">
        <f>IFERROR(VLOOKUP($A137,Pivot!$A:$I,1+MATCH(L$3,Pivot!$B$4:$I$4,0),FALSE),0)</f>
        <v>0</v>
      </c>
      <c r="M137" s="34">
        <f>IFERROR(VLOOKUP($A137,Pivot!$A:$I,1+MATCH(M$3,Pivot!$B$4:$I$4,0),FALSE),0)</f>
        <v>0</v>
      </c>
      <c r="N137" s="34">
        <f t="shared" si="22"/>
        <v>8</v>
      </c>
    </row>
    <row r="138" spans="1:16" x14ac:dyDescent="0.25">
      <c r="A138" s="28" t="s">
        <v>118</v>
      </c>
      <c r="B138" s="34">
        <f>IFERROR(VLOOKUP($A138,Pivot!$A:$I,1+MATCH(B$3,Pivot!$B$4:$I$4,0),FALSE),0)</f>
        <v>0</v>
      </c>
      <c r="C138" s="34">
        <f>IFERROR(VLOOKUP($A138,Pivot!$A:$I,1+MATCH(C$3,Pivot!$B$4:$I$4,0),FALSE),0)</f>
        <v>0</v>
      </c>
      <c r="D138" s="34">
        <f>IFERROR(VLOOKUP($A138,Pivot!$A:$I,1+MATCH(D$3,Pivot!$B$4:$I$4,0),FALSE),0)</f>
        <v>17</v>
      </c>
      <c r="E138" s="34">
        <f>IFERROR(VLOOKUP($A138,Pivot!$A:$I,1+MATCH(E$3,Pivot!$B$4:$I$4,0),FALSE),0)</f>
        <v>0</v>
      </c>
      <c r="F138" s="34">
        <f>IFERROR(VLOOKUP($A138,Pivot!$A:$I,1+MATCH(F$3,Pivot!$B$4:$I$4,0),FALSE),0)</f>
        <v>1</v>
      </c>
      <c r="G138" s="34">
        <f>IFERROR(VLOOKUP($A138,Pivot!$A:$I,1+MATCH(G$3,Pivot!$B$4:$I$4,0),FALSE),0)</f>
        <v>0</v>
      </c>
      <c r="H138" s="34">
        <f>IFERROR(VLOOKUP($A138,Pivot!$A:$I,1+MATCH(H$3,Pivot!$B$4:$I$4,0),FALSE),0)</f>
        <v>0</v>
      </c>
      <c r="I138" s="34">
        <f>IFERROR(VLOOKUP($A138,Pivot!$A:$I,1+MATCH(I$3,Pivot!$B$4:$I$4,0),FALSE),0)</f>
        <v>2</v>
      </c>
      <c r="J138" s="34">
        <f>IFERROR(VLOOKUP($A138,Pivot!$A:$I,1+MATCH(J$3,Pivot!$B$4:$I$4,0),FALSE),0)</f>
        <v>1</v>
      </c>
      <c r="K138" s="34">
        <f>IFERROR(VLOOKUP($A138,Pivot!$A:$I,1+MATCH(K$3,Pivot!$B$4:$I$4,0),FALSE),0)</f>
        <v>1</v>
      </c>
      <c r="L138" s="34">
        <f>IFERROR(VLOOKUP($A138,Pivot!$A:$I,1+MATCH(L$3,Pivot!$B$4:$I$4,0),FALSE),0)</f>
        <v>0</v>
      </c>
      <c r="M138" s="34">
        <f>IFERROR(VLOOKUP($A138,Pivot!$A:$I,1+MATCH(M$3,Pivot!$B$4:$I$4,0),FALSE),0)</f>
        <v>0</v>
      </c>
      <c r="N138" s="34">
        <f t="shared" si="22"/>
        <v>22</v>
      </c>
    </row>
    <row r="139" spans="1:16" x14ac:dyDescent="0.25">
      <c r="A139" s="28" t="s">
        <v>119</v>
      </c>
      <c r="B139" s="34">
        <f>IFERROR(VLOOKUP($A139,Pivot!$A:$I,1+MATCH(B$3,Pivot!$B$4:$I$4,0),FALSE),0)</f>
        <v>0</v>
      </c>
      <c r="C139" s="34">
        <f>IFERROR(VLOOKUP($A139,Pivot!$A:$I,1+MATCH(C$3,Pivot!$B$4:$I$4,0),FALSE),0)</f>
        <v>0</v>
      </c>
      <c r="D139" s="34">
        <f>IFERROR(VLOOKUP($A139,Pivot!$A:$I,1+MATCH(D$3,Pivot!$B$4:$I$4,0),FALSE),0)</f>
        <v>4</v>
      </c>
      <c r="E139" s="34">
        <f>IFERROR(VLOOKUP($A139,Pivot!$A:$I,1+MATCH(E$3,Pivot!$B$4:$I$4,0),FALSE),0)</f>
        <v>0</v>
      </c>
      <c r="F139" s="34">
        <f>IFERROR(VLOOKUP($A139,Pivot!$A:$I,1+MATCH(F$3,Pivot!$B$4:$I$4,0),FALSE),0)</f>
        <v>0</v>
      </c>
      <c r="G139" s="34">
        <f>IFERROR(VLOOKUP($A139,Pivot!$A:$I,1+MATCH(G$3,Pivot!$B$4:$I$4,0),FALSE),0)</f>
        <v>0</v>
      </c>
      <c r="H139" s="34">
        <f>IFERROR(VLOOKUP($A139,Pivot!$A:$I,1+MATCH(H$3,Pivot!$B$4:$I$4,0),FALSE),0)</f>
        <v>0</v>
      </c>
      <c r="I139" s="34">
        <f>IFERROR(VLOOKUP($A139,Pivot!$A:$I,1+MATCH(I$3,Pivot!$B$4:$I$4,0),FALSE),0)</f>
        <v>0</v>
      </c>
      <c r="J139" s="34">
        <f>IFERROR(VLOOKUP($A139,Pivot!$A:$I,1+MATCH(J$3,Pivot!$B$4:$I$4,0),FALSE),0)</f>
        <v>3</v>
      </c>
      <c r="K139" s="34">
        <f>IFERROR(VLOOKUP($A139,Pivot!$A:$I,1+MATCH(K$3,Pivot!$B$4:$I$4,0),FALSE),0)</f>
        <v>0</v>
      </c>
      <c r="L139" s="34">
        <f>IFERROR(VLOOKUP($A139,Pivot!$A:$I,1+MATCH(L$3,Pivot!$B$4:$I$4,0),FALSE),0)</f>
        <v>0</v>
      </c>
      <c r="M139" s="34">
        <f>IFERROR(VLOOKUP($A139,Pivot!$A:$I,1+MATCH(M$3,Pivot!$B$4:$I$4,0),FALSE),0)</f>
        <v>0</v>
      </c>
      <c r="N139" s="34">
        <f t="shared" si="22"/>
        <v>7</v>
      </c>
    </row>
    <row r="140" spans="1:16" x14ac:dyDescent="0.25">
      <c r="A140" s="28" t="s">
        <v>120</v>
      </c>
      <c r="B140" s="34">
        <f>IFERROR(VLOOKUP($A140,Pivot!$A:$I,1+MATCH(B$3,Pivot!$B$4:$I$4,0),FALSE),0)</f>
        <v>0</v>
      </c>
      <c r="C140" s="34">
        <f>IFERROR(VLOOKUP($A140,Pivot!$A:$I,1+MATCH(C$3,Pivot!$B$4:$I$4,0),FALSE),0)</f>
        <v>0</v>
      </c>
      <c r="D140" s="34">
        <f>IFERROR(VLOOKUP($A140,Pivot!$A:$I,1+MATCH(D$3,Pivot!$B$4:$I$4,0),FALSE),0)</f>
        <v>4</v>
      </c>
      <c r="E140" s="34">
        <f>IFERROR(VLOOKUP($A140,Pivot!$A:$I,1+MATCH(E$3,Pivot!$B$4:$I$4,0),FALSE),0)</f>
        <v>0</v>
      </c>
      <c r="F140" s="34">
        <f>IFERROR(VLOOKUP($A140,Pivot!$A:$I,1+MATCH(F$3,Pivot!$B$4:$I$4,0),FALSE),0)</f>
        <v>0</v>
      </c>
      <c r="G140" s="34">
        <f>IFERROR(VLOOKUP($A140,Pivot!$A:$I,1+MATCH(G$3,Pivot!$B$4:$I$4,0),FALSE),0)</f>
        <v>0</v>
      </c>
      <c r="H140" s="34">
        <f>IFERROR(VLOOKUP($A140,Pivot!$A:$I,1+MATCH(H$3,Pivot!$B$4:$I$4,0),FALSE),0)</f>
        <v>0</v>
      </c>
      <c r="I140" s="34">
        <f>IFERROR(VLOOKUP($A140,Pivot!$A:$I,1+MATCH(I$3,Pivot!$B$4:$I$4,0),FALSE),0)</f>
        <v>1</v>
      </c>
      <c r="J140" s="34">
        <f>IFERROR(VLOOKUP($A140,Pivot!$A:$I,1+MATCH(J$3,Pivot!$B$4:$I$4,0),FALSE),0)</f>
        <v>1</v>
      </c>
      <c r="K140" s="34">
        <f>IFERROR(VLOOKUP($A140,Pivot!$A:$I,1+MATCH(K$3,Pivot!$B$4:$I$4,0),FALSE),0)</f>
        <v>0</v>
      </c>
      <c r="L140" s="34">
        <f>IFERROR(VLOOKUP($A140,Pivot!$A:$I,1+MATCH(L$3,Pivot!$B$4:$I$4,0),FALSE),0)</f>
        <v>0</v>
      </c>
      <c r="M140" s="34">
        <f>IFERROR(VLOOKUP($A140,Pivot!$A:$I,1+MATCH(M$3,Pivot!$B$4:$I$4,0),FALSE),0)</f>
        <v>0</v>
      </c>
      <c r="N140" s="34">
        <f t="shared" si="22"/>
        <v>6</v>
      </c>
    </row>
    <row r="141" spans="1:16" x14ac:dyDescent="0.25">
      <c r="A141" s="28" t="s">
        <v>710</v>
      </c>
      <c r="B141" s="34">
        <f>IFERROR(VLOOKUP($A141,Pivot!$A:$I,1+MATCH(B$3,Pivot!$B$4:$I$4,0),FALSE),0)</f>
        <v>0</v>
      </c>
      <c r="C141" s="34">
        <f>IFERROR(VLOOKUP($A141,Pivot!$A:$I,1+MATCH(C$3,Pivot!$B$4:$I$4,0),FALSE),0)</f>
        <v>0</v>
      </c>
      <c r="D141" s="34">
        <f>IFERROR(VLOOKUP($A141,Pivot!$A:$I,1+MATCH(D$3,Pivot!$B$4:$I$4,0),FALSE),0)</f>
        <v>0</v>
      </c>
      <c r="E141" s="34">
        <f>IFERROR(VLOOKUP($A141,Pivot!$A:$I,1+MATCH(E$3,Pivot!$B$4:$I$4,0),FALSE),0)</f>
        <v>0</v>
      </c>
      <c r="F141" s="34">
        <f>IFERROR(VLOOKUP($A141,Pivot!$A:$I,1+MATCH(F$3,Pivot!$B$4:$I$4,0),FALSE),0)</f>
        <v>0</v>
      </c>
      <c r="G141" s="34">
        <f>IFERROR(VLOOKUP($A141,Pivot!$A:$I,1+MATCH(G$3,Pivot!$B$4:$I$4,0),FALSE),0)</f>
        <v>0</v>
      </c>
      <c r="H141" s="34">
        <f>IFERROR(VLOOKUP($A141,Pivot!$A:$I,1+MATCH(H$3,Pivot!$B$4:$I$4,0),FALSE),0)</f>
        <v>0</v>
      </c>
      <c r="I141" s="34">
        <f>IFERROR(VLOOKUP($A141,Pivot!$A:$I,1+MATCH(I$3,Pivot!$B$4:$I$4,0),FALSE),0)</f>
        <v>0</v>
      </c>
      <c r="J141" s="34">
        <f>IFERROR(VLOOKUP($A141,Pivot!$A:$I,1+MATCH(J$3,Pivot!$B$4:$I$4,0),FALSE),0)</f>
        <v>0</v>
      </c>
      <c r="K141" s="34">
        <f>IFERROR(VLOOKUP($A141,Pivot!$A:$I,1+MATCH(K$3,Pivot!$B$4:$I$4,0),FALSE),0)</f>
        <v>0</v>
      </c>
      <c r="L141" s="34">
        <f>IFERROR(VLOOKUP($A141,Pivot!$A:$I,1+MATCH(L$3,Pivot!$B$4:$I$4,0),FALSE),0)</f>
        <v>0</v>
      </c>
      <c r="M141" s="34">
        <f>IFERROR(VLOOKUP($A141,Pivot!$A:$I,1+MATCH(M$3,Pivot!$B$4:$I$4,0),FALSE),0)</f>
        <v>0</v>
      </c>
      <c r="N141" s="34">
        <f t="shared" si="22"/>
        <v>0</v>
      </c>
    </row>
    <row r="142" spans="1:16" x14ac:dyDescent="0.25">
      <c r="A142" s="28" t="s">
        <v>121</v>
      </c>
      <c r="B142" s="34">
        <f>IFERROR(VLOOKUP($A142,Pivot!$A:$I,1+MATCH(B$3,Pivot!$B$4:$I$4,0),FALSE),0)</f>
        <v>0</v>
      </c>
      <c r="C142" s="34">
        <f>IFERROR(VLOOKUP($A142,Pivot!$A:$I,1+MATCH(C$3,Pivot!$B$4:$I$4,0),FALSE),0)</f>
        <v>0</v>
      </c>
      <c r="D142" s="34">
        <f>IFERROR(VLOOKUP($A142,Pivot!$A:$I,1+MATCH(D$3,Pivot!$B$4:$I$4,0),FALSE),0)</f>
        <v>2</v>
      </c>
      <c r="E142" s="34">
        <f>IFERROR(VLOOKUP($A142,Pivot!$A:$I,1+MATCH(E$3,Pivot!$B$4:$I$4,0),FALSE),0)</f>
        <v>0</v>
      </c>
      <c r="F142" s="34">
        <f>IFERROR(VLOOKUP($A142,Pivot!$A:$I,1+MATCH(F$3,Pivot!$B$4:$I$4,0),FALSE),0)</f>
        <v>0</v>
      </c>
      <c r="G142" s="34">
        <f>IFERROR(VLOOKUP($A142,Pivot!$A:$I,1+MATCH(G$3,Pivot!$B$4:$I$4,0),FALSE),0)</f>
        <v>0</v>
      </c>
      <c r="H142" s="34">
        <f>IFERROR(VLOOKUP($A142,Pivot!$A:$I,1+MATCH(H$3,Pivot!$B$4:$I$4,0),FALSE),0)</f>
        <v>0</v>
      </c>
      <c r="I142" s="34">
        <f>IFERROR(VLOOKUP($A142,Pivot!$A:$I,1+MATCH(I$3,Pivot!$B$4:$I$4,0),FALSE),0)</f>
        <v>0</v>
      </c>
      <c r="J142" s="34">
        <f>IFERROR(VLOOKUP($A142,Pivot!$A:$I,1+MATCH(J$3,Pivot!$B$4:$I$4,0),FALSE),0)</f>
        <v>0</v>
      </c>
      <c r="K142" s="34">
        <f>IFERROR(VLOOKUP($A142,Pivot!$A:$I,1+MATCH(K$3,Pivot!$B$4:$I$4,0),FALSE),0)</f>
        <v>0</v>
      </c>
      <c r="L142" s="34">
        <f>IFERROR(VLOOKUP($A142,Pivot!$A:$I,1+MATCH(L$3,Pivot!$B$4:$I$4,0),FALSE),0)</f>
        <v>0</v>
      </c>
      <c r="M142" s="34">
        <f>IFERROR(VLOOKUP($A142,Pivot!$A:$I,1+MATCH(M$3,Pivot!$B$4:$I$4,0),FALSE),0)</f>
        <v>0</v>
      </c>
      <c r="N142" s="34">
        <f t="shared" si="22"/>
        <v>2</v>
      </c>
    </row>
    <row r="143" spans="1:16" x14ac:dyDescent="0.25">
      <c r="A143" s="28" t="s">
        <v>122</v>
      </c>
      <c r="B143" s="34">
        <f>IFERROR(VLOOKUP($A143,Pivot!$A:$I,1+MATCH(B$3,Pivot!$B$4:$I$4,0),FALSE),0)</f>
        <v>0</v>
      </c>
      <c r="C143" s="34">
        <f>IFERROR(VLOOKUP($A143,Pivot!$A:$I,1+MATCH(C$3,Pivot!$B$4:$I$4,0),FALSE),0)</f>
        <v>0</v>
      </c>
      <c r="D143" s="34">
        <f>IFERROR(VLOOKUP($A143,Pivot!$A:$I,1+MATCH(D$3,Pivot!$B$4:$I$4,0),FALSE),0)</f>
        <v>7</v>
      </c>
      <c r="E143" s="34">
        <f>IFERROR(VLOOKUP($A143,Pivot!$A:$I,1+MATCH(E$3,Pivot!$B$4:$I$4,0),FALSE),0)</f>
        <v>0</v>
      </c>
      <c r="F143" s="34">
        <f>IFERROR(VLOOKUP($A143,Pivot!$A:$I,1+MATCH(F$3,Pivot!$B$4:$I$4,0),FALSE),0)</f>
        <v>1</v>
      </c>
      <c r="G143" s="34">
        <f>IFERROR(VLOOKUP($A143,Pivot!$A:$I,1+MATCH(G$3,Pivot!$B$4:$I$4,0),FALSE),0)</f>
        <v>0</v>
      </c>
      <c r="H143" s="34">
        <f>IFERROR(VLOOKUP($A143,Pivot!$A:$I,1+MATCH(H$3,Pivot!$B$4:$I$4,0),FALSE),0)</f>
        <v>0</v>
      </c>
      <c r="I143" s="34">
        <f>IFERROR(VLOOKUP($A143,Pivot!$A:$I,1+MATCH(I$3,Pivot!$B$4:$I$4,0),FALSE),0)</f>
        <v>0</v>
      </c>
      <c r="J143" s="34">
        <f>IFERROR(VLOOKUP($A143,Pivot!$A:$I,1+MATCH(J$3,Pivot!$B$4:$I$4,0),FALSE),0)</f>
        <v>0</v>
      </c>
      <c r="K143" s="34">
        <f>IFERROR(VLOOKUP($A143,Pivot!$A:$I,1+MATCH(K$3,Pivot!$B$4:$I$4,0),FALSE),0)</f>
        <v>0</v>
      </c>
      <c r="L143" s="34">
        <f>IFERROR(VLOOKUP($A143,Pivot!$A:$I,1+MATCH(L$3,Pivot!$B$4:$I$4,0),FALSE),0)</f>
        <v>0</v>
      </c>
      <c r="M143" s="34">
        <f>IFERROR(VLOOKUP($A143,Pivot!$A:$I,1+MATCH(M$3,Pivot!$B$4:$I$4,0),FALSE),0)</f>
        <v>0</v>
      </c>
      <c r="N143" s="34">
        <f t="shared" si="22"/>
        <v>8</v>
      </c>
    </row>
    <row r="144" spans="1:16" x14ac:dyDescent="0.25">
      <c r="A144" s="28" t="s">
        <v>123</v>
      </c>
      <c r="B144" s="34">
        <f>IFERROR(VLOOKUP($A144,Pivot!$A:$I,1+MATCH(B$3,Pivot!$B$4:$I$4,0),FALSE),0)</f>
        <v>0</v>
      </c>
      <c r="C144" s="34">
        <f>IFERROR(VLOOKUP($A144,Pivot!$A:$I,1+MATCH(C$3,Pivot!$B$4:$I$4,0),FALSE),0)</f>
        <v>1</v>
      </c>
      <c r="D144" s="34">
        <f>IFERROR(VLOOKUP($A144,Pivot!$A:$I,1+MATCH(D$3,Pivot!$B$4:$I$4,0),FALSE),0)</f>
        <v>16</v>
      </c>
      <c r="E144" s="34">
        <f>IFERROR(VLOOKUP($A144,Pivot!$A:$I,1+MATCH(E$3,Pivot!$B$4:$I$4,0),FALSE),0)</f>
        <v>0</v>
      </c>
      <c r="F144" s="34">
        <f>IFERROR(VLOOKUP($A144,Pivot!$A:$I,1+MATCH(F$3,Pivot!$B$4:$I$4,0),FALSE),0)</f>
        <v>0</v>
      </c>
      <c r="G144" s="34">
        <f>IFERROR(VLOOKUP($A144,Pivot!$A:$I,1+MATCH(G$3,Pivot!$B$4:$I$4,0),FALSE),0)</f>
        <v>0</v>
      </c>
      <c r="H144" s="34">
        <f>IFERROR(VLOOKUP($A144,Pivot!$A:$I,1+MATCH(H$3,Pivot!$B$4:$I$4,0),FALSE),0)</f>
        <v>0</v>
      </c>
      <c r="I144" s="34">
        <f>IFERROR(VLOOKUP($A144,Pivot!$A:$I,1+MATCH(I$3,Pivot!$B$4:$I$4,0),FALSE),0)</f>
        <v>1</v>
      </c>
      <c r="J144" s="34">
        <f>IFERROR(VLOOKUP($A144,Pivot!$A:$I,1+MATCH(J$3,Pivot!$B$4:$I$4,0),FALSE),0)</f>
        <v>0</v>
      </c>
      <c r="K144" s="34">
        <f>IFERROR(VLOOKUP($A144,Pivot!$A:$I,1+MATCH(K$3,Pivot!$B$4:$I$4,0),FALSE),0)</f>
        <v>0</v>
      </c>
      <c r="L144" s="34">
        <f>IFERROR(VLOOKUP($A144,Pivot!$A:$I,1+MATCH(L$3,Pivot!$B$4:$I$4,0),FALSE),0)</f>
        <v>0</v>
      </c>
      <c r="M144" s="34">
        <f>IFERROR(VLOOKUP($A144,Pivot!$A:$I,1+MATCH(M$3,Pivot!$B$4:$I$4,0),FALSE),0)</f>
        <v>0</v>
      </c>
      <c r="N144" s="34">
        <f t="shared" si="22"/>
        <v>18</v>
      </c>
    </row>
    <row r="145" spans="1:16" x14ac:dyDescent="0.25">
      <c r="A145" s="28" t="s">
        <v>124</v>
      </c>
      <c r="B145" s="34">
        <f>IFERROR(VLOOKUP($A145,Pivot!$A:$I,1+MATCH(B$3,Pivot!$B$4:$I$4,0),FALSE),0)</f>
        <v>0</v>
      </c>
      <c r="C145" s="34">
        <f>IFERROR(VLOOKUP($A145,Pivot!$A:$I,1+MATCH(C$3,Pivot!$B$4:$I$4,0),FALSE),0)</f>
        <v>0</v>
      </c>
      <c r="D145" s="34">
        <f>IFERROR(VLOOKUP($A145,Pivot!$A:$I,1+MATCH(D$3,Pivot!$B$4:$I$4,0),FALSE),0)</f>
        <v>2</v>
      </c>
      <c r="E145" s="34">
        <f>IFERROR(VLOOKUP($A145,Pivot!$A:$I,1+MATCH(E$3,Pivot!$B$4:$I$4,0),FALSE),0)</f>
        <v>0</v>
      </c>
      <c r="F145" s="34">
        <f>IFERROR(VLOOKUP($A145,Pivot!$A:$I,1+MATCH(F$3,Pivot!$B$4:$I$4,0),FALSE),0)</f>
        <v>0</v>
      </c>
      <c r="G145" s="34">
        <f>IFERROR(VLOOKUP($A145,Pivot!$A:$I,1+MATCH(G$3,Pivot!$B$4:$I$4,0),FALSE),0)</f>
        <v>0</v>
      </c>
      <c r="H145" s="34">
        <f>IFERROR(VLOOKUP($A145,Pivot!$A:$I,1+MATCH(H$3,Pivot!$B$4:$I$4,0),FALSE),0)</f>
        <v>0</v>
      </c>
      <c r="I145" s="34">
        <f>IFERROR(VLOOKUP($A145,Pivot!$A:$I,1+MATCH(I$3,Pivot!$B$4:$I$4,0),FALSE),0)</f>
        <v>0</v>
      </c>
      <c r="J145" s="34">
        <f>IFERROR(VLOOKUP($A145,Pivot!$A:$I,1+MATCH(J$3,Pivot!$B$4:$I$4,0),FALSE),0)</f>
        <v>0</v>
      </c>
      <c r="K145" s="34">
        <f>IFERROR(VLOOKUP($A145,Pivot!$A:$I,1+MATCH(K$3,Pivot!$B$4:$I$4,0),FALSE),0)</f>
        <v>1</v>
      </c>
      <c r="L145" s="34">
        <f>IFERROR(VLOOKUP($A145,Pivot!$A:$I,1+MATCH(L$3,Pivot!$B$4:$I$4,0),FALSE),0)</f>
        <v>0</v>
      </c>
      <c r="M145" s="34">
        <f>IFERROR(VLOOKUP($A145,Pivot!$A:$I,1+MATCH(M$3,Pivot!$B$4:$I$4,0),FALSE),0)</f>
        <v>0</v>
      </c>
      <c r="N145" s="34">
        <f t="shared" si="22"/>
        <v>3</v>
      </c>
    </row>
    <row r="146" spans="1:16" x14ac:dyDescent="0.25">
      <c r="A146" s="28" t="s">
        <v>125</v>
      </c>
      <c r="B146" s="34">
        <f>IFERROR(VLOOKUP($A146,Pivot!$A:$I,1+MATCH(B$3,Pivot!$B$4:$I$4,0),FALSE),0)</f>
        <v>0</v>
      </c>
      <c r="C146" s="34">
        <f>IFERROR(VLOOKUP($A146,Pivot!$A:$I,1+MATCH(C$3,Pivot!$B$4:$I$4,0),FALSE),0)</f>
        <v>0</v>
      </c>
      <c r="D146" s="34">
        <f>IFERROR(VLOOKUP($A146,Pivot!$A:$I,1+MATCH(D$3,Pivot!$B$4:$I$4,0),FALSE),0)</f>
        <v>2</v>
      </c>
      <c r="E146" s="34">
        <f>IFERROR(VLOOKUP($A146,Pivot!$A:$I,1+MATCH(E$3,Pivot!$B$4:$I$4,0),FALSE),0)</f>
        <v>0</v>
      </c>
      <c r="F146" s="34">
        <f>IFERROR(VLOOKUP($A146,Pivot!$A:$I,1+MATCH(F$3,Pivot!$B$4:$I$4,0),FALSE),0)</f>
        <v>0</v>
      </c>
      <c r="G146" s="34">
        <f>IFERROR(VLOOKUP($A146,Pivot!$A:$I,1+MATCH(G$3,Pivot!$B$4:$I$4,0),FALSE),0)</f>
        <v>0</v>
      </c>
      <c r="H146" s="34">
        <f>IFERROR(VLOOKUP($A146,Pivot!$A:$I,1+MATCH(H$3,Pivot!$B$4:$I$4,0),FALSE),0)</f>
        <v>0</v>
      </c>
      <c r="I146" s="34">
        <f>IFERROR(VLOOKUP($A146,Pivot!$A:$I,1+MATCH(I$3,Pivot!$B$4:$I$4,0),FALSE),0)</f>
        <v>0</v>
      </c>
      <c r="J146" s="34">
        <f>IFERROR(VLOOKUP($A146,Pivot!$A:$I,1+MATCH(J$3,Pivot!$B$4:$I$4,0),FALSE),0)</f>
        <v>0</v>
      </c>
      <c r="K146" s="34">
        <f>IFERROR(VLOOKUP($A146,Pivot!$A:$I,1+MATCH(K$3,Pivot!$B$4:$I$4,0),FALSE),0)</f>
        <v>0</v>
      </c>
      <c r="L146" s="34">
        <f>IFERROR(VLOOKUP($A146,Pivot!$A:$I,1+MATCH(L$3,Pivot!$B$4:$I$4,0),FALSE),0)</f>
        <v>0</v>
      </c>
      <c r="M146" s="34">
        <f>IFERROR(VLOOKUP($A146,Pivot!$A:$I,1+MATCH(M$3,Pivot!$B$4:$I$4,0),FALSE),0)</f>
        <v>0</v>
      </c>
      <c r="N146" s="34">
        <f t="shared" si="22"/>
        <v>2</v>
      </c>
    </row>
    <row r="147" spans="1:16" x14ac:dyDescent="0.25">
      <c r="A147" s="28" t="s">
        <v>126</v>
      </c>
      <c r="B147" s="34">
        <f>IFERROR(VLOOKUP($A147,Pivot!$A:$I,1+MATCH(B$3,Pivot!$B$4:$I$4,0),FALSE),0)</f>
        <v>0</v>
      </c>
      <c r="C147" s="34">
        <f>IFERROR(VLOOKUP($A147,Pivot!$A:$I,1+MATCH(C$3,Pivot!$B$4:$I$4,0),FALSE),0)</f>
        <v>0</v>
      </c>
      <c r="D147" s="34">
        <f>IFERROR(VLOOKUP($A147,Pivot!$A:$I,1+MATCH(D$3,Pivot!$B$4:$I$4,0),FALSE),0)</f>
        <v>2</v>
      </c>
      <c r="E147" s="34">
        <f>IFERROR(VLOOKUP($A147,Pivot!$A:$I,1+MATCH(E$3,Pivot!$B$4:$I$4,0),FALSE),0)</f>
        <v>0</v>
      </c>
      <c r="F147" s="34">
        <f>IFERROR(VLOOKUP($A147,Pivot!$A:$I,1+MATCH(F$3,Pivot!$B$4:$I$4,0),FALSE),0)</f>
        <v>0</v>
      </c>
      <c r="G147" s="34">
        <f>IFERROR(VLOOKUP($A147,Pivot!$A:$I,1+MATCH(G$3,Pivot!$B$4:$I$4,0),FALSE),0)</f>
        <v>0</v>
      </c>
      <c r="H147" s="34">
        <f>IFERROR(VLOOKUP($A147,Pivot!$A:$I,1+MATCH(H$3,Pivot!$B$4:$I$4,0),FALSE),0)</f>
        <v>0</v>
      </c>
      <c r="I147" s="34">
        <f>IFERROR(VLOOKUP($A147,Pivot!$A:$I,1+MATCH(I$3,Pivot!$B$4:$I$4,0),FALSE),0)</f>
        <v>0</v>
      </c>
      <c r="J147" s="34">
        <f>IFERROR(VLOOKUP($A147,Pivot!$A:$I,1+MATCH(J$3,Pivot!$B$4:$I$4,0),FALSE),0)</f>
        <v>0</v>
      </c>
      <c r="K147" s="34">
        <f>IFERROR(VLOOKUP($A147,Pivot!$A:$I,1+MATCH(K$3,Pivot!$B$4:$I$4,0),FALSE),0)</f>
        <v>0</v>
      </c>
      <c r="L147" s="34">
        <f>IFERROR(VLOOKUP($A147,Pivot!$A:$I,1+MATCH(L$3,Pivot!$B$4:$I$4,0),FALSE),0)</f>
        <v>0</v>
      </c>
      <c r="M147" s="34">
        <f>IFERROR(VLOOKUP($A147,Pivot!$A:$I,1+MATCH(M$3,Pivot!$B$4:$I$4,0),FALSE),0)</f>
        <v>0</v>
      </c>
      <c r="N147" s="34">
        <f t="shared" si="22"/>
        <v>2</v>
      </c>
    </row>
    <row r="148" spans="1:16" x14ac:dyDescent="0.25">
      <c r="A148" s="28" t="s">
        <v>127</v>
      </c>
      <c r="B148" s="34">
        <f>IFERROR(VLOOKUP($A148,Pivot!$A:$I,1+MATCH(B$3,Pivot!$B$4:$I$4,0),FALSE),0)</f>
        <v>0</v>
      </c>
      <c r="C148" s="34">
        <f>IFERROR(VLOOKUP($A148,Pivot!$A:$I,1+MATCH(C$3,Pivot!$B$4:$I$4,0),FALSE),0)</f>
        <v>0</v>
      </c>
      <c r="D148" s="34">
        <f>IFERROR(VLOOKUP($A148,Pivot!$A:$I,1+MATCH(D$3,Pivot!$B$4:$I$4,0),FALSE),0)</f>
        <v>9</v>
      </c>
      <c r="E148" s="34">
        <f>IFERROR(VLOOKUP($A148,Pivot!$A:$I,1+MATCH(E$3,Pivot!$B$4:$I$4,0),FALSE),0)</f>
        <v>0</v>
      </c>
      <c r="F148" s="34">
        <f>IFERROR(VLOOKUP($A148,Pivot!$A:$I,1+MATCH(F$3,Pivot!$B$4:$I$4,0),FALSE),0)</f>
        <v>0</v>
      </c>
      <c r="G148" s="34">
        <f>IFERROR(VLOOKUP($A148,Pivot!$A:$I,1+MATCH(G$3,Pivot!$B$4:$I$4,0),FALSE),0)</f>
        <v>0</v>
      </c>
      <c r="H148" s="34">
        <f>IFERROR(VLOOKUP($A148,Pivot!$A:$I,1+MATCH(H$3,Pivot!$B$4:$I$4,0),FALSE),0)</f>
        <v>0</v>
      </c>
      <c r="I148" s="34">
        <f>IFERROR(VLOOKUP($A148,Pivot!$A:$I,1+MATCH(I$3,Pivot!$B$4:$I$4,0),FALSE),0)</f>
        <v>0</v>
      </c>
      <c r="J148" s="34">
        <f>IFERROR(VLOOKUP($A148,Pivot!$A:$I,1+MATCH(J$3,Pivot!$B$4:$I$4,0),FALSE),0)</f>
        <v>0</v>
      </c>
      <c r="K148" s="34">
        <f>IFERROR(VLOOKUP($A148,Pivot!$A:$I,1+MATCH(K$3,Pivot!$B$4:$I$4,0),FALSE),0)</f>
        <v>0</v>
      </c>
      <c r="L148" s="34">
        <f>IFERROR(VLOOKUP($A148,Pivot!$A:$I,1+MATCH(L$3,Pivot!$B$4:$I$4,0),FALSE),0)</f>
        <v>0</v>
      </c>
      <c r="M148" s="34">
        <f>IFERROR(VLOOKUP($A148,Pivot!$A:$I,1+MATCH(M$3,Pivot!$B$4:$I$4,0),FALSE),0)</f>
        <v>0</v>
      </c>
      <c r="N148" s="34">
        <f t="shared" si="22"/>
        <v>9</v>
      </c>
    </row>
    <row r="149" spans="1:16" x14ac:dyDescent="0.25">
      <c r="A149" s="33" t="s">
        <v>128</v>
      </c>
      <c r="B149" s="32">
        <f>SUM(B150:B163)</f>
        <v>0</v>
      </c>
      <c r="C149" s="32">
        <f t="shared" ref="C149:N149" si="23">SUM(C150:C163)</f>
        <v>1</v>
      </c>
      <c r="D149" s="32">
        <f t="shared" si="23"/>
        <v>138</v>
      </c>
      <c r="E149" s="32">
        <f t="shared" si="23"/>
        <v>0</v>
      </c>
      <c r="F149" s="32">
        <f t="shared" ref="F149:M149" si="24">SUM(F150:F163)</f>
        <v>12</v>
      </c>
      <c r="G149" s="32">
        <f t="shared" si="24"/>
        <v>0</v>
      </c>
      <c r="H149" s="32">
        <f t="shared" si="24"/>
        <v>0</v>
      </c>
      <c r="I149" s="32">
        <f t="shared" si="24"/>
        <v>0</v>
      </c>
      <c r="J149" s="32">
        <f t="shared" si="24"/>
        <v>2</v>
      </c>
      <c r="K149" s="32">
        <f t="shared" si="24"/>
        <v>0</v>
      </c>
      <c r="L149" s="32">
        <f t="shared" si="24"/>
        <v>0</v>
      </c>
      <c r="M149" s="32">
        <f t="shared" si="24"/>
        <v>0</v>
      </c>
      <c r="N149" s="32">
        <f t="shared" si="23"/>
        <v>153</v>
      </c>
      <c r="O149" s="33"/>
      <c r="P149" s="33"/>
    </row>
    <row r="150" spans="1:16" x14ac:dyDescent="0.25">
      <c r="A150" s="28" t="s">
        <v>129</v>
      </c>
      <c r="B150" s="34">
        <f>IFERROR(VLOOKUP($A150,Pivot!$A:$I,1+MATCH(B$3,Pivot!$B$4:$I$4,0),FALSE),0)</f>
        <v>0</v>
      </c>
      <c r="C150" s="34">
        <f>IFERROR(VLOOKUP($A150,Pivot!$A:$I,1+MATCH(C$3,Pivot!$B$4:$I$4,0),FALSE),0)</f>
        <v>0</v>
      </c>
      <c r="D150" s="34">
        <f>IFERROR(VLOOKUP($A150,Pivot!$A:$I,1+MATCH(D$3,Pivot!$B$4:$I$4,0),FALSE),0)</f>
        <v>25</v>
      </c>
      <c r="E150" s="34">
        <f>IFERROR(VLOOKUP($A150,Pivot!$A:$I,1+MATCH(E$3,Pivot!$B$4:$I$4,0),FALSE),0)</f>
        <v>0</v>
      </c>
      <c r="F150" s="34">
        <f>IFERROR(VLOOKUP($A150,Pivot!$A:$I,1+MATCH(F$3,Pivot!$B$4:$I$4,0),FALSE),0)</f>
        <v>2</v>
      </c>
      <c r="G150" s="34">
        <f>IFERROR(VLOOKUP($A150,Pivot!$A:$I,1+MATCH(G$3,Pivot!$B$4:$I$4,0),FALSE),0)</f>
        <v>0</v>
      </c>
      <c r="H150" s="34">
        <f>IFERROR(VLOOKUP($A150,Pivot!$A:$I,1+MATCH(H$3,Pivot!$B$4:$I$4,0),FALSE),0)</f>
        <v>0</v>
      </c>
      <c r="I150" s="34">
        <f>IFERROR(VLOOKUP($A150,Pivot!$A:$I,1+MATCH(I$3,Pivot!$B$4:$I$4,0),FALSE),0)</f>
        <v>0</v>
      </c>
      <c r="J150" s="34">
        <f>IFERROR(VLOOKUP($A150,Pivot!$A:$I,1+MATCH(J$3,Pivot!$B$4:$I$4,0),FALSE),0)</f>
        <v>0</v>
      </c>
      <c r="K150" s="34">
        <f>IFERROR(VLOOKUP($A150,Pivot!$A:$I,1+MATCH(K$3,Pivot!$B$4:$I$4,0),FALSE),0)</f>
        <v>0</v>
      </c>
      <c r="L150" s="34">
        <f>IFERROR(VLOOKUP($A150,Pivot!$A:$I,1+MATCH(L$3,Pivot!$B$4:$I$4,0),FALSE),0)</f>
        <v>0</v>
      </c>
      <c r="M150" s="34">
        <f>IFERROR(VLOOKUP($A150,Pivot!$A:$I,1+MATCH(M$3,Pivot!$B$4:$I$4,0),FALSE),0)</f>
        <v>0</v>
      </c>
      <c r="N150" s="34">
        <f t="shared" ref="N150:N163" si="25">SUM(B150:M150)</f>
        <v>27</v>
      </c>
    </row>
    <row r="151" spans="1:16" x14ac:dyDescent="0.25">
      <c r="A151" s="28" t="s">
        <v>627</v>
      </c>
      <c r="B151" s="34">
        <f>IFERROR(VLOOKUP($A151,Pivot!$A:$I,1+MATCH(B$3,Pivot!$B$4:$I$4,0),FALSE),0)</f>
        <v>0</v>
      </c>
      <c r="C151" s="34">
        <f>IFERROR(VLOOKUP($A151,Pivot!$A:$I,1+MATCH(C$3,Pivot!$B$4:$I$4,0),FALSE),0)</f>
        <v>0</v>
      </c>
      <c r="D151" s="34">
        <f>IFERROR(VLOOKUP($A151,Pivot!$A:$I,1+MATCH(D$3,Pivot!$B$4:$I$4,0),FALSE),0)</f>
        <v>5</v>
      </c>
      <c r="E151" s="34">
        <f>IFERROR(VLOOKUP($A151,Pivot!$A:$I,1+MATCH(E$3,Pivot!$B$4:$I$4,0),FALSE),0)</f>
        <v>0</v>
      </c>
      <c r="F151" s="34">
        <f>IFERROR(VLOOKUP($A151,Pivot!$A:$I,1+MATCH(F$3,Pivot!$B$4:$I$4,0),FALSE),0)</f>
        <v>0</v>
      </c>
      <c r="G151" s="34">
        <f>IFERROR(VLOOKUP($A151,Pivot!$A:$I,1+MATCH(G$3,Pivot!$B$4:$I$4,0),FALSE),0)</f>
        <v>0</v>
      </c>
      <c r="H151" s="34">
        <f>IFERROR(VLOOKUP($A151,Pivot!$A:$I,1+MATCH(H$3,Pivot!$B$4:$I$4,0),FALSE),0)</f>
        <v>0</v>
      </c>
      <c r="I151" s="34">
        <f>IFERROR(VLOOKUP($A151,Pivot!$A:$I,1+MATCH(I$3,Pivot!$B$4:$I$4,0),FALSE),0)</f>
        <v>0</v>
      </c>
      <c r="J151" s="34">
        <f>IFERROR(VLOOKUP($A151,Pivot!$A:$I,1+MATCH(J$3,Pivot!$B$4:$I$4,0),FALSE),0)</f>
        <v>0</v>
      </c>
      <c r="K151" s="34">
        <f>IFERROR(VLOOKUP($A151,Pivot!$A:$I,1+MATCH(K$3,Pivot!$B$4:$I$4,0),FALSE),0)</f>
        <v>0</v>
      </c>
      <c r="L151" s="34">
        <f>IFERROR(VLOOKUP($A151,Pivot!$A:$I,1+MATCH(L$3,Pivot!$B$4:$I$4,0),FALSE),0)</f>
        <v>0</v>
      </c>
      <c r="M151" s="34">
        <f>IFERROR(VLOOKUP($A151,Pivot!$A:$I,1+MATCH(M$3,Pivot!$B$4:$I$4,0),FALSE),0)</f>
        <v>0</v>
      </c>
      <c r="N151" s="34">
        <f t="shared" si="25"/>
        <v>5</v>
      </c>
    </row>
    <row r="152" spans="1:16" x14ac:dyDescent="0.25">
      <c r="A152" s="28" t="s">
        <v>130</v>
      </c>
      <c r="B152" s="34">
        <f>IFERROR(VLOOKUP($A152,Pivot!$A:$I,1+MATCH(B$3,Pivot!$B$4:$I$4,0),FALSE),0)</f>
        <v>0</v>
      </c>
      <c r="C152" s="34">
        <f>IFERROR(VLOOKUP($A152,Pivot!$A:$I,1+MATCH(C$3,Pivot!$B$4:$I$4,0),FALSE),0)</f>
        <v>0</v>
      </c>
      <c r="D152" s="34">
        <f>IFERROR(VLOOKUP($A152,Pivot!$A:$I,1+MATCH(D$3,Pivot!$B$4:$I$4,0),FALSE),0)</f>
        <v>4</v>
      </c>
      <c r="E152" s="34">
        <f>IFERROR(VLOOKUP($A152,Pivot!$A:$I,1+MATCH(E$3,Pivot!$B$4:$I$4,0),FALSE),0)</f>
        <v>0</v>
      </c>
      <c r="F152" s="34">
        <f>IFERROR(VLOOKUP($A152,Pivot!$A:$I,1+MATCH(F$3,Pivot!$B$4:$I$4,0),FALSE),0)</f>
        <v>0</v>
      </c>
      <c r="G152" s="34">
        <f>IFERROR(VLOOKUP($A152,Pivot!$A:$I,1+MATCH(G$3,Pivot!$B$4:$I$4,0),FALSE),0)</f>
        <v>0</v>
      </c>
      <c r="H152" s="34">
        <f>IFERROR(VLOOKUP($A152,Pivot!$A:$I,1+MATCH(H$3,Pivot!$B$4:$I$4,0),FALSE),0)</f>
        <v>0</v>
      </c>
      <c r="I152" s="34">
        <f>IFERROR(VLOOKUP($A152,Pivot!$A:$I,1+MATCH(I$3,Pivot!$B$4:$I$4,0),FALSE),0)</f>
        <v>0</v>
      </c>
      <c r="J152" s="34">
        <f>IFERROR(VLOOKUP($A152,Pivot!$A:$I,1+MATCH(J$3,Pivot!$B$4:$I$4,0),FALSE),0)</f>
        <v>0</v>
      </c>
      <c r="K152" s="34">
        <f>IFERROR(VLOOKUP($A152,Pivot!$A:$I,1+MATCH(K$3,Pivot!$B$4:$I$4,0),FALSE),0)</f>
        <v>0</v>
      </c>
      <c r="L152" s="34">
        <f>IFERROR(VLOOKUP($A152,Pivot!$A:$I,1+MATCH(L$3,Pivot!$B$4:$I$4,0),FALSE),0)</f>
        <v>0</v>
      </c>
      <c r="M152" s="34">
        <f>IFERROR(VLOOKUP($A152,Pivot!$A:$I,1+MATCH(M$3,Pivot!$B$4:$I$4,0),FALSE),0)</f>
        <v>0</v>
      </c>
      <c r="N152" s="34">
        <f t="shared" si="25"/>
        <v>4</v>
      </c>
    </row>
    <row r="153" spans="1:16" x14ac:dyDescent="0.25">
      <c r="A153" s="28" t="s">
        <v>131</v>
      </c>
      <c r="B153" s="34">
        <f>IFERROR(VLOOKUP($A153,Pivot!$A:$I,1+MATCH(B$3,Pivot!$B$4:$I$4,0),FALSE),0)</f>
        <v>0</v>
      </c>
      <c r="C153" s="34">
        <f>IFERROR(VLOOKUP($A153,Pivot!$A:$I,1+MATCH(C$3,Pivot!$B$4:$I$4,0),FALSE),0)</f>
        <v>0</v>
      </c>
      <c r="D153" s="34">
        <f>IFERROR(VLOOKUP($A153,Pivot!$A:$I,1+MATCH(D$3,Pivot!$B$4:$I$4,0),FALSE),0)</f>
        <v>4</v>
      </c>
      <c r="E153" s="34">
        <f>IFERROR(VLOOKUP($A153,Pivot!$A:$I,1+MATCH(E$3,Pivot!$B$4:$I$4,0),FALSE),0)</f>
        <v>0</v>
      </c>
      <c r="F153" s="34">
        <f>IFERROR(VLOOKUP($A153,Pivot!$A:$I,1+MATCH(F$3,Pivot!$B$4:$I$4,0),FALSE),0)</f>
        <v>2</v>
      </c>
      <c r="G153" s="34">
        <f>IFERROR(VLOOKUP($A153,Pivot!$A:$I,1+MATCH(G$3,Pivot!$B$4:$I$4,0),FALSE),0)</f>
        <v>0</v>
      </c>
      <c r="H153" s="34">
        <f>IFERROR(VLOOKUP($A153,Pivot!$A:$I,1+MATCH(H$3,Pivot!$B$4:$I$4,0),FALSE),0)</f>
        <v>0</v>
      </c>
      <c r="I153" s="34">
        <f>IFERROR(VLOOKUP($A153,Pivot!$A:$I,1+MATCH(I$3,Pivot!$B$4:$I$4,0),FALSE),0)</f>
        <v>0</v>
      </c>
      <c r="J153" s="34">
        <f>IFERROR(VLOOKUP($A153,Pivot!$A:$I,1+MATCH(J$3,Pivot!$B$4:$I$4,0),FALSE),0)</f>
        <v>0</v>
      </c>
      <c r="K153" s="34">
        <f>IFERROR(VLOOKUP($A153,Pivot!$A:$I,1+MATCH(K$3,Pivot!$B$4:$I$4,0),FALSE),0)</f>
        <v>0</v>
      </c>
      <c r="L153" s="34">
        <f>IFERROR(VLOOKUP($A153,Pivot!$A:$I,1+MATCH(L$3,Pivot!$B$4:$I$4,0),FALSE),0)</f>
        <v>0</v>
      </c>
      <c r="M153" s="34">
        <f>IFERROR(VLOOKUP($A153,Pivot!$A:$I,1+MATCH(M$3,Pivot!$B$4:$I$4,0),FALSE),0)</f>
        <v>0</v>
      </c>
      <c r="N153" s="34">
        <f t="shared" si="25"/>
        <v>6</v>
      </c>
    </row>
    <row r="154" spans="1:16" x14ac:dyDescent="0.25">
      <c r="A154" s="28" t="s">
        <v>132</v>
      </c>
      <c r="B154" s="34">
        <f>IFERROR(VLOOKUP($A154,Pivot!$A:$I,1+MATCH(B$3,Pivot!$B$4:$I$4,0),FALSE),0)</f>
        <v>0</v>
      </c>
      <c r="C154" s="34">
        <f>IFERROR(VLOOKUP($A154,Pivot!$A:$I,1+MATCH(C$3,Pivot!$B$4:$I$4,0),FALSE),0)</f>
        <v>0</v>
      </c>
      <c r="D154" s="34">
        <f>IFERROR(VLOOKUP($A154,Pivot!$A:$I,1+MATCH(D$3,Pivot!$B$4:$I$4,0),FALSE),0)</f>
        <v>7</v>
      </c>
      <c r="E154" s="34">
        <f>IFERROR(VLOOKUP($A154,Pivot!$A:$I,1+MATCH(E$3,Pivot!$B$4:$I$4,0),FALSE),0)</f>
        <v>0</v>
      </c>
      <c r="F154" s="34">
        <f>IFERROR(VLOOKUP($A154,Pivot!$A:$I,1+MATCH(F$3,Pivot!$B$4:$I$4,0),FALSE),0)</f>
        <v>3</v>
      </c>
      <c r="G154" s="34">
        <f>IFERROR(VLOOKUP($A154,Pivot!$A:$I,1+MATCH(G$3,Pivot!$B$4:$I$4,0),FALSE),0)</f>
        <v>0</v>
      </c>
      <c r="H154" s="34">
        <f>IFERROR(VLOOKUP($A154,Pivot!$A:$I,1+MATCH(H$3,Pivot!$B$4:$I$4,0),FALSE),0)</f>
        <v>0</v>
      </c>
      <c r="I154" s="34">
        <f>IFERROR(VLOOKUP($A154,Pivot!$A:$I,1+MATCH(I$3,Pivot!$B$4:$I$4,0),FALSE),0)</f>
        <v>0</v>
      </c>
      <c r="J154" s="34">
        <f>IFERROR(VLOOKUP($A154,Pivot!$A:$I,1+MATCH(J$3,Pivot!$B$4:$I$4,0),FALSE),0)</f>
        <v>0</v>
      </c>
      <c r="K154" s="34">
        <f>IFERROR(VLOOKUP($A154,Pivot!$A:$I,1+MATCH(K$3,Pivot!$B$4:$I$4,0),FALSE),0)</f>
        <v>0</v>
      </c>
      <c r="L154" s="34">
        <f>IFERROR(VLOOKUP($A154,Pivot!$A:$I,1+MATCH(L$3,Pivot!$B$4:$I$4,0),FALSE),0)</f>
        <v>0</v>
      </c>
      <c r="M154" s="34">
        <f>IFERROR(VLOOKUP($A154,Pivot!$A:$I,1+MATCH(M$3,Pivot!$B$4:$I$4,0),FALSE),0)</f>
        <v>0</v>
      </c>
      <c r="N154" s="34">
        <f t="shared" si="25"/>
        <v>10</v>
      </c>
    </row>
    <row r="155" spans="1:16" x14ac:dyDescent="0.25">
      <c r="A155" s="28" t="s">
        <v>133</v>
      </c>
      <c r="B155" s="34">
        <f>IFERROR(VLOOKUP($A155,Pivot!$A:$I,1+MATCH(B$3,Pivot!$B$4:$I$4,0),FALSE),0)</f>
        <v>0</v>
      </c>
      <c r="C155" s="34">
        <f>IFERROR(VLOOKUP($A155,Pivot!$A:$I,1+MATCH(C$3,Pivot!$B$4:$I$4,0),FALSE),0)</f>
        <v>0</v>
      </c>
      <c r="D155" s="34">
        <f>IFERROR(VLOOKUP($A155,Pivot!$A:$I,1+MATCH(D$3,Pivot!$B$4:$I$4,0),FALSE),0)</f>
        <v>14</v>
      </c>
      <c r="E155" s="34">
        <f>IFERROR(VLOOKUP($A155,Pivot!$A:$I,1+MATCH(E$3,Pivot!$B$4:$I$4,0),FALSE),0)</f>
        <v>0</v>
      </c>
      <c r="F155" s="34">
        <f>IFERROR(VLOOKUP($A155,Pivot!$A:$I,1+MATCH(F$3,Pivot!$B$4:$I$4,0),FALSE),0)</f>
        <v>0</v>
      </c>
      <c r="G155" s="34">
        <f>IFERROR(VLOOKUP($A155,Pivot!$A:$I,1+MATCH(G$3,Pivot!$B$4:$I$4,0),FALSE),0)</f>
        <v>0</v>
      </c>
      <c r="H155" s="34">
        <f>IFERROR(VLOOKUP($A155,Pivot!$A:$I,1+MATCH(H$3,Pivot!$B$4:$I$4,0),FALSE),0)</f>
        <v>0</v>
      </c>
      <c r="I155" s="34">
        <f>IFERROR(VLOOKUP($A155,Pivot!$A:$I,1+MATCH(I$3,Pivot!$B$4:$I$4,0),FALSE),0)</f>
        <v>0</v>
      </c>
      <c r="J155" s="34">
        <f>IFERROR(VLOOKUP($A155,Pivot!$A:$I,1+MATCH(J$3,Pivot!$B$4:$I$4,0),FALSE),0)</f>
        <v>1</v>
      </c>
      <c r="K155" s="34">
        <f>IFERROR(VLOOKUP($A155,Pivot!$A:$I,1+MATCH(K$3,Pivot!$B$4:$I$4,0),FALSE),0)</f>
        <v>0</v>
      </c>
      <c r="L155" s="34">
        <f>IFERROR(VLOOKUP($A155,Pivot!$A:$I,1+MATCH(L$3,Pivot!$B$4:$I$4,0),FALSE),0)</f>
        <v>0</v>
      </c>
      <c r="M155" s="34">
        <f>IFERROR(VLOOKUP($A155,Pivot!$A:$I,1+MATCH(M$3,Pivot!$B$4:$I$4,0),FALSE),0)</f>
        <v>0</v>
      </c>
      <c r="N155" s="34">
        <f t="shared" si="25"/>
        <v>15</v>
      </c>
    </row>
    <row r="156" spans="1:16" x14ac:dyDescent="0.25">
      <c r="A156" s="28" t="s">
        <v>711</v>
      </c>
      <c r="B156" s="34">
        <f>IFERROR(VLOOKUP($A156,Pivot!$A:$I,1+MATCH(B$3,Pivot!$B$4:$I$4,0),FALSE),0)</f>
        <v>0</v>
      </c>
      <c r="C156" s="34">
        <f>IFERROR(VLOOKUP($A156,Pivot!$A:$I,1+MATCH(C$3,Pivot!$B$4:$I$4,0),FALSE),0)</f>
        <v>0</v>
      </c>
      <c r="D156" s="34">
        <f>IFERROR(VLOOKUP($A156,Pivot!$A:$I,1+MATCH(D$3,Pivot!$B$4:$I$4,0),FALSE),0)</f>
        <v>0</v>
      </c>
      <c r="E156" s="34">
        <f>IFERROR(VLOOKUP($A156,Pivot!$A:$I,1+MATCH(E$3,Pivot!$B$4:$I$4,0),FALSE),0)</f>
        <v>0</v>
      </c>
      <c r="F156" s="34">
        <f>IFERROR(VLOOKUP($A156,Pivot!$A:$I,1+MATCH(F$3,Pivot!$B$4:$I$4,0),FALSE),0)</f>
        <v>0</v>
      </c>
      <c r="G156" s="34">
        <f>IFERROR(VLOOKUP($A156,Pivot!$A:$I,1+MATCH(G$3,Pivot!$B$4:$I$4,0),FALSE),0)</f>
        <v>0</v>
      </c>
      <c r="H156" s="34">
        <f>IFERROR(VLOOKUP($A156,Pivot!$A:$I,1+MATCH(H$3,Pivot!$B$4:$I$4,0),FALSE),0)</f>
        <v>0</v>
      </c>
      <c r="I156" s="34">
        <f>IFERROR(VLOOKUP($A156,Pivot!$A:$I,1+MATCH(I$3,Pivot!$B$4:$I$4,0),FALSE),0)</f>
        <v>0</v>
      </c>
      <c r="J156" s="34">
        <f>IFERROR(VLOOKUP($A156,Pivot!$A:$I,1+MATCH(J$3,Pivot!$B$4:$I$4,0),FALSE),0)</f>
        <v>0</v>
      </c>
      <c r="K156" s="34">
        <f>IFERROR(VLOOKUP($A156,Pivot!$A:$I,1+MATCH(K$3,Pivot!$B$4:$I$4,0),FALSE),0)</f>
        <v>0</v>
      </c>
      <c r="L156" s="34">
        <f>IFERROR(VLOOKUP($A156,Pivot!$A:$I,1+MATCH(L$3,Pivot!$B$4:$I$4,0),FALSE),0)</f>
        <v>0</v>
      </c>
      <c r="M156" s="34">
        <f>IFERROR(VLOOKUP($A156,Pivot!$A:$I,1+MATCH(M$3,Pivot!$B$4:$I$4,0),FALSE),0)</f>
        <v>0</v>
      </c>
      <c r="N156" s="34">
        <f t="shared" si="25"/>
        <v>0</v>
      </c>
    </row>
    <row r="157" spans="1:16" x14ac:dyDescent="0.25">
      <c r="A157" s="28" t="s">
        <v>134</v>
      </c>
      <c r="B157" s="34">
        <f>IFERROR(VLOOKUP($A157,Pivot!$A:$I,1+MATCH(B$3,Pivot!$B$4:$I$4,0),FALSE),0)</f>
        <v>0</v>
      </c>
      <c r="C157" s="34">
        <f>IFERROR(VLOOKUP($A157,Pivot!$A:$I,1+MATCH(C$3,Pivot!$B$4:$I$4,0),FALSE),0)</f>
        <v>0</v>
      </c>
      <c r="D157" s="34">
        <f>IFERROR(VLOOKUP($A157,Pivot!$A:$I,1+MATCH(D$3,Pivot!$B$4:$I$4,0),FALSE),0)</f>
        <v>42</v>
      </c>
      <c r="E157" s="34">
        <f>IFERROR(VLOOKUP($A157,Pivot!$A:$I,1+MATCH(E$3,Pivot!$B$4:$I$4,0),FALSE),0)</f>
        <v>0</v>
      </c>
      <c r="F157" s="34">
        <f>IFERROR(VLOOKUP($A157,Pivot!$A:$I,1+MATCH(F$3,Pivot!$B$4:$I$4,0),FALSE),0)</f>
        <v>1</v>
      </c>
      <c r="G157" s="34">
        <f>IFERROR(VLOOKUP($A157,Pivot!$A:$I,1+MATCH(G$3,Pivot!$B$4:$I$4,0),FALSE),0)</f>
        <v>0</v>
      </c>
      <c r="H157" s="34">
        <f>IFERROR(VLOOKUP($A157,Pivot!$A:$I,1+MATCH(H$3,Pivot!$B$4:$I$4,0),FALSE),0)</f>
        <v>0</v>
      </c>
      <c r="I157" s="34">
        <f>IFERROR(VLOOKUP($A157,Pivot!$A:$I,1+MATCH(I$3,Pivot!$B$4:$I$4,0),FALSE),0)</f>
        <v>0</v>
      </c>
      <c r="J157" s="34">
        <f>IFERROR(VLOOKUP($A157,Pivot!$A:$I,1+MATCH(J$3,Pivot!$B$4:$I$4,0),FALSE),0)</f>
        <v>0</v>
      </c>
      <c r="K157" s="34">
        <f>IFERROR(VLOOKUP($A157,Pivot!$A:$I,1+MATCH(K$3,Pivot!$B$4:$I$4,0),FALSE),0)</f>
        <v>0</v>
      </c>
      <c r="L157" s="34">
        <f>IFERROR(VLOOKUP($A157,Pivot!$A:$I,1+MATCH(L$3,Pivot!$B$4:$I$4,0),FALSE),0)</f>
        <v>0</v>
      </c>
      <c r="M157" s="34">
        <f>IFERROR(VLOOKUP($A157,Pivot!$A:$I,1+MATCH(M$3,Pivot!$B$4:$I$4,0),FALSE),0)</f>
        <v>0</v>
      </c>
      <c r="N157" s="34">
        <f t="shared" si="25"/>
        <v>43</v>
      </c>
    </row>
    <row r="158" spans="1:16" x14ac:dyDescent="0.25">
      <c r="A158" s="28" t="s">
        <v>135</v>
      </c>
      <c r="B158" s="34">
        <f>IFERROR(VLOOKUP($A158,Pivot!$A:$I,1+MATCH(B$3,Pivot!$B$4:$I$4,0),FALSE),0)</f>
        <v>0</v>
      </c>
      <c r="C158" s="34">
        <f>IFERROR(VLOOKUP($A158,Pivot!$A:$I,1+MATCH(C$3,Pivot!$B$4:$I$4,0),FALSE),0)</f>
        <v>0</v>
      </c>
      <c r="D158" s="34">
        <f>IFERROR(VLOOKUP($A158,Pivot!$A:$I,1+MATCH(D$3,Pivot!$B$4:$I$4,0),FALSE),0)</f>
        <v>6</v>
      </c>
      <c r="E158" s="34">
        <f>IFERROR(VLOOKUP($A158,Pivot!$A:$I,1+MATCH(E$3,Pivot!$B$4:$I$4,0),FALSE),0)</f>
        <v>0</v>
      </c>
      <c r="F158" s="34">
        <f>IFERROR(VLOOKUP($A158,Pivot!$A:$I,1+MATCH(F$3,Pivot!$B$4:$I$4,0),FALSE),0)</f>
        <v>0</v>
      </c>
      <c r="G158" s="34">
        <f>IFERROR(VLOOKUP($A158,Pivot!$A:$I,1+MATCH(G$3,Pivot!$B$4:$I$4,0),FALSE),0)</f>
        <v>0</v>
      </c>
      <c r="H158" s="34">
        <f>IFERROR(VLOOKUP($A158,Pivot!$A:$I,1+MATCH(H$3,Pivot!$B$4:$I$4,0),FALSE),0)</f>
        <v>0</v>
      </c>
      <c r="I158" s="34">
        <f>IFERROR(VLOOKUP($A158,Pivot!$A:$I,1+MATCH(I$3,Pivot!$B$4:$I$4,0),FALSE),0)</f>
        <v>0</v>
      </c>
      <c r="J158" s="34">
        <f>IFERROR(VLOOKUP($A158,Pivot!$A:$I,1+MATCH(J$3,Pivot!$B$4:$I$4,0),FALSE),0)</f>
        <v>0</v>
      </c>
      <c r="K158" s="34">
        <f>IFERROR(VLOOKUP($A158,Pivot!$A:$I,1+MATCH(K$3,Pivot!$B$4:$I$4,0),FALSE),0)</f>
        <v>0</v>
      </c>
      <c r="L158" s="34">
        <f>IFERROR(VLOOKUP($A158,Pivot!$A:$I,1+MATCH(L$3,Pivot!$B$4:$I$4,0),FALSE),0)</f>
        <v>0</v>
      </c>
      <c r="M158" s="34">
        <f>IFERROR(VLOOKUP($A158,Pivot!$A:$I,1+MATCH(M$3,Pivot!$B$4:$I$4,0),FALSE),0)</f>
        <v>0</v>
      </c>
      <c r="N158" s="34">
        <f t="shared" si="25"/>
        <v>6</v>
      </c>
    </row>
    <row r="159" spans="1:16" x14ac:dyDescent="0.25">
      <c r="A159" s="28" t="s">
        <v>136</v>
      </c>
      <c r="B159" s="34">
        <f>IFERROR(VLOOKUP($A159,Pivot!$A:$I,1+MATCH(B$3,Pivot!$B$4:$I$4,0),FALSE),0)</f>
        <v>0</v>
      </c>
      <c r="C159" s="34">
        <f>IFERROR(VLOOKUP($A159,Pivot!$A:$I,1+MATCH(C$3,Pivot!$B$4:$I$4,0),FALSE),0)</f>
        <v>0</v>
      </c>
      <c r="D159" s="34">
        <f>IFERROR(VLOOKUP($A159,Pivot!$A:$I,1+MATCH(D$3,Pivot!$B$4:$I$4,0),FALSE),0)</f>
        <v>7</v>
      </c>
      <c r="E159" s="34">
        <f>IFERROR(VLOOKUP($A159,Pivot!$A:$I,1+MATCH(E$3,Pivot!$B$4:$I$4,0),FALSE),0)</f>
        <v>0</v>
      </c>
      <c r="F159" s="34">
        <f>IFERROR(VLOOKUP($A159,Pivot!$A:$I,1+MATCH(F$3,Pivot!$B$4:$I$4,0),FALSE),0)</f>
        <v>0</v>
      </c>
      <c r="G159" s="34">
        <f>IFERROR(VLOOKUP($A159,Pivot!$A:$I,1+MATCH(G$3,Pivot!$B$4:$I$4,0),FALSE),0)</f>
        <v>0</v>
      </c>
      <c r="H159" s="34">
        <f>IFERROR(VLOOKUP($A159,Pivot!$A:$I,1+MATCH(H$3,Pivot!$B$4:$I$4,0),FALSE),0)</f>
        <v>0</v>
      </c>
      <c r="I159" s="34">
        <f>IFERROR(VLOOKUP($A159,Pivot!$A:$I,1+MATCH(I$3,Pivot!$B$4:$I$4,0),FALSE),0)</f>
        <v>0</v>
      </c>
      <c r="J159" s="34">
        <f>IFERROR(VLOOKUP($A159,Pivot!$A:$I,1+MATCH(J$3,Pivot!$B$4:$I$4,0),FALSE),0)</f>
        <v>0</v>
      </c>
      <c r="K159" s="34">
        <f>IFERROR(VLOOKUP($A159,Pivot!$A:$I,1+MATCH(K$3,Pivot!$B$4:$I$4,0),FALSE),0)</f>
        <v>0</v>
      </c>
      <c r="L159" s="34">
        <f>IFERROR(VLOOKUP($A159,Pivot!$A:$I,1+MATCH(L$3,Pivot!$B$4:$I$4,0),FALSE),0)</f>
        <v>0</v>
      </c>
      <c r="M159" s="34">
        <f>IFERROR(VLOOKUP($A159,Pivot!$A:$I,1+MATCH(M$3,Pivot!$B$4:$I$4,0),FALSE),0)</f>
        <v>0</v>
      </c>
      <c r="N159" s="34">
        <f t="shared" si="25"/>
        <v>7</v>
      </c>
    </row>
    <row r="160" spans="1:16" x14ac:dyDescent="0.25">
      <c r="A160" s="28" t="s">
        <v>137</v>
      </c>
      <c r="B160" s="34">
        <f>IFERROR(VLOOKUP($A160,Pivot!$A:$I,1+MATCH(B$3,Pivot!$B$4:$I$4,0),FALSE),0)</f>
        <v>0</v>
      </c>
      <c r="C160" s="34">
        <f>IFERROR(VLOOKUP($A160,Pivot!$A:$I,1+MATCH(C$3,Pivot!$B$4:$I$4,0),FALSE),0)</f>
        <v>0</v>
      </c>
      <c r="D160" s="34">
        <f>IFERROR(VLOOKUP($A160,Pivot!$A:$I,1+MATCH(D$3,Pivot!$B$4:$I$4,0),FALSE),0)</f>
        <v>4</v>
      </c>
      <c r="E160" s="34">
        <f>IFERROR(VLOOKUP($A160,Pivot!$A:$I,1+MATCH(E$3,Pivot!$B$4:$I$4,0),FALSE),0)</f>
        <v>0</v>
      </c>
      <c r="F160" s="34">
        <f>IFERROR(VLOOKUP($A160,Pivot!$A:$I,1+MATCH(F$3,Pivot!$B$4:$I$4,0),FALSE),0)</f>
        <v>1</v>
      </c>
      <c r="G160" s="34">
        <f>IFERROR(VLOOKUP($A160,Pivot!$A:$I,1+MATCH(G$3,Pivot!$B$4:$I$4,0),FALSE),0)</f>
        <v>0</v>
      </c>
      <c r="H160" s="34">
        <f>IFERROR(VLOOKUP($A160,Pivot!$A:$I,1+MATCH(H$3,Pivot!$B$4:$I$4,0),FALSE),0)</f>
        <v>0</v>
      </c>
      <c r="I160" s="34">
        <f>IFERROR(VLOOKUP($A160,Pivot!$A:$I,1+MATCH(I$3,Pivot!$B$4:$I$4,0),FALSE),0)</f>
        <v>0</v>
      </c>
      <c r="J160" s="34">
        <f>IFERROR(VLOOKUP($A160,Pivot!$A:$I,1+MATCH(J$3,Pivot!$B$4:$I$4,0),FALSE),0)</f>
        <v>0</v>
      </c>
      <c r="K160" s="34">
        <f>IFERROR(VLOOKUP($A160,Pivot!$A:$I,1+MATCH(K$3,Pivot!$B$4:$I$4,0),FALSE),0)</f>
        <v>0</v>
      </c>
      <c r="L160" s="34">
        <f>IFERROR(VLOOKUP($A160,Pivot!$A:$I,1+MATCH(L$3,Pivot!$B$4:$I$4,0),FALSE),0)</f>
        <v>0</v>
      </c>
      <c r="M160" s="34">
        <f>IFERROR(VLOOKUP($A160,Pivot!$A:$I,1+MATCH(M$3,Pivot!$B$4:$I$4,0),FALSE),0)</f>
        <v>0</v>
      </c>
      <c r="N160" s="34">
        <f t="shared" si="25"/>
        <v>5</v>
      </c>
    </row>
    <row r="161" spans="1:14" x14ac:dyDescent="0.25">
      <c r="A161" s="28" t="s">
        <v>138</v>
      </c>
      <c r="B161" s="34">
        <f>IFERROR(VLOOKUP($A161,Pivot!$A:$I,1+MATCH(B$3,Pivot!$B$4:$I$4,0),FALSE),0)</f>
        <v>0</v>
      </c>
      <c r="C161" s="34">
        <f>IFERROR(VLOOKUP($A161,Pivot!$A:$I,1+MATCH(C$3,Pivot!$B$4:$I$4,0),FALSE),0)</f>
        <v>0</v>
      </c>
      <c r="D161" s="34">
        <f>IFERROR(VLOOKUP($A161,Pivot!$A:$I,1+MATCH(D$3,Pivot!$B$4:$I$4,0),FALSE),0)</f>
        <v>6</v>
      </c>
      <c r="E161" s="34">
        <f>IFERROR(VLOOKUP($A161,Pivot!$A:$I,1+MATCH(E$3,Pivot!$B$4:$I$4,0),FALSE),0)</f>
        <v>0</v>
      </c>
      <c r="F161" s="34">
        <f>IFERROR(VLOOKUP($A161,Pivot!$A:$I,1+MATCH(F$3,Pivot!$B$4:$I$4,0),FALSE),0)</f>
        <v>0</v>
      </c>
      <c r="G161" s="34">
        <f>IFERROR(VLOOKUP($A161,Pivot!$A:$I,1+MATCH(G$3,Pivot!$B$4:$I$4,0),FALSE),0)</f>
        <v>0</v>
      </c>
      <c r="H161" s="34">
        <f>IFERROR(VLOOKUP($A161,Pivot!$A:$I,1+MATCH(H$3,Pivot!$B$4:$I$4,0),FALSE),0)</f>
        <v>0</v>
      </c>
      <c r="I161" s="34">
        <f>IFERROR(VLOOKUP($A161,Pivot!$A:$I,1+MATCH(I$3,Pivot!$B$4:$I$4,0),FALSE),0)</f>
        <v>0</v>
      </c>
      <c r="J161" s="34">
        <f>IFERROR(VLOOKUP($A161,Pivot!$A:$I,1+MATCH(J$3,Pivot!$B$4:$I$4,0),FALSE),0)</f>
        <v>1</v>
      </c>
      <c r="K161" s="34">
        <f>IFERROR(VLOOKUP($A161,Pivot!$A:$I,1+MATCH(K$3,Pivot!$B$4:$I$4,0),FALSE),0)</f>
        <v>0</v>
      </c>
      <c r="L161" s="34">
        <f>IFERROR(VLOOKUP($A161,Pivot!$A:$I,1+MATCH(L$3,Pivot!$B$4:$I$4,0),FALSE),0)</f>
        <v>0</v>
      </c>
      <c r="M161" s="34">
        <f>IFERROR(VLOOKUP($A161,Pivot!$A:$I,1+MATCH(M$3,Pivot!$B$4:$I$4,0),FALSE),0)</f>
        <v>0</v>
      </c>
      <c r="N161" s="34">
        <f t="shared" si="25"/>
        <v>7</v>
      </c>
    </row>
    <row r="162" spans="1:14" x14ac:dyDescent="0.25">
      <c r="A162" s="28" t="s">
        <v>139</v>
      </c>
      <c r="B162" s="34">
        <f>IFERROR(VLOOKUP($A162,Pivot!$A:$I,1+MATCH(B$3,Pivot!$B$4:$I$4,0),FALSE),0)</f>
        <v>0</v>
      </c>
      <c r="C162" s="34">
        <f>IFERROR(VLOOKUP($A162,Pivot!$A:$I,1+MATCH(C$3,Pivot!$B$4:$I$4,0),FALSE),0)</f>
        <v>0</v>
      </c>
      <c r="D162" s="34">
        <f>IFERROR(VLOOKUP($A162,Pivot!$A:$I,1+MATCH(D$3,Pivot!$B$4:$I$4,0),FALSE),0)</f>
        <v>9</v>
      </c>
      <c r="E162" s="34">
        <f>IFERROR(VLOOKUP($A162,Pivot!$A:$I,1+MATCH(E$3,Pivot!$B$4:$I$4,0),FALSE),0)</f>
        <v>0</v>
      </c>
      <c r="F162" s="34">
        <f>IFERROR(VLOOKUP($A162,Pivot!$A:$I,1+MATCH(F$3,Pivot!$B$4:$I$4,0),FALSE),0)</f>
        <v>0</v>
      </c>
      <c r="G162" s="34">
        <f>IFERROR(VLOOKUP($A162,Pivot!$A:$I,1+MATCH(G$3,Pivot!$B$4:$I$4,0),FALSE),0)</f>
        <v>0</v>
      </c>
      <c r="H162" s="34">
        <f>IFERROR(VLOOKUP($A162,Pivot!$A:$I,1+MATCH(H$3,Pivot!$B$4:$I$4,0),FALSE),0)</f>
        <v>0</v>
      </c>
      <c r="I162" s="34">
        <f>IFERROR(VLOOKUP($A162,Pivot!$A:$I,1+MATCH(I$3,Pivot!$B$4:$I$4,0),FALSE),0)</f>
        <v>0</v>
      </c>
      <c r="J162" s="34">
        <f>IFERROR(VLOOKUP($A162,Pivot!$A:$I,1+MATCH(J$3,Pivot!$B$4:$I$4,0),FALSE),0)</f>
        <v>0</v>
      </c>
      <c r="K162" s="34">
        <f>IFERROR(VLOOKUP($A162,Pivot!$A:$I,1+MATCH(K$3,Pivot!$B$4:$I$4,0),FALSE),0)</f>
        <v>0</v>
      </c>
      <c r="L162" s="34">
        <f>IFERROR(VLOOKUP($A162,Pivot!$A:$I,1+MATCH(L$3,Pivot!$B$4:$I$4,0),FALSE),0)</f>
        <v>0</v>
      </c>
      <c r="M162" s="34">
        <f>IFERROR(VLOOKUP($A162,Pivot!$A:$I,1+MATCH(M$3,Pivot!$B$4:$I$4,0),FALSE),0)</f>
        <v>0</v>
      </c>
      <c r="N162" s="34">
        <f t="shared" si="25"/>
        <v>9</v>
      </c>
    </row>
    <row r="163" spans="1:14" x14ac:dyDescent="0.25">
      <c r="A163" s="28" t="s">
        <v>140</v>
      </c>
      <c r="B163" s="34">
        <f>IFERROR(VLOOKUP($A163,Pivot!$A:$I,1+MATCH(B$3,Pivot!$B$4:$I$4,0),FALSE),0)</f>
        <v>0</v>
      </c>
      <c r="C163" s="34">
        <f>IFERROR(VLOOKUP($A163,Pivot!$A:$I,1+MATCH(C$3,Pivot!$B$4:$I$4,0),FALSE),0)</f>
        <v>1</v>
      </c>
      <c r="D163" s="34">
        <f>IFERROR(VLOOKUP($A163,Pivot!$A:$I,1+MATCH(D$3,Pivot!$B$4:$I$4,0),FALSE),0)</f>
        <v>5</v>
      </c>
      <c r="E163" s="34">
        <f>IFERROR(VLOOKUP($A163,Pivot!$A:$I,1+MATCH(E$3,Pivot!$B$4:$I$4,0),FALSE),0)</f>
        <v>0</v>
      </c>
      <c r="F163" s="34">
        <f>IFERROR(VLOOKUP($A163,Pivot!$A:$I,1+MATCH(F$3,Pivot!$B$4:$I$4,0),FALSE),0)</f>
        <v>3</v>
      </c>
      <c r="G163" s="34">
        <f>IFERROR(VLOOKUP($A163,Pivot!$A:$I,1+MATCH(G$3,Pivot!$B$4:$I$4,0),FALSE),0)</f>
        <v>0</v>
      </c>
      <c r="H163" s="34">
        <f>IFERROR(VLOOKUP($A163,Pivot!$A:$I,1+MATCH(H$3,Pivot!$B$4:$I$4,0),FALSE),0)</f>
        <v>0</v>
      </c>
      <c r="I163" s="34">
        <f>IFERROR(VLOOKUP($A163,Pivot!$A:$I,1+MATCH(I$3,Pivot!$B$4:$I$4,0),FALSE),0)</f>
        <v>0</v>
      </c>
      <c r="J163" s="34">
        <f>IFERROR(VLOOKUP($A163,Pivot!$A:$I,1+MATCH(J$3,Pivot!$B$4:$I$4,0),FALSE),0)</f>
        <v>0</v>
      </c>
      <c r="K163" s="34">
        <f>IFERROR(VLOOKUP($A163,Pivot!$A:$I,1+MATCH(K$3,Pivot!$B$4:$I$4,0),FALSE),0)</f>
        <v>0</v>
      </c>
      <c r="L163" s="34">
        <f>IFERROR(VLOOKUP($A163,Pivot!$A:$I,1+MATCH(L$3,Pivot!$B$4:$I$4,0),FALSE),0)</f>
        <v>0</v>
      </c>
      <c r="M163" s="34">
        <f>IFERROR(VLOOKUP($A163,Pivot!$A:$I,1+MATCH(M$3,Pivot!$B$4:$I$4,0),FALSE),0)</f>
        <v>0</v>
      </c>
      <c r="N163" s="34">
        <f t="shared" si="25"/>
        <v>9</v>
      </c>
    </row>
  </sheetData>
  <sheetProtection sheet="1" objects="1" scenarios="1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5FC5EA1-1B6A-4660-BC44-9775CEF7E9FD}">
            <xm:f>$N$4&lt;&gt;Date!$A$12</xm:f>
            <x14:dxf>
              <fill>
                <patternFill>
                  <bgColor rgb="FFFF0000"/>
                </patternFill>
              </fill>
            </x14:dxf>
          </x14:cfRule>
          <xm:sqref>A1:M1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23D3-D946-4EDA-8864-0DAD79C497B8}">
  <dimension ref="A3:J14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2" x14ac:dyDescent="0.25"/>
  <cols>
    <col min="1" max="1" width="39.6640625" bestFit="1" customWidth="1"/>
    <col min="2" max="2" width="17.21875" bestFit="1" customWidth="1"/>
    <col min="3" max="3" width="10.44140625" bestFit="1" customWidth="1"/>
    <col min="4" max="4" width="14.88671875" bestFit="1" customWidth="1"/>
    <col min="5" max="5" width="17.21875" bestFit="1" customWidth="1"/>
    <col min="6" max="6" width="10.21875" bestFit="1" customWidth="1"/>
    <col min="7" max="7" width="8" bestFit="1" customWidth="1"/>
    <col min="8" max="8" width="13.44140625" bestFit="1" customWidth="1"/>
    <col min="9" max="9" width="11.5546875" bestFit="1" customWidth="1"/>
    <col min="10" max="10" width="12.109375" bestFit="1" customWidth="1"/>
  </cols>
  <sheetData>
    <row r="3" spans="1:10" x14ac:dyDescent="0.25">
      <c r="A3" s="17" t="s">
        <v>30</v>
      </c>
      <c r="B3" s="17" t="s">
        <v>31</v>
      </c>
    </row>
    <row r="4" spans="1:10" ht="52.8" x14ac:dyDescent="0.25">
      <c r="A4" s="17" t="s">
        <v>32</v>
      </c>
      <c r="B4" s="4" t="s">
        <v>33</v>
      </c>
      <c r="C4" s="4" t="s">
        <v>34</v>
      </c>
      <c r="D4" s="4" t="s">
        <v>35</v>
      </c>
      <c r="E4" s="4" t="s">
        <v>36</v>
      </c>
      <c r="F4" s="4" t="s">
        <v>37</v>
      </c>
      <c r="G4" s="1" t="s">
        <v>721</v>
      </c>
      <c r="H4" s="4" t="s">
        <v>581</v>
      </c>
      <c r="I4" s="4" t="s">
        <v>641</v>
      </c>
      <c r="J4" s="1" t="s">
        <v>38</v>
      </c>
    </row>
    <row r="5" spans="1:10" x14ac:dyDescent="0.25">
      <c r="A5" s="3" t="s">
        <v>39</v>
      </c>
      <c r="B5" s="2"/>
      <c r="C5" s="2">
        <v>98</v>
      </c>
      <c r="D5" s="2">
        <v>1</v>
      </c>
      <c r="E5" s="2">
        <v>4</v>
      </c>
      <c r="F5" s="2">
        <v>2</v>
      </c>
      <c r="G5" s="2"/>
      <c r="H5" s="2">
        <v>3</v>
      </c>
      <c r="I5" s="2"/>
      <c r="J5" s="2">
        <v>108</v>
      </c>
    </row>
    <row r="6" spans="1:10" x14ac:dyDescent="0.25">
      <c r="A6" s="18" t="s">
        <v>40</v>
      </c>
      <c r="B6" s="2"/>
      <c r="C6" s="2">
        <v>6</v>
      </c>
      <c r="D6" s="2"/>
      <c r="E6" s="2"/>
      <c r="F6" s="2"/>
      <c r="G6" s="2"/>
      <c r="H6" s="2"/>
      <c r="I6" s="2"/>
      <c r="J6" s="2">
        <v>6</v>
      </c>
    </row>
    <row r="7" spans="1:10" x14ac:dyDescent="0.25">
      <c r="A7" s="18" t="s">
        <v>41</v>
      </c>
      <c r="B7" s="2"/>
      <c r="C7" s="2">
        <v>13</v>
      </c>
      <c r="D7" s="2"/>
      <c r="E7" s="2">
        <v>2</v>
      </c>
      <c r="F7" s="2"/>
      <c r="G7" s="2"/>
      <c r="H7" s="2"/>
      <c r="I7" s="2"/>
      <c r="J7" s="2">
        <v>15</v>
      </c>
    </row>
    <row r="8" spans="1:10" x14ac:dyDescent="0.25">
      <c r="A8" s="18" t="s">
        <v>42</v>
      </c>
      <c r="B8" s="2"/>
      <c r="C8" s="2">
        <v>21</v>
      </c>
      <c r="D8" s="2">
        <v>1</v>
      </c>
      <c r="E8" s="2"/>
      <c r="F8" s="2"/>
      <c r="G8" s="2"/>
      <c r="H8" s="2"/>
      <c r="I8" s="2"/>
      <c r="J8" s="2">
        <v>22</v>
      </c>
    </row>
    <row r="9" spans="1:10" x14ac:dyDescent="0.25">
      <c r="A9" s="18" t="s">
        <v>43</v>
      </c>
      <c r="B9" s="2"/>
      <c r="C9" s="2">
        <v>9</v>
      </c>
      <c r="D9" s="2"/>
      <c r="E9" s="2">
        <v>2</v>
      </c>
      <c r="F9" s="2">
        <v>1</v>
      </c>
      <c r="G9" s="2"/>
      <c r="H9" s="2"/>
      <c r="I9" s="2"/>
      <c r="J9" s="2">
        <v>12</v>
      </c>
    </row>
    <row r="10" spans="1:10" x14ac:dyDescent="0.25">
      <c r="A10" s="18" t="s">
        <v>44</v>
      </c>
      <c r="B10" s="2"/>
      <c r="C10" s="2">
        <v>17</v>
      </c>
      <c r="D10" s="2"/>
      <c r="E10" s="2"/>
      <c r="F10" s="2"/>
      <c r="G10" s="2"/>
      <c r="H10" s="2">
        <v>1</v>
      </c>
      <c r="I10" s="2"/>
      <c r="J10" s="2">
        <v>18</v>
      </c>
    </row>
    <row r="11" spans="1:10" x14ac:dyDescent="0.25">
      <c r="A11" s="18" t="s">
        <v>45</v>
      </c>
      <c r="B11" s="2"/>
      <c r="C11" s="2">
        <v>11</v>
      </c>
      <c r="D11" s="2"/>
      <c r="E11" s="2"/>
      <c r="F11" s="2"/>
      <c r="G11" s="2"/>
      <c r="H11" s="2"/>
      <c r="I11" s="2"/>
      <c r="J11" s="2">
        <v>11</v>
      </c>
    </row>
    <row r="12" spans="1:10" x14ac:dyDescent="0.25">
      <c r="A12" s="18" t="s">
        <v>46</v>
      </c>
      <c r="B12" s="2"/>
      <c r="C12" s="2">
        <v>17</v>
      </c>
      <c r="D12" s="2"/>
      <c r="E12" s="2"/>
      <c r="F12" s="2">
        <v>1</v>
      </c>
      <c r="G12" s="2"/>
      <c r="H12" s="2">
        <v>2</v>
      </c>
      <c r="I12" s="2"/>
      <c r="J12" s="2">
        <v>20</v>
      </c>
    </row>
    <row r="13" spans="1:10" x14ac:dyDescent="0.25">
      <c r="A13" s="18" t="s">
        <v>47</v>
      </c>
      <c r="B13" s="2"/>
      <c r="C13" s="2">
        <v>1</v>
      </c>
      <c r="D13" s="2"/>
      <c r="E13" s="2"/>
      <c r="F13" s="2"/>
      <c r="G13" s="2"/>
      <c r="H13" s="2"/>
      <c r="I13" s="2"/>
      <c r="J13" s="2">
        <v>1</v>
      </c>
    </row>
    <row r="14" spans="1:10" x14ac:dyDescent="0.25">
      <c r="A14" s="18" t="s">
        <v>662</v>
      </c>
      <c r="B14" s="2"/>
      <c r="C14" s="2">
        <v>3</v>
      </c>
      <c r="D14" s="2"/>
      <c r="E14" s="2"/>
      <c r="F14" s="2"/>
      <c r="G14" s="2"/>
      <c r="H14" s="2"/>
      <c r="I14" s="2"/>
      <c r="J14" s="2">
        <v>3</v>
      </c>
    </row>
    <row r="15" spans="1:10" x14ac:dyDescent="0.25">
      <c r="A15" s="3" t="s">
        <v>48</v>
      </c>
      <c r="B15" s="2"/>
      <c r="C15" s="2">
        <v>69</v>
      </c>
      <c r="D15" s="2">
        <v>3</v>
      </c>
      <c r="E15" s="2">
        <v>3</v>
      </c>
      <c r="F15" s="2">
        <v>1</v>
      </c>
      <c r="G15" s="2"/>
      <c r="H15" s="2">
        <v>3</v>
      </c>
      <c r="I15" s="2"/>
      <c r="J15" s="2">
        <v>79</v>
      </c>
    </row>
    <row r="16" spans="1:10" x14ac:dyDescent="0.25">
      <c r="A16" s="18" t="s">
        <v>49</v>
      </c>
      <c r="B16" s="2"/>
      <c r="C16" s="2">
        <v>10</v>
      </c>
      <c r="D16" s="2">
        <v>1</v>
      </c>
      <c r="E16" s="2">
        <v>1</v>
      </c>
      <c r="F16" s="2"/>
      <c r="G16" s="2"/>
      <c r="H16" s="2"/>
      <c r="I16" s="2"/>
      <c r="J16" s="2">
        <v>12</v>
      </c>
    </row>
    <row r="17" spans="1:10" x14ac:dyDescent="0.25">
      <c r="A17" s="18" t="s">
        <v>50</v>
      </c>
      <c r="B17" s="2"/>
      <c r="C17" s="2">
        <v>4</v>
      </c>
      <c r="D17" s="2"/>
      <c r="E17" s="2"/>
      <c r="F17" s="2"/>
      <c r="G17" s="2"/>
      <c r="H17" s="2"/>
      <c r="I17" s="2"/>
      <c r="J17" s="2">
        <v>4</v>
      </c>
    </row>
    <row r="18" spans="1:10" x14ac:dyDescent="0.25">
      <c r="A18" s="18" t="s">
        <v>51</v>
      </c>
      <c r="B18" s="2"/>
      <c r="C18" s="2">
        <v>11</v>
      </c>
      <c r="D18" s="2"/>
      <c r="E18" s="2"/>
      <c r="F18" s="2"/>
      <c r="G18" s="2"/>
      <c r="H18" s="2">
        <v>1</v>
      </c>
      <c r="I18" s="2"/>
      <c r="J18" s="2">
        <v>12</v>
      </c>
    </row>
    <row r="19" spans="1:10" x14ac:dyDescent="0.25">
      <c r="A19" s="18" t="s">
        <v>52</v>
      </c>
      <c r="B19" s="2"/>
      <c r="C19" s="2">
        <v>9</v>
      </c>
      <c r="D19" s="2">
        <v>1</v>
      </c>
      <c r="E19" s="2">
        <v>1</v>
      </c>
      <c r="F19" s="2"/>
      <c r="G19" s="2"/>
      <c r="H19" s="2">
        <v>1</v>
      </c>
      <c r="I19" s="2"/>
      <c r="J19" s="2">
        <v>12</v>
      </c>
    </row>
    <row r="20" spans="1:10" x14ac:dyDescent="0.25">
      <c r="A20" s="18" t="s">
        <v>53</v>
      </c>
      <c r="B20" s="2"/>
      <c r="C20" s="2">
        <v>13</v>
      </c>
      <c r="D20" s="2"/>
      <c r="E20" s="2">
        <v>1</v>
      </c>
      <c r="F20" s="2"/>
      <c r="G20" s="2"/>
      <c r="H20" s="2">
        <v>1</v>
      </c>
      <c r="I20" s="2"/>
      <c r="J20" s="2">
        <v>15</v>
      </c>
    </row>
    <row r="21" spans="1:10" x14ac:dyDescent="0.25">
      <c r="A21" s="18" t="s">
        <v>54</v>
      </c>
      <c r="B21" s="2"/>
      <c r="C21" s="2">
        <v>3</v>
      </c>
      <c r="D21" s="2"/>
      <c r="E21" s="2"/>
      <c r="F21" s="2">
        <v>1</v>
      </c>
      <c r="G21" s="2"/>
      <c r="H21" s="2"/>
      <c r="I21" s="2"/>
      <c r="J21" s="2">
        <v>4</v>
      </c>
    </row>
    <row r="22" spans="1:10" x14ac:dyDescent="0.25">
      <c r="A22" s="18" t="s">
        <v>55</v>
      </c>
      <c r="B22" s="2"/>
      <c r="C22" s="2">
        <v>2</v>
      </c>
      <c r="D22" s="2"/>
      <c r="E22" s="2"/>
      <c r="F22" s="2"/>
      <c r="G22" s="2"/>
      <c r="H22" s="2"/>
      <c r="I22" s="2"/>
      <c r="J22" s="2">
        <v>2</v>
      </c>
    </row>
    <row r="23" spans="1:10" x14ac:dyDescent="0.25">
      <c r="A23" s="18" t="s">
        <v>56</v>
      </c>
      <c r="B23" s="2"/>
      <c r="C23" s="2">
        <v>16</v>
      </c>
      <c r="D23" s="2">
        <v>1</v>
      </c>
      <c r="E23" s="2"/>
      <c r="F23" s="2"/>
      <c r="G23" s="2"/>
      <c r="H23" s="2"/>
      <c r="I23" s="2"/>
      <c r="J23" s="2">
        <v>17</v>
      </c>
    </row>
    <row r="24" spans="1:10" x14ac:dyDescent="0.25">
      <c r="A24" s="18" t="s">
        <v>663</v>
      </c>
      <c r="B24" s="2"/>
      <c r="C24" s="2">
        <v>1</v>
      </c>
      <c r="D24" s="2"/>
      <c r="E24" s="2"/>
      <c r="F24" s="2"/>
      <c r="G24" s="2"/>
      <c r="H24" s="2"/>
      <c r="I24" s="2"/>
      <c r="J24" s="2">
        <v>1</v>
      </c>
    </row>
    <row r="25" spans="1:10" x14ac:dyDescent="0.25">
      <c r="A25" s="3" t="s">
        <v>57</v>
      </c>
      <c r="B25" s="2"/>
      <c r="C25" s="2">
        <v>33</v>
      </c>
      <c r="D25" s="2"/>
      <c r="E25" s="2"/>
      <c r="F25" s="2"/>
      <c r="G25" s="2"/>
      <c r="H25" s="2">
        <v>4</v>
      </c>
      <c r="I25" s="2">
        <v>2</v>
      </c>
      <c r="J25" s="2">
        <v>39</v>
      </c>
    </row>
    <row r="26" spans="1:10" x14ac:dyDescent="0.25">
      <c r="A26" s="18" t="s">
        <v>58</v>
      </c>
      <c r="B26" s="2"/>
      <c r="C26" s="2">
        <v>1</v>
      </c>
      <c r="D26" s="2"/>
      <c r="E26" s="2"/>
      <c r="F26" s="2"/>
      <c r="G26" s="2"/>
      <c r="H26" s="2"/>
      <c r="I26" s="2"/>
      <c r="J26" s="2">
        <v>1</v>
      </c>
    </row>
    <row r="27" spans="1:10" x14ac:dyDescent="0.25">
      <c r="A27" s="18" t="s">
        <v>59</v>
      </c>
      <c r="B27" s="2"/>
      <c r="C27" s="2">
        <v>2</v>
      </c>
      <c r="D27" s="2"/>
      <c r="E27" s="2"/>
      <c r="F27" s="2"/>
      <c r="G27" s="2"/>
      <c r="H27" s="2"/>
      <c r="I27" s="2"/>
      <c r="J27" s="2">
        <v>2</v>
      </c>
    </row>
    <row r="28" spans="1:10" x14ac:dyDescent="0.25">
      <c r="A28" s="18" t="s">
        <v>60</v>
      </c>
      <c r="B28" s="2"/>
      <c r="C28" s="2">
        <v>1</v>
      </c>
      <c r="D28" s="2"/>
      <c r="E28" s="2"/>
      <c r="F28" s="2"/>
      <c r="G28" s="2"/>
      <c r="H28" s="2"/>
      <c r="I28" s="2"/>
      <c r="J28" s="2">
        <v>1</v>
      </c>
    </row>
    <row r="29" spans="1:10" x14ac:dyDescent="0.25">
      <c r="A29" s="18" t="s">
        <v>61</v>
      </c>
      <c r="B29" s="2"/>
      <c r="C29" s="2">
        <v>3</v>
      </c>
      <c r="D29" s="2"/>
      <c r="E29" s="2"/>
      <c r="F29" s="2"/>
      <c r="G29" s="2"/>
      <c r="H29" s="2"/>
      <c r="I29" s="2">
        <v>1</v>
      </c>
      <c r="J29" s="2">
        <v>4</v>
      </c>
    </row>
    <row r="30" spans="1:10" x14ac:dyDescent="0.25">
      <c r="A30" s="18" t="s">
        <v>62</v>
      </c>
      <c r="B30" s="2"/>
      <c r="C30" s="2">
        <v>4</v>
      </c>
      <c r="D30" s="2"/>
      <c r="E30" s="2"/>
      <c r="F30" s="2"/>
      <c r="G30" s="2"/>
      <c r="H30" s="2">
        <v>2</v>
      </c>
      <c r="I30" s="2"/>
      <c r="J30" s="2">
        <v>6</v>
      </c>
    </row>
    <row r="31" spans="1:10" x14ac:dyDescent="0.25">
      <c r="A31" s="18" t="s">
        <v>63</v>
      </c>
      <c r="B31" s="2"/>
      <c r="C31" s="2">
        <v>1</v>
      </c>
      <c r="D31" s="2"/>
      <c r="E31" s="2"/>
      <c r="F31" s="2"/>
      <c r="G31" s="2"/>
      <c r="H31" s="2"/>
      <c r="I31" s="2"/>
      <c r="J31" s="2">
        <v>1</v>
      </c>
    </row>
    <row r="32" spans="1:10" x14ac:dyDescent="0.25">
      <c r="A32" s="18" t="s">
        <v>611</v>
      </c>
      <c r="B32" s="2"/>
      <c r="C32" s="2">
        <v>4</v>
      </c>
      <c r="D32" s="2"/>
      <c r="E32" s="2"/>
      <c r="F32" s="2"/>
      <c r="G32" s="2"/>
      <c r="H32" s="2"/>
      <c r="I32" s="2"/>
      <c r="J32" s="2">
        <v>4</v>
      </c>
    </row>
    <row r="33" spans="1:10" x14ac:dyDescent="0.25">
      <c r="A33" s="18" t="s">
        <v>629</v>
      </c>
      <c r="B33" s="2"/>
      <c r="C33" s="2">
        <v>1</v>
      </c>
      <c r="D33" s="2"/>
      <c r="E33" s="2"/>
      <c r="F33" s="2"/>
      <c r="G33" s="2"/>
      <c r="H33" s="2"/>
      <c r="I33" s="2"/>
      <c r="J33" s="2">
        <v>1</v>
      </c>
    </row>
    <row r="34" spans="1:10" x14ac:dyDescent="0.25">
      <c r="A34" s="18" t="s">
        <v>689</v>
      </c>
      <c r="B34" s="2"/>
      <c r="C34" s="2"/>
      <c r="D34" s="2"/>
      <c r="E34" s="2"/>
      <c r="F34" s="2"/>
      <c r="G34" s="2"/>
      <c r="H34" s="2"/>
      <c r="I34" s="2">
        <v>1</v>
      </c>
      <c r="J34" s="2">
        <v>1</v>
      </c>
    </row>
    <row r="35" spans="1:10" x14ac:dyDescent="0.25">
      <c r="A35" s="18" t="s">
        <v>673</v>
      </c>
      <c r="B35" s="2"/>
      <c r="C35" s="2">
        <v>1</v>
      </c>
      <c r="D35" s="2"/>
      <c r="E35" s="2"/>
      <c r="F35" s="2"/>
      <c r="G35" s="2"/>
      <c r="H35" s="2">
        <v>1</v>
      </c>
      <c r="I35" s="2"/>
      <c r="J35" s="2">
        <v>2</v>
      </c>
    </row>
    <row r="36" spans="1:10" x14ac:dyDescent="0.25">
      <c r="A36" s="18" t="s">
        <v>682</v>
      </c>
      <c r="B36" s="2"/>
      <c r="C36" s="2">
        <v>1</v>
      </c>
      <c r="D36" s="2"/>
      <c r="E36" s="2"/>
      <c r="F36" s="2"/>
      <c r="G36" s="2"/>
      <c r="H36" s="2"/>
      <c r="I36" s="2"/>
      <c r="J36" s="2">
        <v>1</v>
      </c>
    </row>
    <row r="37" spans="1:10" x14ac:dyDescent="0.25">
      <c r="A37" s="18" t="s">
        <v>683</v>
      </c>
      <c r="B37" s="2"/>
      <c r="C37" s="2">
        <v>2</v>
      </c>
      <c r="D37" s="2"/>
      <c r="E37" s="2"/>
      <c r="F37" s="2"/>
      <c r="G37" s="2"/>
      <c r="H37" s="2"/>
      <c r="I37" s="2"/>
      <c r="J37" s="2">
        <v>2</v>
      </c>
    </row>
    <row r="38" spans="1:10" x14ac:dyDescent="0.25">
      <c r="A38" s="18" t="s">
        <v>675</v>
      </c>
      <c r="B38" s="2"/>
      <c r="C38" s="2">
        <v>1</v>
      </c>
      <c r="D38" s="2"/>
      <c r="E38" s="2"/>
      <c r="F38" s="2"/>
      <c r="G38" s="2"/>
      <c r="H38" s="2"/>
      <c r="I38" s="2"/>
      <c r="J38" s="2">
        <v>1</v>
      </c>
    </row>
    <row r="39" spans="1:10" x14ac:dyDescent="0.25">
      <c r="A39" s="18" t="s">
        <v>667</v>
      </c>
      <c r="B39" s="2"/>
      <c r="C39" s="2">
        <v>1</v>
      </c>
      <c r="D39" s="2"/>
      <c r="E39" s="2"/>
      <c r="F39" s="2"/>
      <c r="G39" s="2"/>
      <c r="H39" s="2"/>
      <c r="I39" s="2"/>
      <c r="J39" s="2">
        <v>1</v>
      </c>
    </row>
    <row r="40" spans="1:10" x14ac:dyDescent="0.25">
      <c r="A40" s="18" t="s">
        <v>684</v>
      </c>
      <c r="B40" s="2"/>
      <c r="C40" s="2">
        <v>1</v>
      </c>
      <c r="D40" s="2"/>
      <c r="E40" s="2"/>
      <c r="F40" s="2"/>
      <c r="G40" s="2"/>
      <c r="H40" s="2"/>
      <c r="I40" s="2"/>
      <c r="J40" s="2">
        <v>1</v>
      </c>
    </row>
    <row r="41" spans="1:10" x14ac:dyDescent="0.25">
      <c r="A41" s="18" t="s">
        <v>666</v>
      </c>
      <c r="B41" s="2"/>
      <c r="C41" s="2">
        <v>2</v>
      </c>
      <c r="D41" s="2"/>
      <c r="E41" s="2"/>
      <c r="F41" s="2"/>
      <c r="G41" s="2"/>
      <c r="H41" s="2"/>
      <c r="I41" s="2"/>
      <c r="J41" s="2">
        <v>2</v>
      </c>
    </row>
    <row r="42" spans="1:10" x14ac:dyDescent="0.25">
      <c r="A42" s="18" t="s">
        <v>668</v>
      </c>
      <c r="B42" s="2"/>
      <c r="C42" s="2">
        <v>1</v>
      </c>
      <c r="D42" s="2"/>
      <c r="E42" s="2"/>
      <c r="F42" s="2"/>
      <c r="G42" s="2"/>
      <c r="H42" s="2">
        <v>1</v>
      </c>
      <c r="I42" s="2"/>
      <c r="J42" s="2">
        <v>2</v>
      </c>
    </row>
    <row r="43" spans="1:10" x14ac:dyDescent="0.25">
      <c r="A43" s="18" t="s">
        <v>672</v>
      </c>
      <c r="B43" s="2"/>
      <c r="C43" s="2">
        <v>2</v>
      </c>
      <c r="D43" s="2"/>
      <c r="E43" s="2"/>
      <c r="F43" s="2"/>
      <c r="G43" s="2"/>
      <c r="H43" s="2"/>
      <c r="I43" s="2"/>
      <c r="J43" s="2">
        <v>2</v>
      </c>
    </row>
    <row r="44" spans="1:10" x14ac:dyDescent="0.25">
      <c r="A44" s="18" t="s">
        <v>676</v>
      </c>
      <c r="B44" s="2"/>
      <c r="C44" s="2">
        <v>1</v>
      </c>
      <c r="D44" s="2"/>
      <c r="E44" s="2"/>
      <c r="F44" s="2"/>
      <c r="G44" s="2"/>
      <c r="H44" s="2"/>
      <c r="I44" s="2"/>
      <c r="J44" s="2">
        <v>1</v>
      </c>
    </row>
    <row r="45" spans="1:10" x14ac:dyDescent="0.25">
      <c r="A45" s="18" t="s">
        <v>686</v>
      </c>
      <c r="B45" s="2"/>
      <c r="C45" s="2">
        <v>1</v>
      </c>
      <c r="D45" s="2"/>
      <c r="E45" s="2"/>
      <c r="F45" s="2"/>
      <c r="G45" s="2"/>
      <c r="H45" s="2"/>
      <c r="I45" s="2"/>
      <c r="J45" s="2">
        <v>1</v>
      </c>
    </row>
    <row r="46" spans="1:10" x14ac:dyDescent="0.25">
      <c r="A46" s="18" t="s">
        <v>669</v>
      </c>
      <c r="B46" s="2"/>
      <c r="C46" s="2">
        <v>1</v>
      </c>
      <c r="D46" s="2"/>
      <c r="E46" s="2"/>
      <c r="F46" s="2"/>
      <c r="G46" s="2"/>
      <c r="H46" s="2"/>
      <c r="I46" s="2"/>
      <c r="J46" s="2">
        <v>1</v>
      </c>
    </row>
    <row r="47" spans="1:10" x14ac:dyDescent="0.25">
      <c r="A47" s="18" t="s">
        <v>677</v>
      </c>
      <c r="B47" s="2"/>
      <c r="C47" s="2">
        <v>1</v>
      </c>
      <c r="D47" s="2"/>
      <c r="E47" s="2"/>
      <c r="F47" s="2"/>
      <c r="G47" s="2"/>
      <c r="H47" s="2"/>
      <c r="I47" s="2"/>
      <c r="J47" s="2">
        <v>1</v>
      </c>
    </row>
    <row r="48" spans="1:10" x14ac:dyDescent="0.25">
      <c r="A48" s="3" t="s">
        <v>64</v>
      </c>
      <c r="B48" s="2"/>
      <c r="C48" s="2">
        <v>117</v>
      </c>
      <c r="D48" s="2">
        <v>1</v>
      </c>
      <c r="E48" s="2">
        <v>4</v>
      </c>
      <c r="F48" s="2">
        <v>4</v>
      </c>
      <c r="G48" s="2"/>
      <c r="H48" s="2">
        <v>3</v>
      </c>
      <c r="I48" s="2"/>
      <c r="J48" s="2">
        <v>129</v>
      </c>
    </row>
    <row r="49" spans="1:10" x14ac:dyDescent="0.25">
      <c r="A49" s="18" t="s">
        <v>65</v>
      </c>
      <c r="B49" s="2"/>
      <c r="C49" s="2">
        <v>3</v>
      </c>
      <c r="D49" s="2"/>
      <c r="E49" s="2"/>
      <c r="F49" s="2"/>
      <c r="G49" s="2"/>
      <c r="H49" s="2"/>
      <c r="I49" s="2"/>
      <c r="J49" s="2">
        <v>3</v>
      </c>
    </row>
    <row r="50" spans="1:10" x14ac:dyDescent="0.25">
      <c r="A50" s="18" t="s">
        <v>66</v>
      </c>
      <c r="B50" s="2"/>
      <c r="C50" s="2">
        <v>6</v>
      </c>
      <c r="D50" s="2"/>
      <c r="E50" s="2"/>
      <c r="F50" s="2"/>
      <c r="G50" s="2"/>
      <c r="H50" s="2">
        <v>1</v>
      </c>
      <c r="I50" s="2"/>
      <c r="J50" s="2">
        <v>7</v>
      </c>
    </row>
    <row r="51" spans="1:10" x14ac:dyDescent="0.25">
      <c r="A51" s="18" t="s">
        <v>67</v>
      </c>
      <c r="B51" s="2"/>
      <c r="C51" s="2">
        <v>7</v>
      </c>
      <c r="D51" s="2"/>
      <c r="E51" s="2"/>
      <c r="F51" s="2"/>
      <c r="G51" s="2"/>
      <c r="H51" s="2">
        <v>1</v>
      </c>
      <c r="I51" s="2"/>
      <c r="J51" s="2">
        <v>8</v>
      </c>
    </row>
    <row r="52" spans="1:10" x14ac:dyDescent="0.25">
      <c r="A52" s="18" t="s">
        <v>68</v>
      </c>
      <c r="B52" s="2"/>
      <c r="C52" s="2">
        <v>4</v>
      </c>
      <c r="D52" s="2"/>
      <c r="E52" s="2"/>
      <c r="F52" s="2"/>
      <c r="G52" s="2"/>
      <c r="H52" s="2"/>
      <c r="I52" s="2"/>
      <c r="J52" s="2">
        <v>4</v>
      </c>
    </row>
    <row r="53" spans="1:10" x14ac:dyDescent="0.25">
      <c r="A53" s="18" t="s">
        <v>69</v>
      </c>
      <c r="B53" s="2"/>
      <c r="C53" s="2">
        <v>5</v>
      </c>
      <c r="D53" s="2"/>
      <c r="E53" s="2">
        <v>1</v>
      </c>
      <c r="F53" s="2"/>
      <c r="G53" s="2"/>
      <c r="H53" s="2"/>
      <c r="I53" s="2"/>
      <c r="J53" s="2">
        <v>6</v>
      </c>
    </row>
    <row r="54" spans="1:10" x14ac:dyDescent="0.25">
      <c r="A54" s="18" t="s">
        <v>70</v>
      </c>
      <c r="B54" s="2"/>
      <c r="C54" s="2">
        <v>10</v>
      </c>
      <c r="D54" s="2"/>
      <c r="E54" s="2"/>
      <c r="F54" s="2">
        <v>1</v>
      </c>
      <c r="G54" s="2"/>
      <c r="H54" s="2"/>
      <c r="I54" s="2"/>
      <c r="J54" s="2">
        <v>11</v>
      </c>
    </row>
    <row r="55" spans="1:10" x14ac:dyDescent="0.25">
      <c r="A55" s="18" t="s">
        <v>71</v>
      </c>
      <c r="B55" s="2"/>
      <c r="C55" s="2">
        <v>4</v>
      </c>
      <c r="D55" s="2"/>
      <c r="E55" s="2"/>
      <c r="F55" s="2"/>
      <c r="G55" s="2"/>
      <c r="H55" s="2"/>
      <c r="I55" s="2"/>
      <c r="J55" s="2">
        <v>4</v>
      </c>
    </row>
    <row r="56" spans="1:10" x14ac:dyDescent="0.25">
      <c r="A56" s="18" t="s">
        <v>72</v>
      </c>
      <c r="B56" s="2"/>
      <c r="C56" s="2">
        <v>3</v>
      </c>
      <c r="D56" s="2"/>
      <c r="E56" s="2"/>
      <c r="F56" s="2"/>
      <c r="G56" s="2"/>
      <c r="H56" s="2"/>
      <c r="I56" s="2"/>
      <c r="J56" s="2">
        <v>3</v>
      </c>
    </row>
    <row r="57" spans="1:10" x14ac:dyDescent="0.25">
      <c r="A57" s="18" t="s">
        <v>73</v>
      </c>
      <c r="B57" s="2"/>
      <c r="C57" s="2">
        <v>8</v>
      </c>
      <c r="D57" s="2"/>
      <c r="E57" s="2"/>
      <c r="F57" s="2"/>
      <c r="G57" s="2"/>
      <c r="H57" s="2"/>
      <c r="I57" s="2"/>
      <c r="J57" s="2">
        <v>8</v>
      </c>
    </row>
    <row r="58" spans="1:10" x14ac:dyDescent="0.25">
      <c r="A58" s="18" t="s">
        <v>74</v>
      </c>
      <c r="B58" s="2"/>
      <c r="C58" s="2">
        <v>8</v>
      </c>
      <c r="D58" s="2"/>
      <c r="E58" s="2"/>
      <c r="F58" s="2">
        <v>1</v>
      </c>
      <c r="G58" s="2"/>
      <c r="H58" s="2"/>
      <c r="I58" s="2"/>
      <c r="J58" s="2">
        <v>9</v>
      </c>
    </row>
    <row r="59" spans="1:10" x14ac:dyDescent="0.25">
      <c r="A59" s="18" t="s">
        <v>75</v>
      </c>
      <c r="B59" s="2"/>
      <c r="C59" s="2">
        <v>2</v>
      </c>
      <c r="D59" s="2"/>
      <c r="E59" s="2"/>
      <c r="F59" s="2"/>
      <c r="G59" s="2"/>
      <c r="H59" s="2"/>
      <c r="I59" s="2"/>
      <c r="J59" s="2">
        <v>2</v>
      </c>
    </row>
    <row r="60" spans="1:10" x14ac:dyDescent="0.25">
      <c r="A60" s="18" t="s">
        <v>76</v>
      </c>
      <c r="B60" s="2"/>
      <c r="C60" s="2">
        <v>7</v>
      </c>
      <c r="D60" s="2"/>
      <c r="E60" s="2"/>
      <c r="F60" s="2"/>
      <c r="G60" s="2"/>
      <c r="H60" s="2"/>
      <c r="I60" s="2"/>
      <c r="J60" s="2">
        <v>7</v>
      </c>
    </row>
    <row r="61" spans="1:10" x14ac:dyDescent="0.25">
      <c r="A61" s="18" t="s">
        <v>77</v>
      </c>
      <c r="B61" s="2"/>
      <c r="C61" s="2">
        <v>2</v>
      </c>
      <c r="D61" s="2"/>
      <c r="E61" s="2"/>
      <c r="F61" s="2"/>
      <c r="G61" s="2"/>
      <c r="H61" s="2"/>
      <c r="I61" s="2"/>
      <c r="J61" s="2">
        <v>2</v>
      </c>
    </row>
    <row r="62" spans="1:10" x14ac:dyDescent="0.25">
      <c r="A62" s="18" t="s">
        <v>78</v>
      </c>
      <c r="B62" s="2"/>
      <c r="C62" s="2">
        <v>2</v>
      </c>
      <c r="D62" s="2"/>
      <c r="E62" s="2"/>
      <c r="F62" s="2"/>
      <c r="G62" s="2"/>
      <c r="H62" s="2"/>
      <c r="I62" s="2"/>
      <c r="J62" s="2">
        <v>2</v>
      </c>
    </row>
    <row r="63" spans="1:10" x14ac:dyDescent="0.25">
      <c r="A63" s="18" t="s">
        <v>79</v>
      </c>
      <c r="B63" s="2"/>
      <c r="C63" s="2">
        <v>11</v>
      </c>
      <c r="D63" s="2">
        <v>1</v>
      </c>
      <c r="E63" s="2">
        <v>1</v>
      </c>
      <c r="F63" s="2"/>
      <c r="G63" s="2"/>
      <c r="H63" s="2"/>
      <c r="I63" s="2"/>
      <c r="J63" s="2">
        <v>13</v>
      </c>
    </row>
    <row r="64" spans="1:10" x14ac:dyDescent="0.25">
      <c r="A64" s="18" t="s">
        <v>80</v>
      </c>
      <c r="B64" s="2"/>
      <c r="C64" s="2">
        <v>4</v>
      </c>
      <c r="D64" s="2"/>
      <c r="E64" s="2"/>
      <c r="F64" s="2">
        <v>1</v>
      </c>
      <c r="G64" s="2"/>
      <c r="H64" s="2"/>
      <c r="I64" s="2"/>
      <c r="J64" s="2">
        <v>5</v>
      </c>
    </row>
    <row r="65" spans="1:10" x14ac:dyDescent="0.25">
      <c r="A65" s="18" t="s">
        <v>81</v>
      </c>
      <c r="B65" s="2"/>
      <c r="C65" s="2">
        <v>6</v>
      </c>
      <c r="D65" s="2"/>
      <c r="E65" s="2"/>
      <c r="F65" s="2"/>
      <c r="G65" s="2"/>
      <c r="H65" s="2"/>
      <c r="I65" s="2"/>
      <c r="J65" s="2">
        <v>6</v>
      </c>
    </row>
    <row r="66" spans="1:10" x14ac:dyDescent="0.25">
      <c r="A66" s="18" t="s">
        <v>82</v>
      </c>
      <c r="B66" s="2"/>
      <c r="C66" s="2">
        <v>4</v>
      </c>
      <c r="D66" s="2"/>
      <c r="E66" s="2"/>
      <c r="F66" s="2"/>
      <c r="G66" s="2"/>
      <c r="H66" s="2"/>
      <c r="I66" s="2"/>
      <c r="J66" s="2">
        <v>4</v>
      </c>
    </row>
    <row r="67" spans="1:10" x14ac:dyDescent="0.25">
      <c r="A67" s="18" t="s">
        <v>83</v>
      </c>
      <c r="B67" s="2"/>
      <c r="C67" s="2">
        <v>4</v>
      </c>
      <c r="D67" s="2"/>
      <c r="E67" s="2">
        <v>1</v>
      </c>
      <c r="F67" s="2">
        <v>1</v>
      </c>
      <c r="G67" s="2"/>
      <c r="H67" s="2">
        <v>1</v>
      </c>
      <c r="I67" s="2"/>
      <c r="J67" s="2">
        <v>7</v>
      </c>
    </row>
    <row r="68" spans="1:10" x14ac:dyDescent="0.25">
      <c r="A68" s="18" t="s">
        <v>84</v>
      </c>
      <c r="B68" s="2"/>
      <c r="C68" s="2">
        <v>7</v>
      </c>
      <c r="D68" s="2"/>
      <c r="E68" s="2"/>
      <c r="F68" s="2"/>
      <c r="G68" s="2"/>
      <c r="H68" s="2"/>
      <c r="I68" s="2"/>
      <c r="J68" s="2">
        <v>7</v>
      </c>
    </row>
    <row r="69" spans="1:10" x14ac:dyDescent="0.25">
      <c r="A69" s="18" t="s">
        <v>85</v>
      </c>
      <c r="B69" s="2"/>
      <c r="C69" s="2">
        <v>3</v>
      </c>
      <c r="D69" s="2"/>
      <c r="E69" s="2"/>
      <c r="F69" s="2"/>
      <c r="G69" s="2"/>
      <c r="H69" s="2"/>
      <c r="I69" s="2"/>
      <c r="J69" s="2">
        <v>3</v>
      </c>
    </row>
    <row r="70" spans="1:10" x14ac:dyDescent="0.25">
      <c r="A70" s="18" t="s">
        <v>86</v>
      </c>
      <c r="B70" s="2"/>
      <c r="C70" s="2">
        <v>5</v>
      </c>
      <c r="D70" s="2"/>
      <c r="E70" s="2"/>
      <c r="F70" s="2"/>
      <c r="G70" s="2"/>
      <c r="H70" s="2"/>
      <c r="I70" s="2"/>
      <c r="J70" s="2">
        <v>5</v>
      </c>
    </row>
    <row r="71" spans="1:10" x14ac:dyDescent="0.25">
      <c r="A71" s="18" t="s">
        <v>691</v>
      </c>
      <c r="B71" s="2"/>
      <c r="C71" s="2">
        <v>1</v>
      </c>
      <c r="D71" s="2"/>
      <c r="E71" s="2"/>
      <c r="F71" s="2"/>
      <c r="G71" s="2"/>
      <c r="H71" s="2"/>
      <c r="I71" s="2"/>
      <c r="J71" s="2">
        <v>1</v>
      </c>
    </row>
    <row r="72" spans="1:10" x14ac:dyDescent="0.25">
      <c r="A72" s="18" t="s">
        <v>694</v>
      </c>
      <c r="B72" s="2"/>
      <c r="C72" s="2">
        <v>1</v>
      </c>
      <c r="D72" s="2"/>
      <c r="E72" s="2"/>
      <c r="F72" s="2"/>
      <c r="G72" s="2"/>
      <c r="H72" s="2"/>
      <c r="I72" s="2"/>
      <c r="J72" s="2">
        <v>1</v>
      </c>
    </row>
    <row r="73" spans="1:10" x14ac:dyDescent="0.25">
      <c r="A73" s="18" t="s">
        <v>692</v>
      </c>
      <c r="B73" s="2"/>
      <c r="C73" s="2"/>
      <c r="D73" s="2"/>
      <c r="E73" s="2">
        <v>1</v>
      </c>
      <c r="F73" s="2"/>
      <c r="G73" s="2"/>
      <c r="H73" s="2"/>
      <c r="I73" s="2"/>
      <c r="J73" s="2">
        <v>1</v>
      </c>
    </row>
    <row r="74" spans="1:10" x14ac:dyDescent="0.25">
      <c r="A74" s="3" t="s">
        <v>87</v>
      </c>
      <c r="B74" s="2"/>
      <c r="C74" s="2">
        <v>181</v>
      </c>
      <c r="D74" s="2">
        <v>2</v>
      </c>
      <c r="E74" s="2"/>
      <c r="F74" s="2">
        <v>1</v>
      </c>
      <c r="G74" s="2"/>
      <c r="H74" s="2">
        <v>2</v>
      </c>
      <c r="I74" s="2">
        <v>1</v>
      </c>
      <c r="J74" s="2">
        <v>187</v>
      </c>
    </row>
    <row r="75" spans="1:10" x14ac:dyDescent="0.25">
      <c r="A75" s="18" t="s">
        <v>88</v>
      </c>
      <c r="B75" s="2"/>
      <c r="C75" s="2">
        <v>3</v>
      </c>
      <c r="D75" s="2"/>
      <c r="E75" s="2"/>
      <c r="F75" s="2"/>
      <c r="G75" s="2"/>
      <c r="H75" s="2"/>
      <c r="I75" s="2"/>
      <c r="J75" s="2">
        <v>3</v>
      </c>
    </row>
    <row r="76" spans="1:10" x14ac:dyDescent="0.25">
      <c r="A76" s="18" t="s">
        <v>89</v>
      </c>
      <c r="B76" s="2"/>
      <c r="C76" s="2">
        <v>10</v>
      </c>
      <c r="D76" s="2"/>
      <c r="E76" s="2"/>
      <c r="F76" s="2"/>
      <c r="G76" s="2"/>
      <c r="H76" s="2"/>
      <c r="I76" s="2"/>
      <c r="J76" s="2">
        <v>10</v>
      </c>
    </row>
    <row r="77" spans="1:10" x14ac:dyDescent="0.25">
      <c r="A77" s="18" t="s">
        <v>90</v>
      </c>
      <c r="B77" s="2"/>
      <c r="C77" s="2">
        <v>3</v>
      </c>
      <c r="D77" s="2"/>
      <c r="E77" s="2"/>
      <c r="F77" s="2"/>
      <c r="G77" s="2"/>
      <c r="H77" s="2"/>
      <c r="I77" s="2"/>
      <c r="J77" s="2">
        <v>3</v>
      </c>
    </row>
    <row r="78" spans="1:10" x14ac:dyDescent="0.25">
      <c r="A78" s="18" t="s">
        <v>91</v>
      </c>
      <c r="B78" s="2"/>
      <c r="C78" s="2">
        <v>4</v>
      </c>
      <c r="D78" s="2"/>
      <c r="E78" s="2"/>
      <c r="F78" s="2"/>
      <c r="G78" s="2"/>
      <c r="H78" s="2"/>
      <c r="I78" s="2"/>
      <c r="J78" s="2">
        <v>4</v>
      </c>
    </row>
    <row r="79" spans="1:10" x14ac:dyDescent="0.25">
      <c r="A79" s="18" t="s">
        <v>92</v>
      </c>
      <c r="B79" s="2"/>
      <c r="C79" s="2">
        <v>13</v>
      </c>
      <c r="D79" s="2"/>
      <c r="E79" s="2"/>
      <c r="F79" s="2"/>
      <c r="G79" s="2"/>
      <c r="H79" s="2"/>
      <c r="I79" s="2"/>
      <c r="J79" s="2">
        <v>13</v>
      </c>
    </row>
    <row r="80" spans="1:10" x14ac:dyDescent="0.25">
      <c r="A80" s="18" t="s">
        <v>93</v>
      </c>
      <c r="B80" s="2"/>
      <c r="C80" s="2">
        <v>52</v>
      </c>
      <c r="D80" s="2">
        <v>1</v>
      </c>
      <c r="E80" s="2"/>
      <c r="F80" s="2"/>
      <c r="G80" s="2"/>
      <c r="H80" s="2">
        <v>2</v>
      </c>
      <c r="I80" s="2"/>
      <c r="J80" s="2">
        <v>55</v>
      </c>
    </row>
    <row r="81" spans="1:10" x14ac:dyDescent="0.25">
      <c r="A81" s="18" t="s">
        <v>94</v>
      </c>
      <c r="B81" s="2"/>
      <c r="C81" s="2">
        <v>11</v>
      </c>
      <c r="D81" s="2"/>
      <c r="E81" s="2"/>
      <c r="F81" s="2"/>
      <c r="G81" s="2"/>
      <c r="H81" s="2"/>
      <c r="I81" s="2"/>
      <c r="J81" s="2">
        <v>11</v>
      </c>
    </row>
    <row r="82" spans="1:10" x14ac:dyDescent="0.25">
      <c r="A82" s="18" t="s">
        <v>95</v>
      </c>
      <c r="B82" s="2"/>
      <c r="C82" s="2">
        <v>6</v>
      </c>
      <c r="D82" s="2"/>
      <c r="E82" s="2"/>
      <c r="F82" s="2"/>
      <c r="G82" s="2"/>
      <c r="H82" s="2"/>
      <c r="I82" s="2"/>
      <c r="J82" s="2">
        <v>6</v>
      </c>
    </row>
    <row r="83" spans="1:10" x14ac:dyDescent="0.25">
      <c r="A83" s="18" t="s">
        <v>96</v>
      </c>
      <c r="B83" s="2"/>
      <c r="C83" s="2">
        <v>7</v>
      </c>
      <c r="D83" s="2"/>
      <c r="E83" s="2"/>
      <c r="F83" s="2"/>
      <c r="G83" s="2"/>
      <c r="H83" s="2"/>
      <c r="I83" s="2"/>
      <c r="J83" s="2">
        <v>7</v>
      </c>
    </row>
    <row r="84" spans="1:10" x14ac:dyDescent="0.25">
      <c r="A84" s="18" t="s">
        <v>97</v>
      </c>
      <c r="B84" s="2"/>
      <c r="C84" s="2">
        <v>6</v>
      </c>
      <c r="D84" s="2"/>
      <c r="E84" s="2"/>
      <c r="F84" s="2"/>
      <c r="G84" s="2"/>
      <c r="H84" s="2"/>
      <c r="I84" s="2"/>
      <c r="J84" s="2">
        <v>6</v>
      </c>
    </row>
    <row r="85" spans="1:10" x14ac:dyDescent="0.25">
      <c r="A85" s="18" t="s">
        <v>98</v>
      </c>
      <c r="B85" s="2"/>
      <c r="C85" s="2">
        <v>6</v>
      </c>
      <c r="D85" s="2"/>
      <c r="E85" s="2"/>
      <c r="F85" s="2"/>
      <c r="G85" s="2"/>
      <c r="H85" s="2"/>
      <c r="I85" s="2"/>
      <c r="J85" s="2">
        <v>6</v>
      </c>
    </row>
    <row r="86" spans="1:10" x14ac:dyDescent="0.25">
      <c r="A86" s="18" t="s">
        <v>99</v>
      </c>
      <c r="B86" s="2"/>
      <c r="C86" s="2">
        <v>9</v>
      </c>
      <c r="D86" s="2"/>
      <c r="E86" s="2"/>
      <c r="F86" s="2">
        <v>1</v>
      </c>
      <c r="G86" s="2"/>
      <c r="H86" s="2"/>
      <c r="I86" s="2">
        <v>1</v>
      </c>
      <c r="J86" s="2">
        <v>11</v>
      </c>
    </row>
    <row r="87" spans="1:10" x14ac:dyDescent="0.25">
      <c r="A87" s="18" t="s">
        <v>100</v>
      </c>
      <c r="B87" s="2"/>
      <c r="C87" s="2">
        <v>7</v>
      </c>
      <c r="D87" s="2"/>
      <c r="E87" s="2"/>
      <c r="F87" s="2"/>
      <c r="G87" s="2"/>
      <c r="H87" s="2"/>
      <c r="I87" s="2"/>
      <c r="J87" s="2">
        <v>7</v>
      </c>
    </row>
    <row r="88" spans="1:10" x14ac:dyDescent="0.25">
      <c r="A88" s="18" t="s">
        <v>101</v>
      </c>
      <c r="B88" s="2"/>
      <c r="C88" s="2">
        <v>1</v>
      </c>
      <c r="D88" s="2"/>
      <c r="E88" s="2"/>
      <c r="F88" s="2"/>
      <c r="G88" s="2"/>
      <c r="H88" s="2"/>
      <c r="I88" s="2"/>
      <c r="J88" s="2">
        <v>1</v>
      </c>
    </row>
    <row r="89" spans="1:10" x14ac:dyDescent="0.25">
      <c r="A89" s="18" t="s">
        <v>102</v>
      </c>
      <c r="B89" s="2"/>
      <c r="C89" s="2">
        <v>7</v>
      </c>
      <c r="D89" s="2"/>
      <c r="E89" s="2"/>
      <c r="F89" s="2"/>
      <c r="G89" s="2"/>
      <c r="H89" s="2"/>
      <c r="I89" s="2"/>
      <c r="J89" s="2">
        <v>7</v>
      </c>
    </row>
    <row r="90" spans="1:10" x14ac:dyDescent="0.25">
      <c r="A90" s="18" t="s">
        <v>103</v>
      </c>
      <c r="B90" s="2"/>
      <c r="C90" s="2">
        <v>9</v>
      </c>
      <c r="D90" s="2"/>
      <c r="E90" s="2"/>
      <c r="F90" s="2"/>
      <c r="G90" s="2"/>
      <c r="H90" s="2"/>
      <c r="I90" s="2"/>
      <c r="J90" s="2">
        <v>9</v>
      </c>
    </row>
    <row r="91" spans="1:10" x14ac:dyDescent="0.25">
      <c r="A91" s="18" t="s">
        <v>104</v>
      </c>
      <c r="B91" s="2"/>
      <c r="C91" s="2">
        <v>5</v>
      </c>
      <c r="D91" s="2">
        <v>1</v>
      </c>
      <c r="E91" s="2"/>
      <c r="F91" s="2"/>
      <c r="G91" s="2"/>
      <c r="H91" s="2"/>
      <c r="I91" s="2"/>
      <c r="J91" s="2">
        <v>6</v>
      </c>
    </row>
    <row r="92" spans="1:10" x14ac:dyDescent="0.25">
      <c r="A92" s="18" t="s">
        <v>562</v>
      </c>
      <c r="B92" s="2"/>
      <c r="C92" s="2">
        <v>4</v>
      </c>
      <c r="D92" s="2"/>
      <c r="E92" s="2"/>
      <c r="F92" s="2"/>
      <c r="G92" s="2"/>
      <c r="H92" s="2"/>
      <c r="I92" s="2"/>
      <c r="J92" s="2">
        <v>4</v>
      </c>
    </row>
    <row r="93" spans="1:10" x14ac:dyDescent="0.25">
      <c r="A93" s="18" t="s">
        <v>563</v>
      </c>
      <c r="B93" s="2"/>
      <c r="C93" s="2">
        <v>7</v>
      </c>
      <c r="D93" s="2"/>
      <c r="E93" s="2"/>
      <c r="F93" s="2"/>
      <c r="G93" s="2"/>
      <c r="H93" s="2"/>
      <c r="I93" s="2"/>
      <c r="J93" s="2">
        <v>7</v>
      </c>
    </row>
    <row r="94" spans="1:10" x14ac:dyDescent="0.25">
      <c r="A94" s="18" t="s">
        <v>570</v>
      </c>
      <c r="B94" s="2"/>
      <c r="C94" s="2">
        <v>6</v>
      </c>
      <c r="D94" s="2"/>
      <c r="E94" s="2"/>
      <c r="F94" s="2"/>
      <c r="G94" s="2"/>
      <c r="H94" s="2"/>
      <c r="I94" s="2"/>
      <c r="J94" s="2">
        <v>6</v>
      </c>
    </row>
    <row r="95" spans="1:10" x14ac:dyDescent="0.25">
      <c r="A95" s="18" t="s">
        <v>697</v>
      </c>
      <c r="B95" s="2"/>
      <c r="C95" s="2">
        <v>3</v>
      </c>
      <c r="D95" s="2"/>
      <c r="E95" s="2"/>
      <c r="F95" s="2"/>
      <c r="G95" s="2"/>
      <c r="H95" s="2"/>
      <c r="I95" s="2"/>
      <c r="J95" s="2">
        <v>3</v>
      </c>
    </row>
    <row r="96" spans="1:10" x14ac:dyDescent="0.25">
      <c r="A96" s="18" t="s">
        <v>696</v>
      </c>
      <c r="B96" s="2"/>
      <c r="C96" s="2">
        <v>2</v>
      </c>
      <c r="D96" s="2"/>
      <c r="E96" s="2"/>
      <c r="F96" s="2"/>
      <c r="G96" s="2"/>
      <c r="H96" s="2"/>
      <c r="I96" s="2"/>
      <c r="J96" s="2">
        <v>2</v>
      </c>
    </row>
    <row r="97" spans="1:10" x14ac:dyDescent="0.25">
      <c r="A97" s="3" t="s">
        <v>105</v>
      </c>
      <c r="B97" s="2">
        <v>1</v>
      </c>
      <c r="C97" s="2">
        <v>101</v>
      </c>
      <c r="D97" s="2">
        <v>6</v>
      </c>
      <c r="E97" s="2">
        <v>5</v>
      </c>
      <c r="F97" s="2">
        <v>2</v>
      </c>
      <c r="G97" s="2"/>
      <c r="H97" s="2">
        <v>3</v>
      </c>
      <c r="I97" s="2"/>
      <c r="J97" s="2">
        <v>118</v>
      </c>
    </row>
    <row r="98" spans="1:10" x14ac:dyDescent="0.25">
      <c r="A98" s="18" t="s">
        <v>106</v>
      </c>
      <c r="B98" s="2"/>
      <c r="C98" s="2">
        <v>7</v>
      </c>
      <c r="D98" s="2"/>
      <c r="E98" s="2">
        <v>1</v>
      </c>
      <c r="F98" s="2"/>
      <c r="G98" s="2"/>
      <c r="H98" s="2"/>
      <c r="I98" s="2"/>
      <c r="J98" s="2">
        <v>8</v>
      </c>
    </row>
    <row r="99" spans="1:10" x14ac:dyDescent="0.25">
      <c r="A99" s="18" t="s">
        <v>107</v>
      </c>
      <c r="B99" s="2"/>
      <c r="C99" s="2">
        <v>5</v>
      </c>
      <c r="D99" s="2">
        <v>1</v>
      </c>
      <c r="E99" s="2">
        <v>1</v>
      </c>
      <c r="F99" s="2">
        <v>1</v>
      </c>
      <c r="G99" s="2"/>
      <c r="H99" s="2"/>
      <c r="I99" s="2"/>
      <c r="J99" s="2">
        <v>8</v>
      </c>
    </row>
    <row r="100" spans="1:10" x14ac:dyDescent="0.25">
      <c r="A100" s="18" t="s">
        <v>108</v>
      </c>
      <c r="B100" s="2"/>
      <c r="C100" s="2">
        <v>27</v>
      </c>
      <c r="D100" s="2">
        <v>1</v>
      </c>
      <c r="E100" s="2"/>
      <c r="F100" s="2">
        <v>1</v>
      </c>
      <c r="G100" s="2"/>
      <c r="H100" s="2"/>
      <c r="I100" s="2"/>
      <c r="J100" s="2">
        <v>29</v>
      </c>
    </row>
    <row r="101" spans="1:10" x14ac:dyDescent="0.25">
      <c r="A101" s="18" t="s">
        <v>109</v>
      </c>
      <c r="B101" s="2">
        <v>1</v>
      </c>
      <c r="C101" s="2">
        <v>29</v>
      </c>
      <c r="D101" s="2"/>
      <c r="E101" s="2"/>
      <c r="F101" s="2"/>
      <c r="G101" s="2"/>
      <c r="H101" s="2"/>
      <c r="I101" s="2"/>
      <c r="J101" s="2">
        <v>30</v>
      </c>
    </row>
    <row r="102" spans="1:10" x14ac:dyDescent="0.25">
      <c r="A102" s="18" t="s">
        <v>110</v>
      </c>
      <c r="B102" s="2"/>
      <c r="C102" s="2">
        <v>4</v>
      </c>
      <c r="D102" s="2"/>
      <c r="E102" s="2">
        <v>1</v>
      </c>
      <c r="F102" s="2"/>
      <c r="G102" s="2"/>
      <c r="H102" s="2"/>
      <c r="I102" s="2"/>
      <c r="J102" s="2">
        <v>5</v>
      </c>
    </row>
    <row r="103" spans="1:10" x14ac:dyDescent="0.25">
      <c r="A103" s="18" t="s">
        <v>111</v>
      </c>
      <c r="B103" s="2"/>
      <c r="C103" s="2">
        <v>2</v>
      </c>
      <c r="D103" s="2"/>
      <c r="E103" s="2"/>
      <c r="F103" s="2"/>
      <c r="G103" s="2"/>
      <c r="H103" s="2"/>
      <c r="I103" s="2"/>
      <c r="J103" s="2">
        <v>2</v>
      </c>
    </row>
    <row r="104" spans="1:10" x14ac:dyDescent="0.25">
      <c r="A104" s="18" t="s">
        <v>112</v>
      </c>
      <c r="B104" s="2"/>
      <c r="C104" s="2">
        <v>11</v>
      </c>
      <c r="D104" s="2">
        <v>2</v>
      </c>
      <c r="E104" s="2"/>
      <c r="F104" s="2"/>
      <c r="G104" s="2"/>
      <c r="H104" s="2"/>
      <c r="I104" s="2"/>
      <c r="J104" s="2">
        <v>13</v>
      </c>
    </row>
    <row r="105" spans="1:10" x14ac:dyDescent="0.25">
      <c r="A105" s="18" t="s">
        <v>113</v>
      </c>
      <c r="B105" s="2"/>
      <c r="C105" s="2">
        <v>10</v>
      </c>
      <c r="D105" s="2">
        <v>1</v>
      </c>
      <c r="E105" s="2">
        <v>1</v>
      </c>
      <c r="F105" s="2"/>
      <c r="G105" s="2"/>
      <c r="H105" s="2"/>
      <c r="I105" s="2"/>
      <c r="J105" s="2">
        <v>12</v>
      </c>
    </row>
    <row r="106" spans="1:10" x14ac:dyDescent="0.25">
      <c r="A106" s="18" t="s">
        <v>699</v>
      </c>
      <c r="B106" s="2"/>
      <c r="C106" s="2">
        <v>1</v>
      </c>
      <c r="D106" s="2"/>
      <c r="E106" s="2"/>
      <c r="F106" s="2"/>
      <c r="G106" s="2"/>
      <c r="H106" s="2"/>
      <c r="I106" s="2"/>
      <c r="J106" s="2">
        <v>1</v>
      </c>
    </row>
    <row r="107" spans="1:10" x14ac:dyDescent="0.25">
      <c r="A107" s="18" t="s">
        <v>705</v>
      </c>
      <c r="B107" s="2"/>
      <c r="C107" s="2">
        <v>1</v>
      </c>
      <c r="D107" s="2"/>
      <c r="E107" s="2"/>
      <c r="F107" s="2"/>
      <c r="G107" s="2"/>
      <c r="H107" s="2"/>
      <c r="I107" s="2"/>
      <c r="J107" s="2">
        <v>1</v>
      </c>
    </row>
    <row r="108" spans="1:10" x14ac:dyDescent="0.25">
      <c r="A108" s="18" t="s">
        <v>706</v>
      </c>
      <c r="B108" s="2"/>
      <c r="C108" s="2">
        <v>3</v>
      </c>
      <c r="D108" s="2"/>
      <c r="E108" s="2">
        <v>1</v>
      </c>
      <c r="F108" s="2"/>
      <c r="G108" s="2"/>
      <c r="H108" s="2"/>
      <c r="I108" s="2"/>
      <c r="J108" s="2">
        <v>4</v>
      </c>
    </row>
    <row r="109" spans="1:10" x14ac:dyDescent="0.25">
      <c r="A109" s="18" t="s">
        <v>703</v>
      </c>
      <c r="B109" s="2"/>
      <c r="C109" s="2">
        <v>1</v>
      </c>
      <c r="D109" s="2"/>
      <c r="E109" s="2"/>
      <c r="F109" s="2"/>
      <c r="G109" s="2"/>
      <c r="H109" s="2">
        <v>1</v>
      </c>
      <c r="I109" s="2"/>
      <c r="J109" s="2">
        <v>2</v>
      </c>
    </row>
    <row r="110" spans="1:10" x14ac:dyDescent="0.25">
      <c r="A110" s="18" t="s">
        <v>704</v>
      </c>
      <c r="B110" s="2"/>
      <c r="C110" s="2"/>
      <c r="D110" s="2"/>
      <c r="E110" s="2"/>
      <c r="F110" s="2"/>
      <c r="G110" s="2"/>
      <c r="H110" s="2">
        <v>2</v>
      </c>
      <c r="I110" s="2"/>
      <c r="J110" s="2">
        <v>2</v>
      </c>
    </row>
    <row r="111" spans="1:10" x14ac:dyDescent="0.25">
      <c r="A111" s="18" t="s">
        <v>700</v>
      </c>
      <c r="B111" s="2"/>
      <c r="C111" s="2"/>
      <c r="D111" s="2">
        <v>1</v>
      </c>
      <c r="E111" s="2"/>
      <c r="F111" s="2"/>
      <c r="G111" s="2"/>
      <c r="H111" s="2"/>
      <c r="I111" s="2"/>
      <c r="J111" s="2">
        <v>1</v>
      </c>
    </row>
    <row r="112" spans="1:10" x14ac:dyDescent="0.25">
      <c r="A112" s="3" t="s">
        <v>114</v>
      </c>
      <c r="B112" s="2">
        <v>1</v>
      </c>
      <c r="C112" s="2">
        <v>83</v>
      </c>
      <c r="D112" s="2">
        <v>4</v>
      </c>
      <c r="E112" s="2">
        <v>5</v>
      </c>
      <c r="F112" s="2">
        <v>2</v>
      </c>
      <c r="G112" s="2"/>
      <c r="H112" s="2">
        <v>2</v>
      </c>
      <c r="I112" s="2"/>
      <c r="J112" s="2">
        <v>97</v>
      </c>
    </row>
    <row r="113" spans="1:10" x14ac:dyDescent="0.25">
      <c r="A113" s="18" t="s">
        <v>115</v>
      </c>
      <c r="B113" s="2"/>
      <c r="C113" s="2">
        <v>5</v>
      </c>
      <c r="D113" s="2"/>
      <c r="E113" s="2"/>
      <c r="F113" s="2"/>
      <c r="G113" s="2"/>
      <c r="H113" s="2"/>
      <c r="I113" s="2"/>
      <c r="J113" s="2">
        <v>5</v>
      </c>
    </row>
    <row r="114" spans="1:10" x14ac:dyDescent="0.25">
      <c r="A114" s="18" t="s">
        <v>116</v>
      </c>
      <c r="B114" s="2"/>
      <c r="C114" s="2">
        <v>3</v>
      </c>
      <c r="D114" s="2"/>
      <c r="E114" s="2"/>
      <c r="F114" s="2"/>
      <c r="G114" s="2"/>
      <c r="H114" s="2"/>
      <c r="I114" s="2"/>
      <c r="J114" s="2">
        <v>3</v>
      </c>
    </row>
    <row r="115" spans="1:10" x14ac:dyDescent="0.25">
      <c r="A115" s="18" t="s">
        <v>117</v>
      </c>
      <c r="B115" s="2"/>
      <c r="C115" s="2">
        <v>8</v>
      </c>
      <c r="D115" s="2"/>
      <c r="E115" s="2"/>
      <c r="F115" s="2"/>
      <c r="G115" s="2"/>
      <c r="H115" s="2"/>
      <c r="I115" s="2"/>
      <c r="J115" s="2">
        <v>8</v>
      </c>
    </row>
    <row r="116" spans="1:10" x14ac:dyDescent="0.25">
      <c r="A116" s="18" t="s">
        <v>118</v>
      </c>
      <c r="B116" s="2"/>
      <c r="C116" s="2">
        <v>17</v>
      </c>
      <c r="D116" s="2">
        <v>2</v>
      </c>
      <c r="E116" s="2">
        <v>1</v>
      </c>
      <c r="F116" s="2">
        <v>1</v>
      </c>
      <c r="G116" s="2"/>
      <c r="H116" s="2">
        <v>1</v>
      </c>
      <c r="I116" s="2"/>
      <c r="J116" s="2">
        <v>22</v>
      </c>
    </row>
    <row r="117" spans="1:10" x14ac:dyDescent="0.25">
      <c r="A117" s="18" t="s">
        <v>119</v>
      </c>
      <c r="B117" s="2"/>
      <c r="C117" s="2">
        <v>4</v>
      </c>
      <c r="D117" s="2"/>
      <c r="E117" s="2">
        <v>3</v>
      </c>
      <c r="F117" s="2"/>
      <c r="G117" s="2"/>
      <c r="H117" s="2"/>
      <c r="I117" s="2"/>
      <c r="J117" s="2">
        <v>7</v>
      </c>
    </row>
    <row r="118" spans="1:10" x14ac:dyDescent="0.25">
      <c r="A118" s="18" t="s">
        <v>120</v>
      </c>
      <c r="B118" s="2"/>
      <c r="C118" s="2">
        <v>4</v>
      </c>
      <c r="D118" s="2">
        <v>1</v>
      </c>
      <c r="E118" s="2">
        <v>1</v>
      </c>
      <c r="F118" s="2"/>
      <c r="G118" s="2"/>
      <c r="H118" s="2"/>
      <c r="I118" s="2"/>
      <c r="J118" s="2">
        <v>6</v>
      </c>
    </row>
    <row r="119" spans="1:10" x14ac:dyDescent="0.25">
      <c r="A119" s="18" t="s">
        <v>121</v>
      </c>
      <c r="B119" s="2"/>
      <c r="C119" s="2">
        <v>2</v>
      </c>
      <c r="D119" s="2"/>
      <c r="E119" s="2"/>
      <c r="F119" s="2"/>
      <c r="G119" s="2"/>
      <c r="H119" s="2"/>
      <c r="I119" s="2"/>
      <c r="J119" s="2">
        <v>2</v>
      </c>
    </row>
    <row r="120" spans="1:10" x14ac:dyDescent="0.25">
      <c r="A120" s="18" t="s">
        <v>122</v>
      </c>
      <c r="B120" s="2"/>
      <c r="C120" s="2">
        <v>7</v>
      </c>
      <c r="D120" s="2"/>
      <c r="E120" s="2"/>
      <c r="F120" s="2"/>
      <c r="G120" s="2"/>
      <c r="H120" s="2">
        <v>1</v>
      </c>
      <c r="I120" s="2"/>
      <c r="J120" s="2">
        <v>8</v>
      </c>
    </row>
    <row r="121" spans="1:10" x14ac:dyDescent="0.25">
      <c r="A121" s="18" t="s">
        <v>123</v>
      </c>
      <c r="B121" s="2">
        <v>1</v>
      </c>
      <c r="C121" s="2">
        <v>16</v>
      </c>
      <c r="D121" s="2">
        <v>1</v>
      </c>
      <c r="E121" s="2"/>
      <c r="F121" s="2"/>
      <c r="G121" s="2"/>
      <c r="H121" s="2"/>
      <c r="I121" s="2"/>
      <c r="J121" s="2">
        <v>18</v>
      </c>
    </row>
    <row r="122" spans="1:10" x14ac:dyDescent="0.25">
      <c r="A122" s="18" t="s">
        <v>124</v>
      </c>
      <c r="B122" s="2"/>
      <c r="C122" s="2">
        <v>2</v>
      </c>
      <c r="D122" s="2"/>
      <c r="E122" s="2"/>
      <c r="F122" s="2">
        <v>1</v>
      </c>
      <c r="G122" s="2"/>
      <c r="H122" s="2"/>
      <c r="I122" s="2"/>
      <c r="J122" s="2">
        <v>3</v>
      </c>
    </row>
    <row r="123" spans="1:10" x14ac:dyDescent="0.25">
      <c r="A123" s="18" t="s">
        <v>125</v>
      </c>
      <c r="B123" s="2"/>
      <c r="C123" s="2">
        <v>2</v>
      </c>
      <c r="D123" s="2"/>
      <c r="E123" s="2"/>
      <c r="F123" s="2"/>
      <c r="G123" s="2"/>
      <c r="H123" s="2"/>
      <c r="I123" s="2"/>
      <c r="J123" s="2">
        <v>2</v>
      </c>
    </row>
    <row r="124" spans="1:10" x14ac:dyDescent="0.25">
      <c r="A124" s="18" t="s">
        <v>126</v>
      </c>
      <c r="B124" s="2"/>
      <c r="C124" s="2">
        <v>2</v>
      </c>
      <c r="D124" s="2"/>
      <c r="E124" s="2"/>
      <c r="F124" s="2"/>
      <c r="G124" s="2"/>
      <c r="H124" s="2"/>
      <c r="I124" s="2"/>
      <c r="J124" s="2">
        <v>2</v>
      </c>
    </row>
    <row r="125" spans="1:10" x14ac:dyDescent="0.25">
      <c r="A125" s="18" t="s">
        <v>127</v>
      </c>
      <c r="B125" s="2"/>
      <c r="C125" s="2">
        <v>9</v>
      </c>
      <c r="D125" s="2"/>
      <c r="E125" s="2"/>
      <c r="F125" s="2"/>
      <c r="G125" s="2"/>
      <c r="H125" s="2"/>
      <c r="I125" s="2"/>
      <c r="J125" s="2">
        <v>9</v>
      </c>
    </row>
    <row r="126" spans="1:10" x14ac:dyDescent="0.25">
      <c r="A126" s="18" t="s">
        <v>709</v>
      </c>
      <c r="B126" s="2"/>
      <c r="C126" s="2">
        <v>2</v>
      </c>
      <c r="D126" s="2"/>
      <c r="E126" s="2"/>
      <c r="F126" s="2"/>
      <c r="G126" s="2"/>
      <c r="H126" s="2"/>
      <c r="I126" s="2"/>
      <c r="J126" s="2">
        <v>2</v>
      </c>
    </row>
    <row r="127" spans="1:10" x14ac:dyDescent="0.25">
      <c r="A127" s="3" t="s">
        <v>128</v>
      </c>
      <c r="B127" s="2">
        <v>1</v>
      </c>
      <c r="C127" s="2">
        <v>138</v>
      </c>
      <c r="D127" s="2"/>
      <c r="E127" s="2">
        <v>2</v>
      </c>
      <c r="F127" s="2"/>
      <c r="G127" s="2"/>
      <c r="H127" s="2">
        <v>12</v>
      </c>
      <c r="I127" s="2"/>
      <c r="J127" s="2">
        <v>153</v>
      </c>
    </row>
    <row r="128" spans="1:10" x14ac:dyDescent="0.25">
      <c r="A128" s="18" t="s">
        <v>129</v>
      </c>
      <c r="B128" s="2"/>
      <c r="C128" s="2">
        <v>25</v>
      </c>
      <c r="D128" s="2"/>
      <c r="E128" s="2"/>
      <c r="F128" s="2"/>
      <c r="G128" s="2"/>
      <c r="H128" s="2">
        <v>2</v>
      </c>
      <c r="I128" s="2"/>
      <c r="J128" s="2">
        <v>27</v>
      </c>
    </row>
    <row r="129" spans="1:10" x14ac:dyDescent="0.25">
      <c r="A129" s="18" t="s">
        <v>130</v>
      </c>
      <c r="B129" s="2"/>
      <c r="C129" s="2">
        <v>4</v>
      </c>
      <c r="D129" s="2"/>
      <c r="E129" s="2"/>
      <c r="F129" s="2"/>
      <c r="G129" s="2"/>
      <c r="H129" s="2"/>
      <c r="I129" s="2"/>
      <c r="J129" s="2">
        <v>4</v>
      </c>
    </row>
    <row r="130" spans="1:10" x14ac:dyDescent="0.25">
      <c r="A130" s="18" t="s">
        <v>131</v>
      </c>
      <c r="B130" s="2"/>
      <c r="C130" s="2">
        <v>4</v>
      </c>
      <c r="D130" s="2"/>
      <c r="E130" s="2"/>
      <c r="F130" s="2"/>
      <c r="G130" s="2"/>
      <c r="H130" s="2">
        <v>2</v>
      </c>
      <c r="I130" s="2"/>
      <c r="J130" s="2">
        <v>6</v>
      </c>
    </row>
    <row r="131" spans="1:10" x14ac:dyDescent="0.25">
      <c r="A131" s="18" t="s">
        <v>132</v>
      </c>
      <c r="B131" s="2"/>
      <c r="C131" s="2">
        <v>7</v>
      </c>
      <c r="D131" s="2"/>
      <c r="E131" s="2"/>
      <c r="F131" s="2"/>
      <c r="G131" s="2"/>
      <c r="H131" s="2">
        <v>3</v>
      </c>
      <c r="I131" s="2"/>
      <c r="J131" s="2">
        <v>10</v>
      </c>
    </row>
    <row r="132" spans="1:10" x14ac:dyDescent="0.25">
      <c r="A132" s="18" t="s">
        <v>133</v>
      </c>
      <c r="B132" s="2"/>
      <c r="C132" s="2">
        <v>14</v>
      </c>
      <c r="D132" s="2"/>
      <c r="E132" s="2">
        <v>1</v>
      </c>
      <c r="F132" s="2"/>
      <c r="G132" s="2"/>
      <c r="H132" s="2"/>
      <c r="I132" s="2"/>
      <c r="J132" s="2">
        <v>15</v>
      </c>
    </row>
    <row r="133" spans="1:10" x14ac:dyDescent="0.25">
      <c r="A133" s="18" t="s">
        <v>134</v>
      </c>
      <c r="B133" s="2"/>
      <c r="C133" s="2">
        <v>42</v>
      </c>
      <c r="D133" s="2"/>
      <c r="E133" s="2"/>
      <c r="F133" s="2"/>
      <c r="G133" s="2"/>
      <c r="H133" s="2">
        <v>1</v>
      </c>
      <c r="I133" s="2"/>
      <c r="J133" s="2">
        <v>43</v>
      </c>
    </row>
    <row r="134" spans="1:10" x14ac:dyDescent="0.25">
      <c r="A134" s="18" t="s">
        <v>135</v>
      </c>
      <c r="B134" s="2"/>
      <c r="C134" s="2">
        <v>6</v>
      </c>
      <c r="D134" s="2"/>
      <c r="E134" s="2"/>
      <c r="F134" s="2"/>
      <c r="G134" s="2"/>
      <c r="H134" s="2"/>
      <c r="I134" s="2"/>
      <c r="J134" s="2">
        <v>6</v>
      </c>
    </row>
    <row r="135" spans="1:10" x14ac:dyDescent="0.25">
      <c r="A135" s="18" t="s">
        <v>136</v>
      </c>
      <c r="B135" s="2"/>
      <c r="C135" s="2">
        <v>7</v>
      </c>
      <c r="D135" s="2"/>
      <c r="E135" s="2"/>
      <c r="F135" s="2"/>
      <c r="G135" s="2"/>
      <c r="H135" s="2"/>
      <c r="I135" s="2"/>
      <c r="J135" s="2">
        <v>7</v>
      </c>
    </row>
    <row r="136" spans="1:10" x14ac:dyDescent="0.25">
      <c r="A136" s="18" t="s">
        <v>137</v>
      </c>
      <c r="B136" s="2"/>
      <c r="C136" s="2">
        <v>4</v>
      </c>
      <c r="D136" s="2"/>
      <c r="E136" s="2"/>
      <c r="F136" s="2"/>
      <c r="G136" s="2"/>
      <c r="H136" s="2">
        <v>1</v>
      </c>
      <c r="I136" s="2"/>
      <c r="J136" s="2">
        <v>5</v>
      </c>
    </row>
    <row r="137" spans="1:10" x14ac:dyDescent="0.25">
      <c r="A137" s="18" t="s">
        <v>138</v>
      </c>
      <c r="B137" s="2"/>
      <c r="C137" s="2">
        <v>6</v>
      </c>
      <c r="D137" s="2"/>
      <c r="E137" s="2">
        <v>1</v>
      </c>
      <c r="F137" s="2"/>
      <c r="G137" s="2"/>
      <c r="H137" s="2"/>
      <c r="I137" s="2"/>
      <c r="J137" s="2">
        <v>7</v>
      </c>
    </row>
    <row r="138" spans="1:10" x14ac:dyDescent="0.25">
      <c r="A138" s="18" t="s">
        <v>139</v>
      </c>
      <c r="B138" s="2"/>
      <c r="C138" s="2">
        <v>9</v>
      </c>
      <c r="D138" s="2"/>
      <c r="E138" s="2"/>
      <c r="F138" s="2"/>
      <c r="G138" s="2"/>
      <c r="H138" s="2"/>
      <c r="I138" s="2"/>
      <c r="J138" s="2">
        <v>9</v>
      </c>
    </row>
    <row r="139" spans="1:10" x14ac:dyDescent="0.25">
      <c r="A139" s="18" t="s">
        <v>140</v>
      </c>
      <c r="B139" s="2">
        <v>1</v>
      </c>
      <c r="C139" s="2">
        <v>5</v>
      </c>
      <c r="D139" s="2"/>
      <c r="E139" s="2"/>
      <c r="F139" s="2"/>
      <c r="G139" s="2"/>
      <c r="H139" s="2">
        <v>3</v>
      </c>
      <c r="I139" s="2"/>
      <c r="J139" s="2">
        <v>9</v>
      </c>
    </row>
    <row r="140" spans="1:10" x14ac:dyDescent="0.25">
      <c r="A140" s="18" t="s">
        <v>627</v>
      </c>
      <c r="B140" s="2"/>
      <c r="C140" s="2">
        <v>5</v>
      </c>
      <c r="D140" s="2"/>
      <c r="E140" s="2"/>
      <c r="F140" s="2"/>
      <c r="G140" s="2"/>
      <c r="H140" s="2"/>
      <c r="I140" s="2"/>
      <c r="J140" s="2">
        <v>5</v>
      </c>
    </row>
    <row r="141" spans="1:10" x14ac:dyDescent="0.25">
      <c r="A141" s="3" t="s">
        <v>721</v>
      </c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18" t="s">
        <v>721</v>
      </c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3" t="s">
        <v>38</v>
      </c>
      <c r="B143" s="2">
        <v>3</v>
      </c>
      <c r="C143" s="2">
        <v>820</v>
      </c>
      <c r="D143" s="2">
        <v>17</v>
      </c>
      <c r="E143" s="2">
        <v>23</v>
      </c>
      <c r="F143" s="2">
        <v>12</v>
      </c>
      <c r="G143" s="2"/>
      <c r="H143" s="2">
        <v>32</v>
      </c>
      <c r="I143" s="2">
        <v>3</v>
      </c>
      <c r="J143" s="2">
        <v>910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8AA56-EADC-463E-84FF-A9204EEB6490}">
  <dimension ref="A1:N24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3.2" x14ac:dyDescent="0.25"/>
  <cols>
    <col min="1" max="1" width="31.88671875" bestFit="1" customWidth="1"/>
    <col min="2" max="2" width="10.77734375" style="3" customWidth="1"/>
    <col min="3" max="3" width="49.33203125" bestFit="1" customWidth="1"/>
    <col min="4" max="4" width="14.88671875" bestFit="1" customWidth="1"/>
    <col min="5" max="5" width="16" bestFit="1" customWidth="1"/>
    <col min="6" max="6" width="32.44140625" bestFit="1" customWidth="1"/>
    <col min="7" max="7" width="32.88671875" bestFit="1" customWidth="1"/>
    <col min="8" max="8" width="23.21875" bestFit="1" customWidth="1"/>
    <col min="9" max="9" width="30.6640625" bestFit="1" customWidth="1"/>
    <col min="10" max="10" width="31.21875" bestFit="1" customWidth="1"/>
    <col min="11" max="11" width="14.5546875" bestFit="1" customWidth="1"/>
    <col min="12" max="12" width="11.6640625" customWidth="1"/>
    <col min="13" max="13" width="13.44140625" bestFit="1" customWidth="1"/>
    <col min="14" max="14" width="17.5546875" style="27" customWidth="1"/>
  </cols>
  <sheetData>
    <row r="1" spans="1:14" s="25" customFormat="1" ht="39.6" x14ac:dyDescent="0.25">
      <c r="A1" s="24" t="s">
        <v>141</v>
      </c>
      <c r="B1" s="24" t="s">
        <v>142</v>
      </c>
      <c r="C1" s="24" t="s">
        <v>143</v>
      </c>
      <c r="D1" s="24" t="s">
        <v>144</v>
      </c>
      <c r="E1" s="24" t="s">
        <v>145</v>
      </c>
      <c r="F1" s="24" t="s">
        <v>146</v>
      </c>
      <c r="G1" s="24" t="s">
        <v>147</v>
      </c>
      <c r="H1" s="24" t="s">
        <v>722</v>
      </c>
      <c r="I1" s="24" t="s">
        <v>148</v>
      </c>
      <c r="J1" s="24" t="s">
        <v>149</v>
      </c>
      <c r="K1" s="24" t="s">
        <v>150</v>
      </c>
      <c r="L1" s="24" t="s">
        <v>151</v>
      </c>
      <c r="M1" s="24" t="s">
        <v>152</v>
      </c>
      <c r="N1" s="26" t="s">
        <v>660</v>
      </c>
    </row>
    <row r="2" spans="1:14" x14ac:dyDescent="0.25">
      <c r="A2" s="38" t="str">
        <f>HYPERLINK("http://reports.ofsted.gov.uk/inspection-reports/find-inspection-report/provider/CARE/SC457423","Ofsted Social Care Provider Webpage")</f>
        <v>Ofsted Social Care Provider Webpage</v>
      </c>
      <c r="B2" s="3" t="s">
        <v>166</v>
      </c>
      <c r="C2" s="1" t="s">
        <v>34</v>
      </c>
      <c r="D2" s="19">
        <v>41319</v>
      </c>
      <c r="E2" s="1" t="s">
        <v>154</v>
      </c>
      <c r="F2" s="1" t="s">
        <v>155</v>
      </c>
      <c r="G2" s="1" t="s">
        <v>48</v>
      </c>
      <c r="H2" s="1" t="s">
        <v>48</v>
      </c>
      <c r="I2" s="1" t="s">
        <v>50</v>
      </c>
      <c r="J2" s="1" t="s">
        <v>167</v>
      </c>
      <c r="K2" s="1" t="s">
        <v>168</v>
      </c>
      <c r="L2" s="19">
        <v>44075</v>
      </c>
      <c r="M2" s="19">
        <v>44110</v>
      </c>
      <c r="N2" s="27" t="s">
        <v>557</v>
      </c>
    </row>
    <row r="3" spans="1:14" x14ac:dyDescent="0.25">
      <c r="A3" s="38" t="str">
        <f>HYPERLINK("http://reports.ofsted.gov.uk/inspection-reports/find-inspection-report/provider/CARE/SC043245","Ofsted Social Care Provider Webpage")</f>
        <v>Ofsted Social Care Provider Webpage</v>
      </c>
      <c r="B3" s="3" t="s">
        <v>153</v>
      </c>
      <c r="C3" s="1" t="s">
        <v>34</v>
      </c>
      <c r="D3" s="19">
        <v>37736</v>
      </c>
      <c r="E3" s="1" t="s">
        <v>154</v>
      </c>
      <c r="F3" s="1" t="s">
        <v>155</v>
      </c>
      <c r="G3" s="1" t="s">
        <v>114</v>
      </c>
      <c r="H3" s="1" t="s">
        <v>114</v>
      </c>
      <c r="I3" s="1" t="s">
        <v>127</v>
      </c>
      <c r="J3" s="1" t="s">
        <v>156</v>
      </c>
      <c r="K3" s="1" t="s">
        <v>157</v>
      </c>
      <c r="L3" s="19">
        <v>44075</v>
      </c>
      <c r="M3" s="19">
        <v>44133</v>
      </c>
      <c r="N3" s="27" t="s">
        <v>557</v>
      </c>
    </row>
    <row r="4" spans="1:14" x14ac:dyDescent="0.25">
      <c r="A4" s="38" t="str">
        <f>HYPERLINK("http://reports.ofsted.gov.uk/inspection-reports/find-inspection-report/provider/CARE/2501791","Ofsted Social Care Provider Webpage")</f>
        <v>Ofsted Social Care Provider Webpage</v>
      </c>
      <c r="B4" s="3">
        <v>2501791</v>
      </c>
      <c r="C4" s="1" t="s">
        <v>34</v>
      </c>
      <c r="D4" s="19">
        <v>43658</v>
      </c>
      <c r="E4" s="1" t="s">
        <v>154</v>
      </c>
      <c r="F4" s="1" t="s">
        <v>155</v>
      </c>
      <c r="G4" s="1" t="s">
        <v>105</v>
      </c>
      <c r="H4" s="1" t="s">
        <v>105</v>
      </c>
      <c r="I4" s="1" t="s">
        <v>109</v>
      </c>
      <c r="J4" s="1" t="s">
        <v>163</v>
      </c>
      <c r="K4" s="1" t="s">
        <v>157</v>
      </c>
      <c r="L4" s="19">
        <v>44075</v>
      </c>
      <c r="M4" s="19">
        <v>44111</v>
      </c>
      <c r="N4" s="27" t="s">
        <v>557</v>
      </c>
    </row>
    <row r="5" spans="1:14" x14ac:dyDescent="0.25">
      <c r="A5" s="38" t="str">
        <f>HYPERLINK("http://reports.ofsted.gov.uk/inspection-reports/find-inspection-report/provider/CARE/1232650","Ofsted Social Care Provider Webpage")</f>
        <v>Ofsted Social Care Provider Webpage</v>
      </c>
      <c r="B5" s="3">
        <v>1232650</v>
      </c>
      <c r="C5" s="1" t="s">
        <v>34</v>
      </c>
      <c r="D5" s="19">
        <v>42572</v>
      </c>
      <c r="E5" s="1" t="s">
        <v>154</v>
      </c>
      <c r="F5" s="1" t="s">
        <v>155</v>
      </c>
      <c r="G5" s="1" t="s">
        <v>64</v>
      </c>
      <c r="H5" s="1" t="s">
        <v>164</v>
      </c>
      <c r="I5" s="1" t="s">
        <v>69</v>
      </c>
      <c r="J5" s="1" t="s">
        <v>173</v>
      </c>
      <c r="K5" s="1" t="s">
        <v>157</v>
      </c>
      <c r="L5" s="19">
        <v>44075</v>
      </c>
      <c r="M5" s="19">
        <v>44103</v>
      </c>
      <c r="N5" s="27" t="s">
        <v>557</v>
      </c>
    </row>
    <row r="6" spans="1:14" x14ac:dyDescent="0.25">
      <c r="A6" s="38" t="str">
        <f>HYPERLINK("http://reports.ofsted.gov.uk/inspection-reports/find-inspection-report/provider/CARE/SC480655","Ofsted Social Care Provider Webpage")</f>
        <v>Ofsted Social Care Provider Webpage</v>
      </c>
      <c r="B6" s="3" t="s">
        <v>176</v>
      </c>
      <c r="C6" s="1" t="s">
        <v>34</v>
      </c>
      <c r="D6" s="19">
        <v>41913</v>
      </c>
      <c r="E6" s="1" t="s">
        <v>154</v>
      </c>
      <c r="F6" s="1" t="s">
        <v>155</v>
      </c>
      <c r="G6" s="1" t="s">
        <v>39</v>
      </c>
      <c r="H6" s="1" t="s">
        <v>39</v>
      </c>
      <c r="I6" s="1" t="s">
        <v>42</v>
      </c>
      <c r="J6" s="1" t="s">
        <v>177</v>
      </c>
      <c r="K6" s="1" t="s">
        <v>157</v>
      </c>
      <c r="L6" s="19">
        <v>44075</v>
      </c>
      <c r="M6" s="19">
        <v>44117</v>
      </c>
      <c r="N6" s="27" t="s">
        <v>557</v>
      </c>
    </row>
    <row r="7" spans="1:14" x14ac:dyDescent="0.25">
      <c r="A7" s="38" t="str">
        <f>HYPERLINK("http://reports.ofsted.gov.uk/inspection-reports/find-inspection-report/provider/CARE/2539587","Ofsted Social Care Provider Webpage")</f>
        <v>Ofsted Social Care Provider Webpage</v>
      </c>
      <c r="B7" s="3">
        <v>2539587</v>
      </c>
      <c r="C7" s="1" t="s">
        <v>34</v>
      </c>
      <c r="D7" s="19">
        <v>43712</v>
      </c>
      <c r="E7" s="1" t="s">
        <v>154</v>
      </c>
      <c r="F7" s="1" t="s">
        <v>155</v>
      </c>
      <c r="G7" s="1" t="s">
        <v>64</v>
      </c>
      <c r="H7" s="1" t="s">
        <v>164</v>
      </c>
      <c r="I7" s="1" t="s">
        <v>86</v>
      </c>
      <c r="J7" s="1" t="s">
        <v>169</v>
      </c>
      <c r="K7" s="1" t="s">
        <v>157</v>
      </c>
      <c r="L7" s="19">
        <v>44075</v>
      </c>
      <c r="M7" s="19">
        <v>44111</v>
      </c>
      <c r="N7" s="27" t="s">
        <v>557</v>
      </c>
    </row>
    <row r="8" spans="1:14" x14ac:dyDescent="0.25">
      <c r="A8" s="38" t="str">
        <f>HYPERLINK("http://reports.ofsted.gov.uk/inspection-reports/find-inspection-report/provider/CARE/1258089","Ofsted Social Care Provider Webpage")</f>
        <v>Ofsted Social Care Provider Webpage</v>
      </c>
      <c r="B8" s="3">
        <v>1258089</v>
      </c>
      <c r="C8" s="1" t="s">
        <v>34</v>
      </c>
      <c r="D8" s="19">
        <v>43133</v>
      </c>
      <c r="E8" s="1" t="s">
        <v>154</v>
      </c>
      <c r="F8" s="1" t="s">
        <v>155</v>
      </c>
      <c r="G8" s="1" t="s">
        <v>64</v>
      </c>
      <c r="H8" s="1" t="s">
        <v>164</v>
      </c>
      <c r="I8" s="1" t="s">
        <v>86</v>
      </c>
      <c r="J8" s="1" t="s">
        <v>165</v>
      </c>
      <c r="K8" s="1" t="s">
        <v>157</v>
      </c>
      <c r="L8" s="19">
        <v>44075</v>
      </c>
      <c r="M8" s="19">
        <v>44111</v>
      </c>
      <c r="N8" s="27" t="s">
        <v>557</v>
      </c>
    </row>
    <row r="9" spans="1:14" x14ac:dyDescent="0.25">
      <c r="A9" s="38" t="str">
        <f>HYPERLINK("http://reports.ofsted.gov.uk/inspection-reports/find-inspection-report/provider/CARE/SC037762","Ofsted Social Care Provider Webpage")</f>
        <v>Ofsted Social Care Provider Webpage</v>
      </c>
      <c r="B9" s="3" t="s">
        <v>174</v>
      </c>
      <c r="C9" s="1" t="s">
        <v>34</v>
      </c>
      <c r="D9" s="19">
        <v>37900</v>
      </c>
      <c r="E9" s="1" t="s">
        <v>154</v>
      </c>
      <c r="F9" s="1" t="s">
        <v>155</v>
      </c>
      <c r="G9" s="1" t="s">
        <v>105</v>
      </c>
      <c r="H9" s="1" t="s">
        <v>105</v>
      </c>
      <c r="I9" s="1" t="s">
        <v>111</v>
      </c>
      <c r="J9" s="1" t="s">
        <v>175</v>
      </c>
      <c r="K9" s="1" t="s">
        <v>172</v>
      </c>
      <c r="L9" s="19">
        <v>44075</v>
      </c>
      <c r="M9" s="19">
        <v>44111</v>
      </c>
      <c r="N9" s="27" t="s">
        <v>559</v>
      </c>
    </row>
    <row r="10" spans="1:14" x14ac:dyDescent="0.25">
      <c r="A10" s="38" t="str">
        <f>HYPERLINK("http://reports.ofsted.gov.uk/inspection-reports/find-inspection-report/provider/CARE/SC061232","Ofsted Social Care Provider Webpage")</f>
        <v>Ofsted Social Care Provider Webpage</v>
      </c>
      <c r="B10" s="3" t="s">
        <v>170</v>
      </c>
      <c r="C10" s="1" t="s">
        <v>34</v>
      </c>
      <c r="D10" s="19">
        <v>38145</v>
      </c>
      <c r="E10" s="1" t="s">
        <v>154</v>
      </c>
      <c r="F10" s="1" t="s">
        <v>155</v>
      </c>
      <c r="G10" s="1" t="s">
        <v>114</v>
      </c>
      <c r="H10" s="1" t="s">
        <v>114</v>
      </c>
      <c r="I10" s="1" t="s">
        <v>116</v>
      </c>
      <c r="J10" s="1" t="s">
        <v>171</v>
      </c>
      <c r="K10" s="1" t="s">
        <v>172</v>
      </c>
      <c r="L10" s="19">
        <v>44075</v>
      </c>
      <c r="M10" s="19">
        <v>44112</v>
      </c>
      <c r="N10" s="27" t="s">
        <v>557</v>
      </c>
    </row>
    <row r="11" spans="1:14" x14ac:dyDescent="0.25">
      <c r="A11" s="38" t="str">
        <f>HYPERLINK("http://reports.ofsted.gov.uk/inspection-reports/find-inspection-report/provider/CARE/1280370","Ofsted Social Care Provider Webpage")</f>
        <v>Ofsted Social Care Provider Webpage</v>
      </c>
      <c r="B11" s="3">
        <v>1280370</v>
      </c>
      <c r="C11" s="1" t="s">
        <v>34</v>
      </c>
      <c r="D11" s="19">
        <v>43297</v>
      </c>
      <c r="E11" s="1" t="s">
        <v>154</v>
      </c>
      <c r="F11" s="1" t="s">
        <v>155</v>
      </c>
      <c r="G11" s="1" t="s">
        <v>87</v>
      </c>
      <c r="H11" s="1" t="s">
        <v>87</v>
      </c>
      <c r="I11" s="1" t="s">
        <v>96</v>
      </c>
      <c r="J11" s="1" t="s">
        <v>160</v>
      </c>
      <c r="K11" s="1" t="s">
        <v>157</v>
      </c>
      <c r="L11" s="19">
        <v>44075</v>
      </c>
      <c r="M11" s="19">
        <v>44119</v>
      </c>
      <c r="N11" s="27" t="s">
        <v>557</v>
      </c>
    </row>
    <row r="12" spans="1:14" x14ac:dyDescent="0.25">
      <c r="A12" s="38" t="str">
        <f>HYPERLINK("http://reports.ofsted.gov.uk/inspection-reports/find-inspection-report/provider/CARE/SC438764","Ofsted Social Care Provider Webpage")</f>
        <v>Ofsted Social Care Provider Webpage</v>
      </c>
      <c r="B12" s="3" t="s">
        <v>158</v>
      </c>
      <c r="C12" s="1" t="s">
        <v>34</v>
      </c>
      <c r="D12" s="19">
        <v>40879</v>
      </c>
      <c r="E12" s="1" t="s">
        <v>154</v>
      </c>
      <c r="F12" s="1" t="s">
        <v>155</v>
      </c>
      <c r="G12" s="1" t="s">
        <v>48</v>
      </c>
      <c r="H12" s="1" t="s">
        <v>48</v>
      </c>
      <c r="I12" s="1" t="s">
        <v>55</v>
      </c>
      <c r="J12" s="1" t="s">
        <v>159</v>
      </c>
      <c r="K12" s="1" t="s">
        <v>157</v>
      </c>
      <c r="L12" s="19">
        <v>44075</v>
      </c>
      <c r="M12" s="19">
        <v>44111</v>
      </c>
      <c r="N12" s="27" t="s">
        <v>557</v>
      </c>
    </row>
    <row r="13" spans="1:14" x14ac:dyDescent="0.25">
      <c r="A13" s="38" t="str">
        <f>HYPERLINK("http://reports.ofsted.gov.uk/inspection-reports/find-inspection-report/provider/CARE/SC023739","Ofsted Social Care Provider Webpage")</f>
        <v>Ofsted Social Care Provider Webpage</v>
      </c>
      <c r="B13" s="3" t="s">
        <v>161</v>
      </c>
      <c r="C13" s="1" t="s">
        <v>34</v>
      </c>
      <c r="D13" s="19">
        <v>37083</v>
      </c>
      <c r="E13" s="1" t="s">
        <v>154</v>
      </c>
      <c r="F13" s="1" t="s">
        <v>155</v>
      </c>
      <c r="G13" s="1" t="s">
        <v>105</v>
      </c>
      <c r="H13" s="1" t="s">
        <v>105</v>
      </c>
      <c r="I13" s="1" t="s">
        <v>109</v>
      </c>
      <c r="J13" s="1" t="s">
        <v>162</v>
      </c>
      <c r="K13" s="1" t="s">
        <v>157</v>
      </c>
      <c r="L13" s="19">
        <v>44075</v>
      </c>
      <c r="M13" s="19">
        <v>44106</v>
      </c>
      <c r="N13" s="27" t="s">
        <v>557</v>
      </c>
    </row>
    <row r="14" spans="1:14" x14ac:dyDescent="0.25">
      <c r="A14" s="38" t="str">
        <f>HYPERLINK("http://reports.ofsted.gov.uk/inspection-reports/find-inspection-report/provider/CARE/SC053529","Ofsted Social Care Provider Webpage")</f>
        <v>Ofsted Social Care Provider Webpage</v>
      </c>
      <c r="B14" s="3" t="s">
        <v>183</v>
      </c>
      <c r="C14" s="1" t="s">
        <v>34</v>
      </c>
      <c r="D14" s="19">
        <v>37973</v>
      </c>
      <c r="E14" s="1" t="s">
        <v>154</v>
      </c>
      <c r="F14" s="1" t="s">
        <v>155</v>
      </c>
      <c r="G14" s="1" t="s">
        <v>48</v>
      </c>
      <c r="H14" s="1" t="s">
        <v>48</v>
      </c>
      <c r="I14" s="1" t="s">
        <v>54</v>
      </c>
      <c r="J14" s="1" t="s">
        <v>54</v>
      </c>
      <c r="K14" s="1" t="s">
        <v>157</v>
      </c>
      <c r="L14" s="19">
        <v>44076</v>
      </c>
      <c r="M14" s="19">
        <v>44112</v>
      </c>
      <c r="N14" s="27" t="s">
        <v>557</v>
      </c>
    </row>
    <row r="15" spans="1:14" x14ac:dyDescent="0.25">
      <c r="A15" s="38" t="str">
        <f>HYPERLINK("http://reports.ofsted.gov.uk/inspection-reports/find-inspection-report/provider/CARE/SC035657","Ofsted Social Care Provider Webpage")</f>
        <v>Ofsted Social Care Provider Webpage</v>
      </c>
      <c r="B15" s="3" t="s">
        <v>210</v>
      </c>
      <c r="C15" s="1" t="s">
        <v>34</v>
      </c>
      <c r="D15" s="19">
        <v>37642</v>
      </c>
      <c r="E15" s="1" t="s">
        <v>154</v>
      </c>
      <c r="F15" s="1" t="s">
        <v>155</v>
      </c>
      <c r="G15" s="1" t="s">
        <v>87</v>
      </c>
      <c r="H15" s="1" t="s">
        <v>87</v>
      </c>
      <c r="I15" s="1" t="s">
        <v>96</v>
      </c>
      <c r="J15" s="1" t="s">
        <v>160</v>
      </c>
      <c r="K15" s="1" t="s">
        <v>157</v>
      </c>
      <c r="L15" s="19">
        <v>44076</v>
      </c>
      <c r="M15" s="19">
        <v>44111</v>
      </c>
      <c r="N15" s="27" t="s">
        <v>557</v>
      </c>
    </row>
    <row r="16" spans="1:14" x14ac:dyDescent="0.25">
      <c r="A16" s="38" t="str">
        <f>HYPERLINK("http://reports.ofsted.gov.uk/inspection-reports/find-inspection-report/provider/CARE/2544217","Ofsted Social Care Provider Webpage")</f>
        <v>Ofsted Social Care Provider Webpage</v>
      </c>
      <c r="B16" s="3">
        <v>2544217</v>
      </c>
      <c r="C16" s="1" t="s">
        <v>34</v>
      </c>
      <c r="D16" s="19">
        <v>43664</v>
      </c>
      <c r="E16" s="1" t="s">
        <v>154</v>
      </c>
      <c r="F16" s="1" t="s">
        <v>155</v>
      </c>
      <c r="G16" s="1" t="s">
        <v>39</v>
      </c>
      <c r="H16" s="1" t="s">
        <v>39</v>
      </c>
      <c r="I16" s="1" t="s">
        <v>46</v>
      </c>
      <c r="J16" s="1" t="s">
        <v>190</v>
      </c>
      <c r="K16" s="1" t="s">
        <v>157</v>
      </c>
      <c r="L16" s="19">
        <v>44076</v>
      </c>
      <c r="M16" s="19">
        <v>44117</v>
      </c>
      <c r="N16" s="27" t="s">
        <v>557</v>
      </c>
    </row>
    <row r="17" spans="1:14" x14ac:dyDescent="0.25">
      <c r="A17" s="38" t="str">
        <f>HYPERLINK("http://reports.ofsted.gov.uk/inspection-reports/find-inspection-report/provider/CARE/2589392","Ofsted Social Care Provider Webpage")</f>
        <v>Ofsted Social Care Provider Webpage</v>
      </c>
      <c r="B17" s="3">
        <v>2589392</v>
      </c>
      <c r="C17" s="1" t="s">
        <v>34</v>
      </c>
      <c r="D17" s="19">
        <v>43952</v>
      </c>
      <c r="E17" s="1" t="s">
        <v>154</v>
      </c>
      <c r="F17" s="1" t="s">
        <v>155</v>
      </c>
      <c r="G17" s="1" t="s">
        <v>87</v>
      </c>
      <c r="H17" s="1" t="s">
        <v>87</v>
      </c>
      <c r="I17" s="1" t="s">
        <v>93</v>
      </c>
      <c r="J17" s="1" t="s">
        <v>179</v>
      </c>
      <c r="K17" s="1" t="s">
        <v>157</v>
      </c>
      <c r="L17" s="19">
        <v>44076</v>
      </c>
      <c r="M17" s="19">
        <v>44124</v>
      </c>
      <c r="N17" s="27" t="s">
        <v>557</v>
      </c>
    </row>
    <row r="18" spans="1:14" x14ac:dyDescent="0.25">
      <c r="A18" s="38" t="str">
        <f>HYPERLINK("http://reports.ofsted.gov.uk/inspection-reports/find-inspection-report/provider/CARE/SC035593","Ofsted Social Care Provider Webpage")</f>
        <v>Ofsted Social Care Provider Webpage</v>
      </c>
      <c r="B18" s="3" t="s">
        <v>186</v>
      </c>
      <c r="C18" s="1" t="s">
        <v>34</v>
      </c>
      <c r="D18" s="19">
        <v>37707</v>
      </c>
      <c r="E18" s="1" t="s">
        <v>154</v>
      </c>
      <c r="F18" s="1" t="s">
        <v>155</v>
      </c>
      <c r="G18" s="1" t="s">
        <v>105</v>
      </c>
      <c r="H18" s="1" t="s">
        <v>105</v>
      </c>
      <c r="I18" s="1" t="s">
        <v>108</v>
      </c>
      <c r="J18" s="1" t="s">
        <v>187</v>
      </c>
      <c r="K18" s="1" t="s">
        <v>157</v>
      </c>
      <c r="L18" s="19">
        <v>44076</v>
      </c>
      <c r="M18" s="19">
        <v>44110</v>
      </c>
      <c r="N18" s="27" t="s">
        <v>557</v>
      </c>
    </row>
    <row r="19" spans="1:14" x14ac:dyDescent="0.25">
      <c r="A19" s="38" t="str">
        <f>HYPERLINK("http://reports.ofsted.gov.uk/inspection-reports/find-inspection-report/provider/CARE/1234317","Ofsted Social Care Provider Webpage")</f>
        <v>Ofsted Social Care Provider Webpage</v>
      </c>
      <c r="B19" s="3">
        <v>1234317</v>
      </c>
      <c r="C19" s="1" t="s">
        <v>34</v>
      </c>
      <c r="D19" s="19">
        <v>42586</v>
      </c>
      <c r="E19" s="1" t="s">
        <v>154</v>
      </c>
      <c r="F19" s="1" t="s">
        <v>155</v>
      </c>
      <c r="G19" s="1" t="s">
        <v>64</v>
      </c>
      <c r="H19" s="1" t="s">
        <v>164</v>
      </c>
      <c r="I19" s="1" t="s">
        <v>67</v>
      </c>
      <c r="J19" s="1" t="s">
        <v>182</v>
      </c>
      <c r="K19" s="1" t="s">
        <v>157</v>
      </c>
      <c r="L19" s="19">
        <v>44076</v>
      </c>
      <c r="M19" s="19">
        <v>44138</v>
      </c>
      <c r="N19" s="27" t="s">
        <v>557</v>
      </c>
    </row>
    <row r="20" spans="1:14" x14ac:dyDescent="0.25">
      <c r="A20" s="38" t="str">
        <f>HYPERLINK("http://reports.ofsted.gov.uk/inspection-reports/find-inspection-report/provider/CARE/1259734","Ofsted Social Care Provider Webpage")</f>
        <v>Ofsted Social Care Provider Webpage</v>
      </c>
      <c r="B20" s="3">
        <v>1259734</v>
      </c>
      <c r="C20" s="1" t="s">
        <v>34</v>
      </c>
      <c r="D20" s="19">
        <v>42989</v>
      </c>
      <c r="E20" s="1" t="s">
        <v>154</v>
      </c>
      <c r="F20" s="1" t="s">
        <v>155</v>
      </c>
      <c r="G20" s="1" t="s">
        <v>105</v>
      </c>
      <c r="H20" s="1" t="s">
        <v>105</v>
      </c>
      <c r="I20" s="1" t="s">
        <v>108</v>
      </c>
      <c r="J20" s="1" t="s">
        <v>206</v>
      </c>
      <c r="K20" s="1" t="s">
        <v>172</v>
      </c>
      <c r="L20" s="19">
        <v>44076</v>
      </c>
      <c r="M20" s="19">
        <v>44110</v>
      </c>
      <c r="N20" s="27" t="s">
        <v>557</v>
      </c>
    </row>
    <row r="21" spans="1:14" x14ac:dyDescent="0.25">
      <c r="A21" s="38" t="str">
        <f>HYPERLINK("http://reports.ofsted.gov.uk/inspection-reports/find-inspection-report/provider/CARE/SC022440","Ofsted Social Care Provider Webpage")</f>
        <v>Ofsted Social Care Provider Webpage</v>
      </c>
      <c r="B21" s="3" t="s">
        <v>198</v>
      </c>
      <c r="C21" s="1" t="s">
        <v>34</v>
      </c>
      <c r="D21" s="19">
        <v>37092</v>
      </c>
      <c r="E21" s="1" t="s">
        <v>154</v>
      </c>
      <c r="F21" s="1" t="s">
        <v>155</v>
      </c>
      <c r="G21" s="1" t="s">
        <v>87</v>
      </c>
      <c r="H21" s="1" t="s">
        <v>87</v>
      </c>
      <c r="I21" s="1" t="s">
        <v>99</v>
      </c>
      <c r="J21" s="1" t="s">
        <v>199</v>
      </c>
      <c r="K21" s="1" t="s">
        <v>157</v>
      </c>
      <c r="L21" s="19">
        <v>44076</v>
      </c>
      <c r="M21" s="19">
        <v>44111</v>
      </c>
      <c r="N21" s="27" t="s">
        <v>557</v>
      </c>
    </row>
    <row r="22" spans="1:14" x14ac:dyDescent="0.25">
      <c r="A22" s="38" t="str">
        <f>HYPERLINK("http://reports.ofsted.gov.uk/inspection-reports/find-inspection-report/provider/CARE/1224674","Ofsted Social Care Provider Webpage")</f>
        <v>Ofsted Social Care Provider Webpage</v>
      </c>
      <c r="B22" s="3">
        <v>1224674</v>
      </c>
      <c r="C22" s="1" t="s">
        <v>34</v>
      </c>
      <c r="D22" s="19">
        <v>42411</v>
      </c>
      <c r="E22" s="1" t="s">
        <v>154</v>
      </c>
      <c r="F22" s="1" t="s">
        <v>155</v>
      </c>
      <c r="G22" s="1" t="s">
        <v>39</v>
      </c>
      <c r="H22" s="1" t="s">
        <v>39</v>
      </c>
      <c r="I22" s="1" t="s">
        <v>47</v>
      </c>
      <c r="J22" s="1" t="s">
        <v>177</v>
      </c>
      <c r="K22" s="1" t="s">
        <v>157</v>
      </c>
      <c r="L22" s="19">
        <v>44076</v>
      </c>
      <c r="M22" s="19">
        <v>44120</v>
      </c>
      <c r="N22" s="27" t="s">
        <v>557</v>
      </c>
    </row>
    <row r="23" spans="1:14" x14ac:dyDescent="0.25">
      <c r="A23" s="38" t="str">
        <f>HYPERLINK("http://reports.ofsted.gov.uk/inspection-reports/find-inspection-report/provider/CARE/SC066120","Ofsted Social Care Provider Webpage")</f>
        <v>Ofsted Social Care Provider Webpage</v>
      </c>
      <c r="B23" s="3" t="s">
        <v>191</v>
      </c>
      <c r="C23" s="1" t="s">
        <v>34</v>
      </c>
      <c r="D23" s="19">
        <v>38698</v>
      </c>
      <c r="E23" s="1" t="s">
        <v>154</v>
      </c>
      <c r="F23" s="1" t="s">
        <v>155</v>
      </c>
      <c r="G23" s="1" t="s">
        <v>64</v>
      </c>
      <c r="H23" s="1" t="s">
        <v>164</v>
      </c>
      <c r="I23" s="1" t="s">
        <v>74</v>
      </c>
      <c r="J23" s="1" t="s">
        <v>192</v>
      </c>
      <c r="K23" s="1" t="s">
        <v>172</v>
      </c>
      <c r="L23" s="19">
        <v>44076</v>
      </c>
      <c r="M23" s="19">
        <v>44098</v>
      </c>
      <c r="N23" s="27" t="s">
        <v>557</v>
      </c>
    </row>
    <row r="24" spans="1:14" x14ac:dyDescent="0.25">
      <c r="A24" s="38" t="str">
        <f>HYPERLINK("http://reports.ofsted.gov.uk/inspection-reports/find-inspection-report/provider/CARE/1277304","Ofsted Social Care Provider Webpage")</f>
        <v>Ofsted Social Care Provider Webpage</v>
      </c>
      <c r="B24" s="3">
        <v>1277304</v>
      </c>
      <c r="C24" s="1" t="s">
        <v>34</v>
      </c>
      <c r="D24" s="19">
        <v>43228</v>
      </c>
      <c r="E24" s="1" t="s">
        <v>154</v>
      </c>
      <c r="F24" s="1" t="s">
        <v>155</v>
      </c>
      <c r="G24" s="1" t="s">
        <v>114</v>
      </c>
      <c r="H24" s="1" t="s">
        <v>114</v>
      </c>
      <c r="I24" s="1" t="s">
        <v>122</v>
      </c>
      <c r="J24" s="1" t="s">
        <v>188</v>
      </c>
      <c r="K24" s="1" t="s">
        <v>157</v>
      </c>
      <c r="L24" s="19">
        <v>44076</v>
      </c>
      <c r="M24" s="19">
        <v>44112</v>
      </c>
      <c r="N24" s="27" t="s">
        <v>559</v>
      </c>
    </row>
    <row r="25" spans="1:14" x14ac:dyDescent="0.25">
      <c r="A25" s="38" t="str">
        <f>HYPERLINK("http://reports.ofsted.gov.uk/inspection-reports/find-inspection-report/provider/CARE/1234323","Ofsted Social Care Provider Webpage")</f>
        <v>Ofsted Social Care Provider Webpage</v>
      </c>
      <c r="B25" s="3">
        <v>1234323</v>
      </c>
      <c r="C25" s="1" t="s">
        <v>34</v>
      </c>
      <c r="D25" s="19">
        <v>42535</v>
      </c>
      <c r="E25" s="1" t="s">
        <v>215</v>
      </c>
      <c r="F25" s="1" t="s">
        <v>155</v>
      </c>
      <c r="G25" s="1" t="s">
        <v>64</v>
      </c>
      <c r="H25" s="1" t="s">
        <v>213</v>
      </c>
      <c r="I25" s="1" t="s">
        <v>78</v>
      </c>
      <c r="J25" s="1" t="s">
        <v>78</v>
      </c>
      <c r="K25" s="1" t="s">
        <v>168</v>
      </c>
      <c r="L25" s="19">
        <v>44076</v>
      </c>
      <c r="M25" s="19">
        <v>44118</v>
      </c>
      <c r="N25" s="27" t="s">
        <v>559</v>
      </c>
    </row>
    <row r="26" spans="1:14" x14ac:dyDescent="0.25">
      <c r="A26" s="38" t="str">
        <f>HYPERLINK("http://reports.ofsted.gov.uk/inspection-reports/find-inspection-report/provider/CARE/SC045408","Ofsted Social Care Provider Webpage")</f>
        <v>Ofsted Social Care Provider Webpage</v>
      </c>
      <c r="B26" s="3" t="s">
        <v>195</v>
      </c>
      <c r="C26" s="1" t="s">
        <v>34</v>
      </c>
      <c r="D26" s="19">
        <v>37944</v>
      </c>
      <c r="E26" s="1" t="s">
        <v>154</v>
      </c>
      <c r="F26" s="1" t="s">
        <v>155</v>
      </c>
      <c r="G26" s="1" t="s">
        <v>105</v>
      </c>
      <c r="H26" s="1" t="s">
        <v>105</v>
      </c>
      <c r="I26" s="1" t="s">
        <v>112</v>
      </c>
      <c r="J26" s="1" t="s">
        <v>196</v>
      </c>
      <c r="K26" s="1" t="s">
        <v>172</v>
      </c>
      <c r="L26" s="19">
        <v>44076</v>
      </c>
      <c r="M26" s="19">
        <v>44110</v>
      </c>
      <c r="N26" s="27" t="s">
        <v>557</v>
      </c>
    </row>
    <row r="27" spans="1:14" x14ac:dyDescent="0.25">
      <c r="A27" s="38" t="str">
        <f>HYPERLINK("http://reports.ofsted.gov.uk/inspection-reports/find-inspection-report/provider/CARE/SC411208","Ofsted Social Care Provider Webpage")</f>
        <v>Ofsted Social Care Provider Webpage</v>
      </c>
      <c r="B27" s="3" t="s">
        <v>200</v>
      </c>
      <c r="C27" s="1" t="s">
        <v>34</v>
      </c>
      <c r="D27" s="19">
        <v>40365</v>
      </c>
      <c r="E27" s="1" t="s">
        <v>154</v>
      </c>
      <c r="F27" s="1" t="s">
        <v>155</v>
      </c>
      <c r="G27" s="1" t="s">
        <v>114</v>
      </c>
      <c r="H27" s="1" t="s">
        <v>114</v>
      </c>
      <c r="I27" s="1" t="s">
        <v>123</v>
      </c>
      <c r="J27" s="1" t="s">
        <v>201</v>
      </c>
      <c r="K27" s="1" t="s">
        <v>157</v>
      </c>
      <c r="L27" s="19">
        <v>44076</v>
      </c>
      <c r="M27" s="19">
        <v>44125</v>
      </c>
      <c r="N27" s="27" t="s">
        <v>557</v>
      </c>
    </row>
    <row r="28" spans="1:14" x14ac:dyDescent="0.25">
      <c r="A28" s="38" t="str">
        <f>HYPERLINK("http://reports.ofsted.gov.uk/inspection-reports/find-inspection-report/provider/CARE/1250035","Ofsted Social Care Provider Webpage")</f>
        <v>Ofsted Social Care Provider Webpage</v>
      </c>
      <c r="B28" s="3">
        <v>1250035</v>
      </c>
      <c r="C28" s="1" t="s">
        <v>34</v>
      </c>
      <c r="D28" s="19">
        <v>42774</v>
      </c>
      <c r="E28" s="1" t="s">
        <v>154</v>
      </c>
      <c r="F28" s="1" t="s">
        <v>155</v>
      </c>
      <c r="G28" s="1" t="s">
        <v>87</v>
      </c>
      <c r="H28" s="1" t="s">
        <v>87</v>
      </c>
      <c r="I28" s="1" t="s">
        <v>99</v>
      </c>
      <c r="J28" s="1" t="s">
        <v>180</v>
      </c>
      <c r="K28" s="1" t="s">
        <v>157</v>
      </c>
      <c r="L28" s="19">
        <v>44076</v>
      </c>
      <c r="M28" s="19">
        <v>44113</v>
      </c>
      <c r="N28" s="27" t="s">
        <v>557</v>
      </c>
    </row>
    <row r="29" spans="1:14" x14ac:dyDescent="0.25">
      <c r="A29" s="38" t="str">
        <f>HYPERLINK("http://reports.ofsted.gov.uk/inspection-reports/find-inspection-report/provider/CARE/2575788","Ofsted Social Care Provider Webpage")</f>
        <v>Ofsted Social Care Provider Webpage</v>
      </c>
      <c r="B29" s="3">
        <v>2575788</v>
      </c>
      <c r="C29" s="1" t="s">
        <v>34</v>
      </c>
      <c r="D29" s="19">
        <v>43901</v>
      </c>
      <c r="E29" s="1" t="s">
        <v>154</v>
      </c>
      <c r="F29" s="1" t="s">
        <v>155</v>
      </c>
      <c r="G29" s="1" t="s">
        <v>114</v>
      </c>
      <c r="H29" s="1" t="s">
        <v>114</v>
      </c>
      <c r="I29" s="1" t="s">
        <v>125</v>
      </c>
      <c r="J29" s="1" t="s">
        <v>181</v>
      </c>
      <c r="K29" s="1" t="s">
        <v>157</v>
      </c>
      <c r="L29" s="19">
        <v>44076</v>
      </c>
      <c r="M29" s="19">
        <v>44113</v>
      </c>
      <c r="N29" s="27" t="s">
        <v>557</v>
      </c>
    </row>
    <row r="30" spans="1:14" x14ac:dyDescent="0.25">
      <c r="A30" s="38" t="str">
        <f>HYPERLINK("http://reports.ofsted.gov.uk/inspection-reports/find-inspection-report/provider/CARE/SC484789","Ofsted Social Care Provider Webpage")</f>
        <v>Ofsted Social Care Provider Webpage</v>
      </c>
      <c r="B30" s="3" t="s">
        <v>207</v>
      </c>
      <c r="C30" s="1" t="s">
        <v>34</v>
      </c>
      <c r="D30" s="19">
        <v>42031</v>
      </c>
      <c r="E30" s="1" t="s">
        <v>154</v>
      </c>
      <c r="F30" s="1" t="s">
        <v>155</v>
      </c>
      <c r="G30" s="1" t="s">
        <v>87</v>
      </c>
      <c r="H30" s="1" t="s">
        <v>87</v>
      </c>
      <c r="I30" s="1" t="s">
        <v>89</v>
      </c>
      <c r="J30" s="1" t="s">
        <v>208</v>
      </c>
      <c r="K30" s="1" t="s">
        <v>168</v>
      </c>
      <c r="L30" s="19">
        <v>44076</v>
      </c>
      <c r="M30" s="19">
        <v>44119</v>
      </c>
      <c r="N30" s="27" t="s">
        <v>557</v>
      </c>
    </row>
    <row r="31" spans="1:14" x14ac:dyDescent="0.25">
      <c r="A31" s="38" t="str">
        <f>HYPERLINK("http://reports.ofsted.gov.uk/inspection-reports/find-inspection-report/provider/CARE/SC035439","Ofsted Social Care Provider Webpage")</f>
        <v>Ofsted Social Care Provider Webpage</v>
      </c>
      <c r="B31" s="3" t="s">
        <v>202</v>
      </c>
      <c r="C31" s="1" t="s">
        <v>34</v>
      </c>
      <c r="D31" s="19">
        <v>37928</v>
      </c>
      <c r="E31" s="1" t="s">
        <v>154</v>
      </c>
      <c r="F31" s="1" t="s">
        <v>155</v>
      </c>
      <c r="G31" s="1" t="s">
        <v>87</v>
      </c>
      <c r="H31" s="1" t="s">
        <v>87</v>
      </c>
      <c r="I31" s="1" t="s">
        <v>93</v>
      </c>
      <c r="J31" s="1" t="s">
        <v>203</v>
      </c>
      <c r="K31" s="1" t="s">
        <v>172</v>
      </c>
      <c r="L31" s="19">
        <v>44076</v>
      </c>
      <c r="M31" s="19">
        <v>44112</v>
      </c>
      <c r="N31" s="27" t="s">
        <v>557</v>
      </c>
    </row>
    <row r="32" spans="1:14" x14ac:dyDescent="0.25">
      <c r="A32" s="38" t="str">
        <f>HYPERLINK("http://reports.ofsted.gov.uk/inspection-reports/find-inspection-report/provider/CARE/2580887","Ofsted Social Care Provider Webpage")</f>
        <v>Ofsted Social Care Provider Webpage</v>
      </c>
      <c r="B32" s="3">
        <v>2580887</v>
      </c>
      <c r="C32" s="1" t="s">
        <v>34</v>
      </c>
      <c r="D32" s="19">
        <v>43964</v>
      </c>
      <c r="E32" s="1" t="s">
        <v>154</v>
      </c>
      <c r="F32" s="1" t="s">
        <v>155</v>
      </c>
      <c r="G32" s="1" t="s">
        <v>48</v>
      </c>
      <c r="H32" s="1" t="s">
        <v>48</v>
      </c>
      <c r="I32" s="1" t="s">
        <v>53</v>
      </c>
      <c r="J32" s="1" t="s">
        <v>178</v>
      </c>
      <c r="K32" s="1" t="s">
        <v>157</v>
      </c>
      <c r="L32" s="19">
        <v>44076</v>
      </c>
      <c r="M32" s="19">
        <v>44111</v>
      </c>
      <c r="N32" s="27" t="s">
        <v>557</v>
      </c>
    </row>
    <row r="33" spans="1:14" x14ac:dyDescent="0.25">
      <c r="A33" s="38" t="str">
        <f>HYPERLINK("http://reports.ofsted.gov.uk/inspection-reports/find-inspection-report/provider/CARE/1228090","Ofsted Social Care Provider Webpage")</f>
        <v>Ofsted Social Care Provider Webpage</v>
      </c>
      <c r="B33" s="3">
        <v>1228090</v>
      </c>
      <c r="C33" s="1" t="s">
        <v>34</v>
      </c>
      <c r="D33" s="19">
        <v>42487</v>
      </c>
      <c r="E33" s="1" t="s">
        <v>154</v>
      </c>
      <c r="F33" s="1" t="s">
        <v>155</v>
      </c>
      <c r="G33" s="1" t="s">
        <v>128</v>
      </c>
      <c r="H33" s="1" t="s">
        <v>128</v>
      </c>
      <c r="I33" s="1" t="s">
        <v>129</v>
      </c>
      <c r="J33" s="1" t="s">
        <v>197</v>
      </c>
      <c r="K33" s="1" t="s">
        <v>157</v>
      </c>
      <c r="L33" s="19">
        <v>44076</v>
      </c>
      <c r="M33" s="19">
        <v>44130</v>
      </c>
      <c r="N33" s="27" t="s">
        <v>557</v>
      </c>
    </row>
    <row r="34" spans="1:14" x14ac:dyDescent="0.25">
      <c r="A34" s="38" t="str">
        <f>HYPERLINK("http://reports.ofsted.gov.uk/inspection-reports/find-inspection-report/provider/CARE/1212094","Ofsted Social Care Provider Webpage")</f>
        <v>Ofsted Social Care Provider Webpage</v>
      </c>
      <c r="B34" s="3">
        <v>1212094</v>
      </c>
      <c r="C34" s="1" t="s">
        <v>34</v>
      </c>
      <c r="D34" s="19">
        <v>42409</v>
      </c>
      <c r="E34" s="1" t="s">
        <v>154</v>
      </c>
      <c r="F34" s="1" t="s">
        <v>155</v>
      </c>
      <c r="G34" s="1" t="s">
        <v>87</v>
      </c>
      <c r="H34" s="1" t="s">
        <v>87</v>
      </c>
      <c r="I34" s="1" t="s">
        <v>98</v>
      </c>
      <c r="J34" s="1" t="s">
        <v>209</v>
      </c>
      <c r="K34" s="1" t="s">
        <v>157</v>
      </c>
      <c r="L34" s="19">
        <v>44076</v>
      </c>
      <c r="M34" s="19">
        <v>44112</v>
      </c>
      <c r="N34" s="27" t="s">
        <v>557</v>
      </c>
    </row>
    <row r="35" spans="1:14" x14ac:dyDescent="0.25">
      <c r="A35" s="38" t="str">
        <f>HYPERLINK("http://reports.ofsted.gov.uk/inspection-reports/find-inspection-report/provider/CARE/SC431699","Ofsted Social Care Provider Webpage")</f>
        <v>Ofsted Social Care Provider Webpage</v>
      </c>
      <c r="B35" s="3" t="s">
        <v>184</v>
      </c>
      <c r="C35" s="1" t="s">
        <v>34</v>
      </c>
      <c r="D35" s="19">
        <v>40757</v>
      </c>
      <c r="E35" s="1" t="s">
        <v>154</v>
      </c>
      <c r="F35" s="1" t="s">
        <v>155</v>
      </c>
      <c r="G35" s="1" t="s">
        <v>39</v>
      </c>
      <c r="H35" s="1" t="s">
        <v>39</v>
      </c>
      <c r="I35" s="1" t="s">
        <v>45</v>
      </c>
      <c r="J35" s="1" t="s">
        <v>185</v>
      </c>
      <c r="K35" s="1" t="s">
        <v>157</v>
      </c>
      <c r="L35" s="19">
        <v>44076</v>
      </c>
      <c r="M35" s="19">
        <v>44140</v>
      </c>
      <c r="N35" s="27" t="s">
        <v>559</v>
      </c>
    </row>
    <row r="36" spans="1:14" x14ac:dyDescent="0.25">
      <c r="A36" s="38" t="str">
        <f>HYPERLINK("http://reports.ofsted.gov.uk/inspection-reports/find-inspection-report/provider/CARE/1241836","Ofsted Social Care Provider Webpage")</f>
        <v>Ofsted Social Care Provider Webpage</v>
      </c>
      <c r="B36" s="3">
        <v>1241836</v>
      </c>
      <c r="C36" s="1" t="s">
        <v>34</v>
      </c>
      <c r="D36" s="19">
        <v>42759</v>
      </c>
      <c r="E36" s="1" t="s">
        <v>154</v>
      </c>
      <c r="F36" s="1" t="s">
        <v>155</v>
      </c>
      <c r="G36" s="1" t="s">
        <v>105</v>
      </c>
      <c r="H36" s="1" t="s">
        <v>105</v>
      </c>
      <c r="I36" s="1" t="s">
        <v>108</v>
      </c>
      <c r="J36" s="1" t="s">
        <v>206</v>
      </c>
      <c r="K36" s="1" t="s">
        <v>157</v>
      </c>
      <c r="L36" s="19">
        <v>44076</v>
      </c>
      <c r="M36" s="19">
        <v>44110</v>
      </c>
      <c r="N36" s="27" t="s">
        <v>557</v>
      </c>
    </row>
    <row r="37" spans="1:14" x14ac:dyDescent="0.25">
      <c r="A37" s="38" t="str">
        <f>HYPERLINK("http://reports.ofsted.gov.uk/inspection-reports/find-inspection-report/provider/CARE/2544851","Ofsted Social Care Provider Webpage")</f>
        <v>Ofsted Social Care Provider Webpage</v>
      </c>
      <c r="B37" s="3">
        <v>2544851</v>
      </c>
      <c r="C37" s="1" t="s">
        <v>34</v>
      </c>
      <c r="D37" s="19">
        <v>43803</v>
      </c>
      <c r="E37" s="1" t="s">
        <v>154</v>
      </c>
      <c r="F37" s="1" t="s">
        <v>155</v>
      </c>
      <c r="G37" s="1" t="s">
        <v>64</v>
      </c>
      <c r="H37" s="1" t="s">
        <v>213</v>
      </c>
      <c r="I37" s="1" t="s">
        <v>85</v>
      </c>
      <c r="J37" s="1" t="s">
        <v>214</v>
      </c>
      <c r="K37" s="1" t="s">
        <v>157</v>
      </c>
      <c r="L37" s="19">
        <v>44076</v>
      </c>
      <c r="M37" s="19">
        <v>44103</v>
      </c>
      <c r="N37" s="27" t="s">
        <v>557</v>
      </c>
    </row>
    <row r="38" spans="1:14" x14ac:dyDescent="0.25">
      <c r="A38" s="38" t="str">
        <f>HYPERLINK("http://reports.ofsted.gov.uk/inspection-reports/find-inspection-report/provider/CARE/SC449099","Ofsted Social Care Provider Webpage")</f>
        <v>Ofsted Social Care Provider Webpage</v>
      </c>
      <c r="B38" s="3" t="s">
        <v>204</v>
      </c>
      <c r="C38" s="1" t="s">
        <v>34</v>
      </c>
      <c r="D38" s="19">
        <v>41113</v>
      </c>
      <c r="E38" s="1" t="s">
        <v>154</v>
      </c>
      <c r="F38" s="1" t="s">
        <v>155</v>
      </c>
      <c r="G38" s="1" t="s">
        <v>39</v>
      </c>
      <c r="H38" s="1" t="s">
        <v>39</v>
      </c>
      <c r="I38" s="1" t="s">
        <v>42</v>
      </c>
      <c r="J38" s="1" t="s">
        <v>205</v>
      </c>
      <c r="K38" s="1" t="s">
        <v>157</v>
      </c>
      <c r="L38" s="19">
        <v>44076</v>
      </c>
      <c r="M38" s="19">
        <v>44118</v>
      </c>
      <c r="N38" s="27" t="s">
        <v>557</v>
      </c>
    </row>
    <row r="39" spans="1:14" x14ac:dyDescent="0.25">
      <c r="A39" s="38" t="str">
        <f>HYPERLINK("http://reports.ofsted.gov.uk/inspection-reports/find-inspection-report/provider/CARE/SC487196","Ofsted Social Care Provider Webpage")</f>
        <v>Ofsted Social Care Provider Webpage</v>
      </c>
      <c r="B39" s="3" t="s">
        <v>211</v>
      </c>
      <c r="C39" s="1" t="s">
        <v>34</v>
      </c>
      <c r="D39" s="19">
        <v>42110</v>
      </c>
      <c r="E39" s="1" t="s">
        <v>154</v>
      </c>
      <c r="F39" s="1" t="s">
        <v>155</v>
      </c>
      <c r="G39" s="1" t="s">
        <v>105</v>
      </c>
      <c r="H39" s="1" t="s">
        <v>105</v>
      </c>
      <c r="I39" s="1" t="s">
        <v>113</v>
      </c>
      <c r="J39" s="1" t="s">
        <v>212</v>
      </c>
      <c r="K39" s="1" t="s">
        <v>157</v>
      </c>
      <c r="L39" s="19">
        <v>44076</v>
      </c>
      <c r="M39" s="19">
        <v>44123</v>
      </c>
      <c r="N39" s="27" t="s">
        <v>557</v>
      </c>
    </row>
    <row r="40" spans="1:14" x14ac:dyDescent="0.25">
      <c r="A40" s="38" t="str">
        <f>HYPERLINK("http://reports.ofsted.gov.uk/inspection-reports/find-inspection-report/provider/CARE/SC457621","Ofsted Social Care Provider Webpage")</f>
        <v>Ofsted Social Care Provider Webpage</v>
      </c>
      <c r="B40" s="3" t="s">
        <v>193</v>
      </c>
      <c r="C40" s="1" t="s">
        <v>34</v>
      </c>
      <c r="D40" s="19">
        <v>41368</v>
      </c>
      <c r="E40" s="1" t="s">
        <v>154</v>
      </c>
      <c r="F40" s="1" t="s">
        <v>155</v>
      </c>
      <c r="G40" s="1" t="s">
        <v>39</v>
      </c>
      <c r="H40" s="1" t="s">
        <v>39</v>
      </c>
      <c r="I40" s="1" t="s">
        <v>44</v>
      </c>
      <c r="J40" s="1" t="s">
        <v>194</v>
      </c>
      <c r="K40" s="1" t="s">
        <v>157</v>
      </c>
      <c r="L40" s="19">
        <v>44076</v>
      </c>
      <c r="M40" s="19">
        <v>44117</v>
      </c>
      <c r="N40" s="27" t="s">
        <v>557</v>
      </c>
    </row>
    <row r="41" spans="1:14" x14ac:dyDescent="0.25">
      <c r="A41" s="38" t="str">
        <f>HYPERLINK("http://reports.ofsted.gov.uk/inspection-reports/find-inspection-report/provider/CARE/2527654","Ofsted Social Care Provider Webpage")</f>
        <v>Ofsted Social Care Provider Webpage</v>
      </c>
      <c r="B41" s="3">
        <v>2527654</v>
      </c>
      <c r="C41" s="1" t="s">
        <v>34</v>
      </c>
      <c r="D41" s="19">
        <v>43651</v>
      </c>
      <c r="E41" s="1" t="s">
        <v>154</v>
      </c>
      <c r="F41" s="1" t="s">
        <v>155</v>
      </c>
      <c r="G41" s="1" t="s">
        <v>87</v>
      </c>
      <c r="H41" s="1" t="s">
        <v>87</v>
      </c>
      <c r="I41" s="1" t="s">
        <v>104</v>
      </c>
      <c r="J41" s="1" t="s">
        <v>189</v>
      </c>
      <c r="K41" s="1" t="s">
        <v>157</v>
      </c>
      <c r="L41" s="19">
        <v>44076</v>
      </c>
      <c r="M41" s="19">
        <v>44112</v>
      </c>
      <c r="N41" s="27" t="s">
        <v>557</v>
      </c>
    </row>
    <row r="42" spans="1:14" x14ac:dyDescent="0.25">
      <c r="A42" s="38" t="str">
        <f>HYPERLINK("http://reports.ofsted.gov.uk/inspection-reports/find-inspection-report/provider/CARE/2563216","Ofsted Social Care Provider Webpage")</f>
        <v>Ofsted Social Care Provider Webpage</v>
      </c>
      <c r="B42" s="3">
        <v>2563216</v>
      </c>
      <c r="C42" s="1" t="s">
        <v>34</v>
      </c>
      <c r="D42" s="19">
        <v>43790</v>
      </c>
      <c r="E42" s="1" t="s">
        <v>154</v>
      </c>
      <c r="F42" s="1" t="s">
        <v>155</v>
      </c>
      <c r="G42" s="1" t="s">
        <v>64</v>
      </c>
      <c r="H42" s="1" t="s">
        <v>164</v>
      </c>
      <c r="I42" s="1" t="s">
        <v>77</v>
      </c>
      <c r="J42" s="1" t="s">
        <v>229</v>
      </c>
      <c r="K42" s="1" t="s">
        <v>172</v>
      </c>
      <c r="L42" s="19">
        <v>44077</v>
      </c>
      <c r="M42" s="19">
        <v>44139</v>
      </c>
      <c r="N42" s="27" t="s">
        <v>557</v>
      </c>
    </row>
    <row r="43" spans="1:14" x14ac:dyDescent="0.25">
      <c r="A43" s="38" t="str">
        <f>HYPERLINK("http://reports.ofsted.gov.uk/inspection-reports/find-inspection-report/provider/CARE/SC481631","Ofsted Social Care Provider Webpage")</f>
        <v>Ofsted Social Care Provider Webpage</v>
      </c>
      <c r="B43" s="3" t="s">
        <v>216</v>
      </c>
      <c r="C43" s="1" t="s">
        <v>34</v>
      </c>
      <c r="D43" s="19">
        <v>42051</v>
      </c>
      <c r="E43" s="1" t="s">
        <v>154</v>
      </c>
      <c r="F43" s="1" t="s">
        <v>155</v>
      </c>
      <c r="G43" s="1" t="s">
        <v>64</v>
      </c>
      <c r="H43" s="1" t="s">
        <v>164</v>
      </c>
      <c r="I43" s="1" t="s">
        <v>79</v>
      </c>
      <c r="J43" s="1" t="s">
        <v>217</v>
      </c>
      <c r="K43" s="1" t="s">
        <v>157</v>
      </c>
      <c r="L43" s="19">
        <v>44077</v>
      </c>
      <c r="M43" s="19">
        <v>44119</v>
      </c>
      <c r="N43" s="27" t="s">
        <v>557</v>
      </c>
    </row>
    <row r="44" spans="1:14" x14ac:dyDescent="0.25">
      <c r="A44" s="38" t="str">
        <f>HYPERLINK("http://reports.ofsted.gov.uk/inspection-reports/find-inspection-report/provider/CARE/SC361789","Ofsted Social Care Provider Webpage")</f>
        <v>Ofsted Social Care Provider Webpage</v>
      </c>
      <c r="B44" s="3" t="s">
        <v>222</v>
      </c>
      <c r="C44" s="1" t="s">
        <v>34</v>
      </c>
      <c r="D44" s="19">
        <v>39360</v>
      </c>
      <c r="E44" s="1" t="s">
        <v>154</v>
      </c>
      <c r="F44" s="1" t="s">
        <v>155</v>
      </c>
      <c r="G44" s="1" t="s">
        <v>114</v>
      </c>
      <c r="H44" s="1" t="s">
        <v>114</v>
      </c>
      <c r="I44" s="1" t="s">
        <v>117</v>
      </c>
      <c r="J44" s="1" t="s">
        <v>223</v>
      </c>
      <c r="K44" s="1" t="s">
        <v>172</v>
      </c>
      <c r="L44" s="19">
        <v>44077</v>
      </c>
      <c r="M44" s="19">
        <v>44120</v>
      </c>
      <c r="N44" s="27" t="s">
        <v>557</v>
      </c>
    </row>
    <row r="45" spans="1:14" x14ac:dyDescent="0.25">
      <c r="A45" s="38" t="str">
        <f>HYPERLINK("http://reports.ofsted.gov.uk/inspection-reports/find-inspection-report/provider/CARE/SC472392","Ofsted Social Care Provider Webpage")</f>
        <v>Ofsted Social Care Provider Webpage</v>
      </c>
      <c r="B45" s="3" t="s">
        <v>801</v>
      </c>
      <c r="C45" s="1" t="s">
        <v>34</v>
      </c>
      <c r="D45" s="19">
        <v>41642</v>
      </c>
      <c r="E45" s="1" t="s">
        <v>154</v>
      </c>
      <c r="F45" s="1" t="s">
        <v>155</v>
      </c>
      <c r="G45" s="1" t="s">
        <v>64</v>
      </c>
      <c r="H45" s="1" t="s">
        <v>213</v>
      </c>
      <c r="I45" s="1" t="s">
        <v>75</v>
      </c>
      <c r="J45" s="1" t="s">
        <v>75</v>
      </c>
      <c r="K45" s="1" t="s">
        <v>172</v>
      </c>
      <c r="L45" s="19">
        <v>44077</v>
      </c>
      <c r="M45" s="19">
        <v>44159</v>
      </c>
      <c r="N45" s="27" t="s">
        <v>559</v>
      </c>
    </row>
    <row r="46" spans="1:14" x14ac:dyDescent="0.25">
      <c r="A46" s="38" t="str">
        <f>HYPERLINK("http://reports.ofsted.gov.uk/inspection-reports/find-inspection-report/provider/CARE/SC374640","Ofsted Social Care Provider Webpage")</f>
        <v>Ofsted Social Care Provider Webpage</v>
      </c>
      <c r="B46" s="3" t="s">
        <v>225</v>
      </c>
      <c r="C46" s="1" t="s">
        <v>34</v>
      </c>
      <c r="D46" s="19">
        <v>39577</v>
      </c>
      <c r="E46" s="1" t="s">
        <v>154</v>
      </c>
      <c r="F46" s="1" t="s">
        <v>155</v>
      </c>
      <c r="G46" s="1" t="s">
        <v>114</v>
      </c>
      <c r="H46" s="1" t="s">
        <v>114</v>
      </c>
      <c r="I46" s="1" t="s">
        <v>124</v>
      </c>
      <c r="J46" s="1" t="s">
        <v>226</v>
      </c>
      <c r="K46" s="1" t="s">
        <v>157</v>
      </c>
      <c r="L46" s="19">
        <v>44077</v>
      </c>
      <c r="M46" s="19">
        <v>44110</v>
      </c>
      <c r="N46" s="27" t="s">
        <v>557</v>
      </c>
    </row>
    <row r="47" spans="1:14" x14ac:dyDescent="0.25">
      <c r="A47" s="38" t="str">
        <f>HYPERLINK("http://reports.ofsted.gov.uk/inspection-reports/find-inspection-report/provider/CARE/SC034797","Ofsted Social Care Provider Webpage")</f>
        <v>Ofsted Social Care Provider Webpage</v>
      </c>
      <c r="B47" s="3" t="s">
        <v>218</v>
      </c>
      <c r="C47" s="1" t="s">
        <v>34</v>
      </c>
      <c r="D47" s="19">
        <v>37979</v>
      </c>
      <c r="E47" s="1" t="s">
        <v>154</v>
      </c>
      <c r="F47" s="1" t="s">
        <v>155</v>
      </c>
      <c r="G47" s="1" t="s">
        <v>48</v>
      </c>
      <c r="H47" s="1" t="s">
        <v>48</v>
      </c>
      <c r="I47" s="1" t="s">
        <v>53</v>
      </c>
      <c r="J47" s="1" t="s">
        <v>219</v>
      </c>
      <c r="K47" s="1" t="s">
        <v>172</v>
      </c>
      <c r="L47" s="19">
        <v>44077</v>
      </c>
      <c r="M47" s="19">
        <v>44111</v>
      </c>
      <c r="N47" s="27" t="s">
        <v>557</v>
      </c>
    </row>
    <row r="48" spans="1:14" x14ac:dyDescent="0.25">
      <c r="A48" s="38" t="str">
        <f>HYPERLINK("http://reports.ofsted.gov.uk/inspection-reports/find-inspection-report/provider/CARE/SC447645","Ofsted Social Care Provider Webpage")</f>
        <v>Ofsted Social Care Provider Webpage</v>
      </c>
      <c r="B48" s="3" t="s">
        <v>227</v>
      </c>
      <c r="C48" s="1" t="s">
        <v>34</v>
      </c>
      <c r="D48" s="19">
        <v>41200</v>
      </c>
      <c r="E48" s="1" t="s">
        <v>154</v>
      </c>
      <c r="F48" s="1" t="s">
        <v>155</v>
      </c>
      <c r="G48" s="1" t="s">
        <v>128</v>
      </c>
      <c r="H48" s="1" t="s">
        <v>128</v>
      </c>
      <c r="I48" s="1" t="s">
        <v>134</v>
      </c>
      <c r="J48" s="1" t="s">
        <v>228</v>
      </c>
      <c r="K48" s="1" t="s">
        <v>157</v>
      </c>
      <c r="L48" s="19">
        <v>44077</v>
      </c>
      <c r="M48" s="19">
        <v>44113</v>
      </c>
      <c r="N48" s="27" t="s">
        <v>557</v>
      </c>
    </row>
    <row r="49" spans="1:14" x14ac:dyDescent="0.25">
      <c r="A49" s="38" t="str">
        <f>HYPERLINK("http://reports.ofsted.gov.uk/inspection-reports/find-inspection-report/provider/CARE/2513340","Ofsted Social Care Provider Webpage")</f>
        <v>Ofsted Social Care Provider Webpage</v>
      </c>
      <c r="B49" s="3">
        <v>2513340</v>
      </c>
      <c r="C49" s="1" t="s">
        <v>34</v>
      </c>
      <c r="D49" s="19">
        <v>43843</v>
      </c>
      <c r="E49" s="1" t="s">
        <v>154</v>
      </c>
      <c r="F49" s="1" t="s">
        <v>155</v>
      </c>
      <c r="G49" s="1" t="s">
        <v>128</v>
      </c>
      <c r="H49" s="1" t="s">
        <v>128</v>
      </c>
      <c r="I49" s="1" t="s">
        <v>139</v>
      </c>
      <c r="J49" s="1" t="s">
        <v>224</v>
      </c>
      <c r="K49" s="1" t="s">
        <v>157</v>
      </c>
      <c r="L49" s="19">
        <v>44077</v>
      </c>
      <c r="M49" s="19">
        <v>44111</v>
      </c>
      <c r="N49" s="27" t="s">
        <v>557</v>
      </c>
    </row>
    <row r="50" spans="1:14" x14ac:dyDescent="0.25">
      <c r="A50" s="38" t="str">
        <f>HYPERLINK("http://reports.ofsted.gov.uk/inspection-reports/find-inspection-report/provider/CARE/SC037256","Ofsted Social Care Provider Webpage")</f>
        <v>Ofsted Social Care Provider Webpage</v>
      </c>
      <c r="B50" s="3" t="s">
        <v>220</v>
      </c>
      <c r="C50" s="1" t="s">
        <v>34</v>
      </c>
      <c r="D50" s="19">
        <v>37697</v>
      </c>
      <c r="E50" s="1" t="s">
        <v>154</v>
      </c>
      <c r="F50" s="1" t="s">
        <v>155</v>
      </c>
      <c r="G50" s="1" t="s">
        <v>48</v>
      </c>
      <c r="H50" s="1" t="s">
        <v>48</v>
      </c>
      <c r="I50" s="1" t="s">
        <v>56</v>
      </c>
      <c r="J50" s="1" t="s">
        <v>221</v>
      </c>
      <c r="K50" s="1" t="s">
        <v>172</v>
      </c>
      <c r="L50" s="19">
        <v>44077</v>
      </c>
      <c r="M50" s="19">
        <v>44127</v>
      </c>
      <c r="N50" s="27" t="s">
        <v>557</v>
      </c>
    </row>
    <row r="51" spans="1:14" x14ac:dyDescent="0.25">
      <c r="A51" s="38" t="str">
        <f>HYPERLINK("http://reports.ofsted.gov.uk/inspection-reports/find-inspection-report/provider/CARE/2530253","Ofsted Social Care Provider Webpage")</f>
        <v>Ofsted Social Care Provider Webpage</v>
      </c>
      <c r="B51" s="3">
        <v>2530253</v>
      </c>
      <c r="C51" s="1" t="s">
        <v>34</v>
      </c>
      <c r="D51" s="19">
        <v>43689</v>
      </c>
      <c r="E51" s="1" t="s">
        <v>154</v>
      </c>
      <c r="F51" s="1" t="s">
        <v>155</v>
      </c>
      <c r="G51" s="1" t="s">
        <v>64</v>
      </c>
      <c r="H51" s="1" t="s">
        <v>213</v>
      </c>
      <c r="I51" s="1" t="s">
        <v>80</v>
      </c>
      <c r="J51" s="1" t="s">
        <v>230</v>
      </c>
      <c r="K51" s="1" t="s">
        <v>157</v>
      </c>
      <c r="L51" s="19">
        <v>44077</v>
      </c>
      <c r="M51" s="19">
        <v>44111</v>
      </c>
      <c r="N51" s="27" t="s">
        <v>557</v>
      </c>
    </row>
    <row r="52" spans="1:14" x14ac:dyDescent="0.25">
      <c r="A52" s="38" t="str">
        <f>HYPERLINK("http://reports.ofsted.gov.uk/inspection-reports/find-inspection-report/provider/CARE/2534827","Ofsted Social Care Provider Webpage")</f>
        <v>Ofsted Social Care Provider Webpage</v>
      </c>
      <c r="B52" s="3">
        <v>2534827</v>
      </c>
      <c r="C52" s="1" t="s">
        <v>34</v>
      </c>
      <c r="D52" s="19">
        <v>43636</v>
      </c>
      <c r="E52" s="1" t="s">
        <v>154</v>
      </c>
      <c r="F52" s="1" t="s">
        <v>155</v>
      </c>
      <c r="G52" s="1" t="s">
        <v>48</v>
      </c>
      <c r="H52" s="1" t="s">
        <v>48</v>
      </c>
      <c r="I52" s="1" t="s">
        <v>50</v>
      </c>
      <c r="J52" s="1" t="s">
        <v>243</v>
      </c>
      <c r="K52" s="1" t="s">
        <v>157</v>
      </c>
      <c r="L52" s="19">
        <v>44081</v>
      </c>
      <c r="M52" s="19">
        <v>44110</v>
      </c>
      <c r="N52" s="27" t="s">
        <v>557</v>
      </c>
    </row>
    <row r="53" spans="1:14" x14ac:dyDescent="0.25">
      <c r="A53" s="38" t="str">
        <f>HYPERLINK("http://reports.ofsted.gov.uk/inspection-reports/find-inspection-report/provider/CARE/SC060936","Ofsted Social Care Provider Webpage")</f>
        <v>Ofsted Social Care Provider Webpage</v>
      </c>
      <c r="B53" s="3" t="s">
        <v>231</v>
      </c>
      <c r="C53" s="1" t="s">
        <v>34</v>
      </c>
      <c r="D53" s="19">
        <v>38252</v>
      </c>
      <c r="E53" s="1" t="s">
        <v>154</v>
      </c>
      <c r="F53" s="1" t="s">
        <v>155</v>
      </c>
      <c r="G53" s="1" t="s">
        <v>48</v>
      </c>
      <c r="H53" s="1" t="s">
        <v>48</v>
      </c>
      <c r="I53" s="1" t="s">
        <v>56</v>
      </c>
      <c r="J53" s="1" t="s">
        <v>232</v>
      </c>
      <c r="K53" s="1" t="s">
        <v>157</v>
      </c>
      <c r="L53" s="19">
        <v>44081</v>
      </c>
      <c r="M53" s="19">
        <v>44112</v>
      </c>
      <c r="N53" s="27" t="s">
        <v>557</v>
      </c>
    </row>
    <row r="54" spans="1:14" x14ac:dyDescent="0.25">
      <c r="A54" s="38" t="str">
        <f>HYPERLINK("http://reports.ofsted.gov.uk/inspection-reports/find-inspection-report/provider/CARE/SC059717","Ofsted Social Care Provider Webpage")</f>
        <v>Ofsted Social Care Provider Webpage</v>
      </c>
      <c r="B54" s="3" t="s">
        <v>244</v>
      </c>
      <c r="C54" s="1" t="s">
        <v>34</v>
      </c>
      <c r="D54" s="19">
        <v>39170</v>
      </c>
      <c r="E54" s="1" t="s">
        <v>154</v>
      </c>
      <c r="F54" s="1" t="s">
        <v>155</v>
      </c>
      <c r="G54" s="1" t="s">
        <v>114</v>
      </c>
      <c r="H54" s="1" t="s">
        <v>114</v>
      </c>
      <c r="I54" s="1" t="s">
        <v>127</v>
      </c>
      <c r="J54" s="1" t="s">
        <v>245</v>
      </c>
      <c r="K54" s="1" t="s">
        <v>157</v>
      </c>
      <c r="L54" s="19">
        <v>44081</v>
      </c>
      <c r="M54" s="19">
        <v>44125</v>
      </c>
      <c r="N54" s="27" t="s">
        <v>557</v>
      </c>
    </row>
    <row r="55" spans="1:14" x14ac:dyDescent="0.25">
      <c r="A55" s="38" t="str">
        <f>HYPERLINK("http://reports.ofsted.gov.uk/inspection-reports/find-inspection-report/provider/CARE/1254745","Ofsted Social Care Provider Webpage")</f>
        <v>Ofsted Social Care Provider Webpage</v>
      </c>
      <c r="B55" s="3">
        <v>1254745</v>
      </c>
      <c r="C55" s="1" t="s">
        <v>34</v>
      </c>
      <c r="D55" s="19">
        <v>42879</v>
      </c>
      <c r="E55" s="1" t="s">
        <v>154</v>
      </c>
      <c r="F55" s="1" t="s">
        <v>155</v>
      </c>
      <c r="G55" s="1" t="s">
        <v>39</v>
      </c>
      <c r="H55" s="1" t="s">
        <v>39</v>
      </c>
      <c r="I55" s="1" t="s">
        <v>45</v>
      </c>
      <c r="J55" s="1" t="s">
        <v>185</v>
      </c>
      <c r="K55" s="1" t="s">
        <v>157</v>
      </c>
      <c r="L55" s="19">
        <v>44081</v>
      </c>
      <c r="M55" s="19">
        <v>44126</v>
      </c>
      <c r="N55" s="27" t="s">
        <v>559</v>
      </c>
    </row>
    <row r="56" spans="1:14" x14ac:dyDescent="0.25">
      <c r="A56" s="38" t="str">
        <f>HYPERLINK("http://reports.ofsted.gov.uk/inspection-reports/find-inspection-report/provider/CARE/SC034241","Ofsted Social Care Provider Webpage")</f>
        <v>Ofsted Social Care Provider Webpage</v>
      </c>
      <c r="B56" s="3" t="s">
        <v>237</v>
      </c>
      <c r="C56" s="1" t="s">
        <v>36</v>
      </c>
      <c r="D56" s="19">
        <v>37617</v>
      </c>
      <c r="E56" s="1" t="s">
        <v>154</v>
      </c>
      <c r="F56" s="1" t="s">
        <v>155</v>
      </c>
      <c r="G56" s="1" t="s">
        <v>39</v>
      </c>
      <c r="H56" s="1" t="s">
        <v>39</v>
      </c>
      <c r="I56" s="1" t="s">
        <v>43</v>
      </c>
      <c r="J56" s="1" t="s">
        <v>238</v>
      </c>
      <c r="K56" s="1" t="s">
        <v>157</v>
      </c>
      <c r="L56" s="19">
        <v>44081</v>
      </c>
      <c r="M56" s="19">
        <v>44125</v>
      </c>
      <c r="N56" s="27" t="s">
        <v>557</v>
      </c>
    </row>
    <row r="57" spans="1:14" x14ac:dyDescent="0.25">
      <c r="A57" s="38" t="str">
        <f>HYPERLINK("http://reports.ofsted.gov.uk/inspection-reports/find-inspection-report/provider/CARE/2495371","Ofsted Social Care Provider Webpage")</f>
        <v>Ofsted Social Care Provider Webpage</v>
      </c>
      <c r="B57" s="3">
        <v>2495371</v>
      </c>
      <c r="C57" s="1" t="s">
        <v>34</v>
      </c>
      <c r="D57" s="19">
        <v>43383</v>
      </c>
      <c r="E57" s="1" t="s">
        <v>154</v>
      </c>
      <c r="F57" s="1" t="s">
        <v>155</v>
      </c>
      <c r="G57" s="1" t="s">
        <v>39</v>
      </c>
      <c r="H57" s="1" t="s">
        <v>39</v>
      </c>
      <c r="I57" s="1" t="s">
        <v>44</v>
      </c>
      <c r="J57" s="1" t="s">
        <v>242</v>
      </c>
      <c r="K57" s="1" t="s">
        <v>157</v>
      </c>
      <c r="L57" s="19">
        <v>44081</v>
      </c>
      <c r="M57" s="19">
        <v>44116</v>
      </c>
      <c r="N57" s="27" t="s">
        <v>557</v>
      </c>
    </row>
    <row r="58" spans="1:14" x14ac:dyDescent="0.25">
      <c r="A58" s="38" t="str">
        <f>HYPERLINK("http://reports.ofsted.gov.uk/inspection-reports/find-inspection-report/provider/CARE/SC033362","Ofsted Social Care Provider Webpage")</f>
        <v>Ofsted Social Care Provider Webpage</v>
      </c>
      <c r="B58" s="3" t="s">
        <v>257</v>
      </c>
      <c r="C58" s="1" t="s">
        <v>37</v>
      </c>
      <c r="D58" s="19">
        <v>37781</v>
      </c>
      <c r="E58" s="1" t="s">
        <v>154</v>
      </c>
      <c r="F58" s="1" t="s">
        <v>155</v>
      </c>
      <c r="G58" s="1" t="s">
        <v>48</v>
      </c>
      <c r="H58" s="1" t="s">
        <v>48</v>
      </c>
      <c r="I58" s="1" t="s">
        <v>54</v>
      </c>
      <c r="J58" s="1" t="s">
        <v>258</v>
      </c>
      <c r="K58" s="1" t="s">
        <v>172</v>
      </c>
      <c r="L58" s="19">
        <v>44081</v>
      </c>
      <c r="M58" s="19">
        <v>44111</v>
      </c>
      <c r="N58" s="27" t="s">
        <v>557</v>
      </c>
    </row>
    <row r="59" spans="1:14" x14ac:dyDescent="0.25">
      <c r="A59" s="38" t="str">
        <f>HYPERLINK("http://reports.ofsted.gov.uk/inspection-reports/find-inspection-report/provider/CARE/SC387148","Ofsted Social Care Provider Webpage")</f>
        <v>Ofsted Social Care Provider Webpage</v>
      </c>
      <c r="B59" s="3" t="s">
        <v>240</v>
      </c>
      <c r="C59" s="1" t="s">
        <v>34</v>
      </c>
      <c r="D59" s="19">
        <v>39783</v>
      </c>
      <c r="E59" s="1" t="s">
        <v>154</v>
      </c>
      <c r="F59" s="1" t="s">
        <v>155</v>
      </c>
      <c r="G59" s="1" t="s">
        <v>87</v>
      </c>
      <c r="H59" s="1" t="s">
        <v>87</v>
      </c>
      <c r="I59" s="1" t="s">
        <v>101</v>
      </c>
      <c r="J59" s="1" t="s">
        <v>241</v>
      </c>
      <c r="K59" s="1" t="s">
        <v>157</v>
      </c>
      <c r="L59" s="19">
        <v>44081</v>
      </c>
      <c r="M59" s="19">
        <v>44133</v>
      </c>
      <c r="N59" s="27" t="s">
        <v>557</v>
      </c>
    </row>
    <row r="60" spans="1:14" x14ac:dyDescent="0.25">
      <c r="A60" s="38" t="str">
        <f>HYPERLINK("http://reports.ofsted.gov.uk/inspection-reports/find-inspection-report/provider/CARE/1246831","Ofsted Social Care Provider Webpage")</f>
        <v>Ofsted Social Care Provider Webpage</v>
      </c>
      <c r="B60" s="3">
        <v>1246831</v>
      </c>
      <c r="C60" s="1" t="s">
        <v>34</v>
      </c>
      <c r="D60" s="19">
        <v>42716</v>
      </c>
      <c r="E60" s="1" t="s">
        <v>154</v>
      </c>
      <c r="F60" s="1" t="s">
        <v>155</v>
      </c>
      <c r="G60" s="1" t="s">
        <v>114</v>
      </c>
      <c r="H60" s="1" t="s">
        <v>114</v>
      </c>
      <c r="I60" s="1" t="s">
        <v>115</v>
      </c>
      <c r="J60" s="1" t="s">
        <v>248</v>
      </c>
      <c r="K60" s="1" t="s">
        <v>157</v>
      </c>
      <c r="L60" s="19">
        <v>44081</v>
      </c>
      <c r="M60" s="19">
        <v>44117</v>
      </c>
      <c r="N60" s="27" t="s">
        <v>557</v>
      </c>
    </row>
    <row r="61" spans="1:14" x14ac:dyDescent="0.25">
      <c r="A61" s="38" t="str">
        <f>HYPERLINK("http://reports.ofsted.gov.uk/inspection-reports/find-inspection-report/provider/CARE/SC483623","Ofsted Social Care Provider Webpage")</f>
        <v>Ofsted Social Care Provider Webpage</v>
      </c>
      <c r="B61" s="3" t="s">
        <v>246</v>
      </c>
      <c r="C61" s="1" t="s">
        <v>34</v>
      </c>
      <c r="D61" s="19">
        <v>42184</v>
      </c>
      <c r="E61" s="1" t="s">
        <v>154</v>
      </c>
      <c r="F61" s="1" t="s">
        <v>155</v>
      </c>
      <c r="G61" s="1" t="s">
        <v>57</v>
      </c>
      <c r="H61" s="1" t="s">
        <v>57</v>
      </c>
      <c r="I61" s="1" t="s">
        <v>59</v>
      </c>
      <c r="J61" s="1" t="s">
        <v>247</v>
      </c>
      <c r="K61" s="1" t="s">
        <v>157</v>
      </c>
      <c r="L61" s="19">
        <v>44081</v>
      </c>
      <c r="M61" s="19">
        <v>44113</v>
      </c>
      <c r="N61" s="27" t="s">
        <v>557</v>
      </c>
    </row>
    <row r="62" spans="1:14" x14ac:dyDescent="0.25">
      <c r="A62" s="38" t="str">
        <f>HYPERLINK("http://reports.ofsted.gov.uk/inspection-reports/find-inspection-report/provider/CARE/2548418","Ofsted Social Care Provider Webpage")</f>
        <v>Ofsted Social Care Provider Webpage</v>
      </c>
      <c r="B62" s="3">
        <v>2548418</v>
      </c>
      <c r="C62" s="1" t="s">
        <v>34</v>
      </c>
      <c r="D62" s="19">
        <v>43746</v>
      </c>
      <c r="E62" s="1" t="s">
        <v>154</v>
      </c>
      <c r="F62" s="1" t="s">
        <v>155</v>
      </c>
      <c r="G62" s="1" t="s">
        <v>105</v>
      </c>
      <c r="H62" s="1" t="s">
        <v>105</v>
      </c>
      <c r="I62" s="1" t="s">
        <v>106</v>
      </c>
      <c r="J62" s="1" t="s">
        <v>239</v>
      </c>
      <c r="K62" s="1" t="s">
        <v>157</v>
      </c>
      <c r="L62" s="19">
        <v>44081</v>
      </c>
      <c r="M62" s="19">
        <v>44123</v>
      </c>
      <c r="N62" s="27" t="s">
        <v>557</v>
      </c>
    </row>
    <row r="63" spans="1:14" x14ac:dyDescent="0.25">
      <c r="A63" s="38" t="str">
        <f>HYPERLINK("http://reports.ofsted.gov.uk/inspection-reports/find-inspection-report/provider/CARE/1245565","Ofsted Social Care Provider Webpage")</f>
        <v>Ofsted Social Care Provider Webpage</v>
      </c>
      <c r="B63" s="3">
        <v>1245565</v>
      </c>
      <c r="C63" s="1" t="s">
        <v>34</v>
      </c>
      <c r="D63" s="19">
        <v>42690</v>
      </c>
      <c r="E63" s="1" t="s">
        <v>154</v>
      </c>
      <c r="F63" s="1" t="s">
        <v>155</v>
      </c>
      <c r="G63" s="1" t="s">
        <v>39</v>
      </c>
      <c r="H63" s="1" t="s">
        <v>39</v>
      </c>
      <c r="I63" s="1" t="s">
        <v>42</v>
      </c>
      <c r="J63" s="1" t="s">
        <v>251</v>
      </c>
      <c r="K63" s="1" t="s">
        <v>157</v>
      </c>
      <c r="L63" s="19">
        <v>44081</v>
      </c>
      <c r="M63" s="19">
        <v>44116</v>
      </c>
      <c r="N63" s="27" t="s">
        <v>557</v>
      </c>
    </row>
    <row r="64" spans="1:14" x14ac:dyDescent="0.25">
      <c r="A64" s="38" t="str">
        <f>HYPERLINK("http://reports.ofsted.gov.uk/inspection-reports/find-inspection-report/provider/CARE/SC480240","Ofsted Social Care Provider Webpage")</f>
        <v>Ofsted Social Care Provider Webpage</v>
      </c>
      <c r="B64" s="3" t="s">
        <v>249</v>
      </c>
      <c r="C64" s="1" t="s">
        <v>34</v>
      </c>
      <c r="D64" s="19">
        <v>41935</v>
      </c>
      <c r="E64" s="1" t="s">
        <v>154</v>
      </c>
      <c r="F64" s="1" t="s">
        <v>155</v>
      </c>
      <c r="G64" s="1" t="s">
        <v>87</v>
      </c>
      <c r="H64" s="1" t="s">
        <v>87</v>
      </c>
      <c r="I64" s="1" t="s">
        <v>93</v>
      </c>
      <c r="J64" s="1" t="s">
        <v>250</v>
      </c>
      <c r="K64" s="1" t="s">
        <v>157</v>
      </c>
      <c r="L64" s="19">
        <v>44081</v>
      </c>
      <c r="M64" s="19">
        <v>44134</v>
      </c>
      <c r="N64" s="27" t="s">
        <v>557</v>
      </c>
    </row>
    <row r="65" spans="1:14" x14ac:dyDescent="0.25">
      <c r="A65" s="38" t="str">
        <f>HYPERLINK("http://reports.ofsted.gov.uk/inspection-reports/find-inspection-report/provider/CARE/1249259","Ofsted Social Care Provider Webpage")</f>
        <v>Ofsted Social Care Provider Webpage</v>
      </c>
      <c r="B65" s="3">
        <v>1249259</v>
      </c>
      <c r="C65" s="1" t="s">
        <v>34</v>
      </c>
      <c r="D65" s="19">
        <v>42797</v>
      </c>
      <c r="E65" s="1" t="s">
        <v>154</v>
      </c>
      <c r="F65" s="1" t="s">
        <v>155</v>
      </c>
      <c r="G65" s="1" t="s">
        <v>105</v>
      </c>
      <c r="H65" s="1" t="s">
        <v>105</v>
      </c>
      <c r="I65" s="1" t="s">
        <v>108</v>
      </c>
      <c r="J65" s="1" t="s">
        <v>206</v>
      </c>
      <c r="K65" s="1" t="s">
        <v>157</v>
      </c>
      <c r="L65" s="19">
        <v>44081</v>
      </c>
      <c r="M65" s="19">
        <v>44123</v>
      </c>
      <c r="N65" s="27" t="s">
        <v>557</v>
      </c>
    </row>
    <row r="66" spans="1:14" x14ac:dyDescent="0.25">
      <c r="A66" s="38" t="str">
        <f>HYPERLINK("http://reports.ofsted.gov.uk/inspection-reports/find-inspection-report/provider/CARE/2510201","Ofsted Social Care Provider Webpage")</f>
        <v>Ofsted Social Care Provider Webpage</v>
      </c>
      <c r="B66" s="3">
        <v>2510201</v>
      </c>
      <c r="C66" s="1" t="s">
        <v>34</v>
      </c>
      <c r="D66" s="19">
        <v>43592</v>
      </c>
      <c r="E66" s="1" t="s">
        <v>154</v>
      </c>
      <c r="F66" s="1" t="s">
        <v>155</v>
      </c>
      <c r="G66" s="1" t="s">
        <v>87</v>
      </c>
      <c r="H66" s="1" t="s">
        <v>87</v>
      </c>
      <c r="I66" s="1" t="s">
        <v>88</v>
      </c>
      <c r="J66" s="1" t="s">
        <v>235</v>
      </c>
      <c r="K66" s="1" t="s">
        <v>157</v>
      </c>
      <c r="L66" s="19">
        <v>44081</v>
      </c>
      <c r="M66" s="19">
        <v>44110</v>
      </c>
      <c r="N66" s="27" t="s">
        <v>557</v>
      </c>
    </row>
    <row r="67" spans="1:14" x14ac:dyDescent="0.25">
      <c r="A67" s="38" t="str">
        <f>HYPERLINK("http://reports.ofsted.gov.uk/inspection-reports/find-inspection-report/provider/CARE/SC459168","Ofsted Social Care Provider Webpage")</f>
        <v>Ofsted Social Care Provider Webpage</v>
      </c>
      <c r="B67" s="3" t="s">
        <v>252</v>
      </c>
      <c r="C67" s="1" t="s">
        <v>34</v>
      </c>
      <c r="D67" s="19">
        <v>41325</v>
      </c>
      <c r="E67" s="1" t="s">
        <v>154</v>
      </c>
      <c r="F67" s="1" t="s">
        <v>155</v>
      </c>
      <c r="G67" s="1" t="s">
        <v>48</v>
      </c>
      <c r="H67" s="1" t="s">
        <v>48</v>
      </c>
      <c r="I67" s="1" t="s">
        <v>53</v>
      </c>
      <c r="J67" s="1" t="s">
        <v>178</v>
      </c>
      <c r="K67" s="1" t="s">
        <v>157</v>
      </c>
      <c r="L67" s="19">
        <v>44081</v>
      </c>
      <c r="M67" s="19">
        <v>44111</v>
      </c>
      <c r="N67" s="27" t="s">
        <v>557</v>
      </c>
    </row>
    <row r="68" spans="1:14" x14ac:dyDescent="0.25">
      <c r="A68" s="38" t="str">
        <f>HYPERLINK("http://reports.ofsted.gov.uk/inspection-reports/find-inspection-report/provider/CARE/SC040105","Ofsted Social Care Provider Webpage")</f>
        <v>Ofsted Social Care Provider Webpage</v>
      </c>
      <c r="B68" s="3" t="s">
        <v>233</v>
      </c>
      <c r="C68" s="1" t="s">
        <v>34</v>
      </c>
      <c r="D68" s="19">
        <v>37712</v>
      </c>
      <c r="E68" s="1" t="s">
        <v>154</v>
      </c>
      <c r="F68" s="1" t="s">
        <v>155</v>
      </c>
      <c r="G68" s="1" t="s">
        <v>64</v>
      </c>
      <c r="H68" s="1" t="s">
        <v>164</v>
      </c>
      <c r="I68" s="1" t="s">
        <v>72</v>
      </c>
      <c r="J68" s="1" t="s">
        <v>234</v>
      </c>
      <c r="K68" s="1" t="s">
        <v>172</v>
      </c>
      <c r="L68" s="19">
        <v>44081</v>
      </c>
      <c r="M68" s="19">
        <v>44119</v>
      </c>
      <c r="N68" s="27" t="s">
        <v>557</v>
      </c>
    </row>
    <row r="69" spans="1:14" x14ac:dyDescent="0.25">
      <c r="A69" s="38" t="str">
        <f>HYPERLINK("http://reports.ofsted.gov.uk/inspection-reports/find-inspection-report/provider/CARE/2528516","Ofsted Social Care Provider Webpage")</f>
        <v>Ofsted Social Care Provider Webpage</v>
      </c>
      <c r="B69" s="3">
        <v>2528516</v>
      </c>
      <c r="C69" s="1" t="s">
        <v>34</v>
      </c>
      <c r="D69" s="19">
        <v>43615</v>
      </c>
      <c r="E69" s="1" t="s">
        <v>154</v>
      </c>
      <c r="F69" s="1" t="s">
        <v>155</v>
      </c>
      <c r="G69" s="1" t="s">
        <v>48</v>
      </c>
      <c r="H69" s="1" t="s">
        <v>48</v>
      </c>
      <c r="I69" s="1" t="s">
        <v>56</v>
      </c>
      <c r="J69" s="1" t="s">
        <v>236</v>
      </c>
      <c r="K69" s="1" t="s">
        <v>157</v>
      </c>
      <c r="L69" s="19">
        <v>44081</v>
      </c>
      <c r="M69" s="19">
        <v>44111</v>
      </c>
      <c r="N69" s="27" t="s">
        <v>557</v>
      </c>
    </row>
    <row r="70" spans="1:14" x14ac:dyDescent="0.25">
      <c r="A70" s="38" t="str">
        <f>HYPERLINK("http://reports.ofsted.gov.uk/inspection-reports/find-inspection-report/provider/CARE/SC036740","Ofsted Social Care Provider Webpage")</f>
        <v>Ofsted Social Care Provider Webpage</v>
      </c>
      <c r="B70" s="3" t="s">
        <v>271</v>
      </c>
      <c r="C70" s="1" t="s">
        <v>37</v>
      </c>
      <c r="D70" s="19">
        <v>37953</v>
      </c>
      <c r="E70" s="1" t="s">
        <v>154</v>
      </c>
      <c r="F70" s="1" t="s">
        <v>155</v>
      </c>
      <c r="G70" s="1" t="s">
        <v>39</v>
      </c>
      <c r="H70" s="1" t="s">
        <v>39</v>
      </c>
      <c r="I70" s="1" t="s">
        <v>46</v>
      </c>
      <c r="J70" s="1" t="s">
        <v>272</v>
      </c>
      <c r="K70" s="1" t="s">
        <v>172</v>
      </c>
      <c r="L70" s="19">
        <v>44081</v>
      </c>
      <c r="M70" s="19">
        <v>44119</v>
      </c>
      <c r="N70" s="27" t="s">
        <v>557</v>
      </c>
    </row>
    <row r="71" spans="1:14" x14ac:dyDescent="0.25">
      <c r="A71" s="38" t="str">
        <f>HYPERLINK("http://reports.ofsted.gov.uk/inspection-reports/find-inspection-report/provider/CARE/1240802","Ofsted Social Care Provider Webpage")</f>
        <v>Ofsted Social Care Provider Webpage</v>
      </c>
      <c r="B71" s="3">
        <v>1240802</v>
      </c>
      <c r="C71" s="1" t="s">
        <v>34</v>
      </c>
      <c r="D71" s="19">
        <v>42564</v>
      </c>
      <c r="E71" s="1" t="s">
        <v>154</v>
      </c>
      <c r="F71" s="1" t="s">
        <v>155</v>
      </c>
      <c r="G71" s="1" t="s">
        <v>114</v>
      </c>
      <c r="H71" s="1" t="s">
        <v>114</v>
      </c>
      <c r="I71" s="1" t="s">
        <v>123</v>
      </c>
      <c r="J71" s="1" t="s">
        <v>201</v>
      </c>
      <c r="K71" s="1" t="s">
        <v>157</v>
      </c>
      <c r="L71" s="19">
        <v>44082</v>
      </c>
      <c r="M71" s="19">
        <v>44130</v>
      </c>
      <c r="N71" s="27" t="s">
        <v>557</v>
      </c>
    </row>
    <row r="72" spans="1:14" x14ac:dyDescent="0.25">
      <c r="A72" s="38" t="str">
        <f>HYPERLINK("http://reports.ofsted.gov.uk/inspection-reports/find-inspection-report/provider/CARE/SC368032","Ofsted Social Care Provider Webpage")</f>
        <v>Ofsted Social Care Provider Webpage</v>
      </c>
      <c r="B72" s="3" t="s">
        <v>266</v>
      </c>
      <c r="C72" s="1" t="s">
        <v>34</v>
      </c>
      <c r="D72" s="19">
        <v>39510</v>
      </c>
      <c r="E72" s="1" t="s">
        <v>215</v>
      </c>
      <c r="F72" s="1" t="s">
        <v>155</v>
      </c>
      <c r="G72" s="1" t="s">
        <v>128</v>
      </c>
      <c r="H72" s="1" t="s">
        <v>128</v>
      </c>
      <c r="I72" s="1" t="s">
        <v>137</v>
      </c>
      <c r="J72" s="1" t="s">
        <v>267</v>
      </c>
      <c r="K72" s="1" t="s">
        <v>157</v>
      </c>
      <c r="L72" s="19">
        <v>44082</v>
      </c>
      <c r="M72" s="19">
        <v>44137</v>
      </c>
      <c r="N72" s="27" t="s">
        <v>559</v>
      </c>
    </row>
    <row r="73" spans="1:14" x14ac:dyDescent="0.25">
      <c r="A73" s="38" t="str">
        <f>HYPERLINK("http://reports.ofsted.gov.uk/inspection-reports/find-inspection-report/provider/CARE/1253711","Ofsted Social Care Provider Webpage")</f>
        <v>Ofsted Social Care Provider Webpage</v>
      </c>
      <c r="B73" s="3">
        <v>1253711</v>
      </c>
      <c r="C73" s="1" t="s">
        <v>34</v>
      </c>
      <c r="D73" s="19">
        <v>42926</v>
      </c>
      <c r="E73" s="1" t="s">
        <v>154</v>
      </c>
      <c r="F73" s="1" t="s">
        <v>155</v>
      </c>
      <c r="G73" s="1" t="s">
        <v>128</v>
      </c>
      <c r="H73" s="1" t="s">
        <v>128</v>
      </c>
      <c r="I73" s="1" t="s">
        <v>129</v>
      </c>
      <c r="J73" s="1" t="s">
        <v>259</v>
      </c>
      <c r="K73" s="1" t="s">
        <v>157</v>
      </c>
      <c r="L73" s="19">
        <v>44082</v>
      </c>
      <c r="M73" s="19">
        <v>44116</v>
      </c>
      <c r="N73" s="27" t="s">
        <v>557</v>
      </c>
    </row>
    <row r="74" spans="1:14" x14ac:dyDescent="0.25">
      <c r="A74" s="38" t="str">
        <f>HYPERLINK("http://reports.ofsted.gov.uk/inspection-reports/find-inspection-report/provider/CARE/SC405985","Ofsted Social Care Provider Webpage")</f>
        <v>Ofsted Social Care Provider Webpage</v>
      </c>
      <c r="B74" s="3" t="s">
        <v>273</v>
      </c>
      <c r="C74" s="1" t="s">
        <v>34</v>
      </c>
      <c r="D74" s="19">
        <v>40239</v>
      </c>
      <c r="E74" s="1" t="s">
        <v>154</v>
      </c>
      <c r="F74" s="1" t="s">
        <v>155</v>
      </c>
      <c r="G74" s="1" t="s">
        <v>48</v>
      </c>
      <c r="H74" s="1" t="s">
        <v>48</v>
      </c>
      <c r="I74" s="1" t="s">
        <v>51</v>
      </c>
      <c r="J74" s="1" t="s">
        <v>274</v>
      </c>
      <c r="K74" s="1" t="s">
        <v>157</v>
      </c>
      <c r="L74" s="19">
        <v>44082</v>
      </c>
      <c r="M74" s="19">
        <v>44117</v>
      </c>
      <c r="N74" s="27" t="s">
        <v>557</v>
      </c>
    </row>
    <row r="75" spans="1:14" x14ac:dyDescent="0.25">
      <c r="A75" s="38" t="str">
        <f>HYPERLINK("http://reports.ofsted.gov.uk/inspection-reports/find-inspection-report/provider/CARE/SC406636","Ofsted Social Care Provider Webpage")</f>
        <v>Ofsted Social Care Provider Webpage</v>
      </c>
      <c r="B75" s="3" t="s">
        <v>275</v>
      </c>
      <c r="C75" s="1" t="s">
        <v>34</v>
      </c>
      <c r="D75" s="19">
        <v>40261</v>
      </c>
      <c r="E75" s="1" t="s">
        <v>154</v>
      </c>
      <c r="F75" s="1" t="s">
        <v>155</v>
      </c>
      <c r="G75" s="1" t="s">
        <v>87</v>
      </c>
      <c r="H75" s="1" t="s">
        <v>87</v>
      </c>
      <c r="I75" s="1" t="s">
        <v>99</v>
      </c>
      <c r="J75" s="1" t="s">
        <v>180</v>
      </c>
      <c r="K75" s="1" t="s">
        <v>157</v>
      </c>
      <c r="L75" s="19">
        <v>44082</v>
      </c>
      <c r="M75" s="19">
        <v>44138</v>
      </c>
      <c r="N75" s="27" t="s">
        <v>559</v>
      </c>
    </row>
    <row r="76" spans="1:14" x14ac:dyDescent="0.25">
      <c r="A76" s="38" t="str">
        <f>HYPERLINK("http://reports.ofsted.gov.uk/inspection-reports/find-inspection-report/provider/CARE/SC478134","Ofsted Social Care Provider Webpage")</f>
        <v>Ofsted Social Care Provider Webpage</v>
      </c>
      <c r="B76" s="3" t="s">
        <v>255</v>
      </c>
      <c r="C76" s="1" t="s">
        <v>34</v>
      </c>
      <c r="D76" s="19">
        <v>41814</v>
      </c>
      <c r="E76" s="1" t="s">
        <v>154</v>
      </c>
      <c r="F76" s="1" t="s">
        <v>155</v>
      </c>
      <c r="G76" s="1" t="s">
        <v>128</v>
      </c>
      <c r="H76" s="1" t="s">
        <v>128</v>
      </c>
      <c r="I76" s="1" t="s">
        <v>140</v>
      </c>
      <c r="J76" s="1" t="s">
        <v>256</v>
      </c>
      <c r="K76" s="1" t="s">
        <v>157</v>
      </c>
      <c r="L76" s="19">
        <v>44082</v>
      </c>
      <c r="M76" s="19">
        <v>44111</v>
      </c>
      <c r="N76" s="27" t="s">
        <v>557</v>
      </c>
    </row>
    <row r="77" spans="1:14" x14ac:dyDescent="0.25">
      <c r="A77" s="38" t="str">
        <f>HYPERLINK("http://reports.ofsted.gov.uk/inspection-reports/find-inspection-report/provider/CARE/1234166","Ofsted Social Care Provider Webpage")</f>
        <v>Ofsted Social Care Provider Webpage</v>
      </c>
      <c r="B77" s="3">
        <v>1234166</v>
      </c>
      <c r="C77" s="1" t="s">
        <v>34</v>
      </c>
      <c r="D77" s="19">
        <v>42633</v>
      </c>
      <c r="E77" s="1" t="s">
        <v>154</v>
      </c>
      <c r="F77" s="1" t="s">
        <v>155</v>
      </c>
      <c r="G77" s="1" t="s">
        <v>57</v>
      </c>
      <c r="H77" s="1" t="s">
        <v>57</v>
      </c>
      <c r="I77" s="1" t="s">
        <v>61</v>
      </c>
      <c r="J77" s="1" t="s">
        <v>265</v>
      </c>
      <c r="K77" s="1" t="s">
        <v>157</v>
      </c>
      <c r="L77" s="19">
        <v>44082</v>
      </c>
      <c r="M77" s="19">
        <v>44111</v>
      </c>
      <c r="N77" s="27" t="s">
        <v>557</v>
      </c>
    </row>
    <row r="78" spans="1:14" x14ac:dyDescent="0.25">
      <c r="A78" s="38" t="str">
        <f>HYPERLINK("http://reports.ofsted.gov.uk/inspection-reports/find-inspection-report/provider/CARE/1264438","Ofsted Social Care Provider Webpage")</f>
        <v>Ofsted Social Care Provider Webpage</v>
      </c>
      <c r="B78" s="3">
        <v>1264438</v>
      </c>
      <c r="C78" s="1" t="s">
        <v>34</v>
      </c>
      <c r="D78" s="19">
        <v>43082</v>
      </c>
      <c r="E78" s="1" t="s">
        <v>154</v>
      </c>
      <c r="F78" s="1" t="s">
        <v>155</v>
      </c>
      <c r="G78" s="1" t="s">
        <v>64</v>
      </c>
      <c r="H78" s="1" t="s">
        <v>164</v>
      </c>
      <c r="I78" s="1" t="s">
        <v>69</v>
      </c>
      <c r="J78" s="1" t="s">
        <v>173</v>
      </c>
      <c r="K78" s="1" t="s">
        <v>157</v>
      </c>
      <c r="L78" s="19">
        <v>44082</v>
      </c>
      <c r="M78" s="19">
        <v>44119</v>
      </c>
      <c r="N78" s="27" t="s">
        <v>557</v>
      </c>
    </row>
    <row r="79" spans="1:14" x14ac:dyDescent="0.25">
      <c r="A79" s="38" t="str">
        <f>HYPERLINK("http://reports.ofsted.gov.uk/inspection-reports/find-inspection-report/provider/CARE/1247560","Ofsted Social Care Provider Webpage")</f>
        <v>Ofsted Social Care Provider Webpage</v>
      </c>
      <c r="B79" s="3">
        <v>1247560</v>
      </c>
      <c r="C79" s="1" t="s">
        <v>34</v>
      </c>
      <c r="D79" s="19">
        <v>42803</v>
      </c>
      <c r="E79" s="1" t="s">
        <v>154</v>
      </c>
      <c r="F79" s="1" t="s">
        <v>155</v>
      </c>
      <c r="G79" s="1" t="s">
        <v>87</v>
      </c>
      <c r="H79" s="1" t="s">
        <v>87</v>
      </c>
      <c r="I79" s="1" t="s">
        <v>92</v>
      </c>
      <c r="J79" s="1" t="s">
        <v>262</v>
      </c>
      <c r="K79" s="1" t="s">
        <v>157</v>
      </c>
      <c r="L79" s="19">
        <v>44082</v>
      </c>
      <c r="M79" s="19">
        <v>44134</v>
      </c>
      <c r="N79" s="27" t="s">
        <v>557</v>
      </c>
    </row>
    <row r="80" spans="1:14" x14ac:dyDescent="0.25">
      <c r="A80" s="38" t="str">
        <f>HYPERLINK("http://reports.ofsted.gov.uk/inspection-reports/find-inspection-report/provider/CARE/SC487549","Ofsted Social Care Provider Webpage")</f>
        <v>Ofsted Social Care Provider Webpage</v>
      </c>
      <c r="B80" s="3" t="s">
        <v>253</v>
      </c>
      <c r="C80" s="1" t="s">
        <v>34</v>
      </c>
      <c r="D80" s="19">
        <v>42167</v>
      </c>
      <c r="E80" s="1" t="s">
        <v>154</v>
      </c>
      <c r="F80" s="1" t="s">
        <v>155</v>
      </c>
      <c r="G80" s="1" t="s">
        <v>87</v>
      </c>
      <c r="H80" s="1" t="s">
        <v>87</v>
      </c>
      <c r="I80" s="1" t="s">
        <v>92</v>
      </c>
      <c r="J80" s="1" t="s">
        <v>254</v>
      </c>
      <c r="K80" s="1" t="s">
        <v>157</v>
      </c>
      <c r="L80" s="19">
        <v>44082</v>
      </c>
      <c r="M80" s="19">
        <v>44117</v>
      </c>
      <c r="N80" s="27" t="s">
        <v>557</v>
      </c>
    </row>
    <row r="81" spans="1:14" x14ac:dyDescent="0.25">
      <c r="A81" s="38" t="str">
        <f>HYPERLINK("http://reports.ofsted.gov.uk/inspection-reports/find-inspection-report/provider/CARE/SC483533","Ofsted Social Care Provider Webpage")</f>
        <v>Ofsted Social Care Provider Webpage</v>
      </c>
      <c r="B81" s="3" t="s">
        <v>270</v>
      </c>
      <c r="C81" s="1" t="s">
        <v>34</v>
      </c>
      <c r="D81" s="19">
        <v>42031</v>
      </c>
      <c r="E81" s="1" t="s">
        <v>154</v>
      </c>
      <c r="F81" s="1" t="s">
        <v>155</v>
      </c>
      <c r="G81" s="1" t="s">
        <v>87</v>
      </c>
      <c r="H81" s="1" t="s">
        <v>87</v>
      </c>
      <c r="I81" s="1" t="s">
        <v>89</v>
      </c>
      <c r="J81" s="1" t="s">
        <v>208</v>
      </c>
      <c r="K81" s="1" t="s">
        <v>168</v>
      </c>
      <c r="L81" s="19">
        <v>44082</v>
      </c>
      <c r="M81" s="19">
        <v>44119</v>
      </c>
      <c r="N81" s="27" t="s">
        <v>557</v>
      </c>
    </row>
    <row r="82" spans="1:14" x14ac:dyDescent="0.25">
      <c r="A82" s="38" t="str">
        <f>HYPERLINK("http://reports.ofsted.gov.uk/inspection-reports/find-inspection-report/provider/CARE/1234990","Ofsted Social Care Provider Webpage")</f>
        <v>Ofsted Social Care Provider Webpage</v>
      </c>
      <c r="B82" s="3">
        <v>1234990</v>
      </c>
      <c r="C82" s="1" t="s">
        <v>34</v>
      </c>
      <c r="D82" s="19">
        <v>42857</v>
      </c>
      <c r="E82" s="1" t="s">
        <v>154</v>
      </c>
      <c r="F82" s="1" t="s">
        <v>155</v>
      </c>
      <c r="G82" s="1" t="s">
        <v>64</v>
      </c>
      <c r="H82" s="1" t="s">
        <v>213</v>
      </c>
      <c r="I82" s="1" t="s">
        <v>76</v>
      </c>
      <c r="J82" s="1" t="s">
        <v>281</v>
      </c>
      <c r="K82" s="1" t="s">
        <v>168</v>
      </c>
      <c r="L82" s="19">
        <v>44082</v>
      </c>
      <c r="M82" s="19">
        <v>44119</v>
      </c>
      <c r="N82" s="27" t="s">
        <v>559</v>
      </c>
    </row>
    <row r="83" spans="1:14" x14ac:dyDescent="0.25">
      <c r="A83" s="38" t="str">
        <f>HYPERLINK("http://reports.ofsted.gov.uk/inspection-reports/find-inspection-report/provider/CARE/SC033896","Ofsted Social Care Provider Webpage")</f>
        <v>Ofsted Social Care Provider Webpage</v>
      </c>
      <c r="B83" s="3" t="s">
        <v>279</v>
      </c>
      <c r="C83" s="1" t="s">
        <v>34</v>
      </c>
      <c r="D83" s="19">
        <v>37686</v>
      </c>
      <c r="E83" s="1" t="s">
        <v>154</v>
      </c>
      <c r="F83" s="1" t="s">
        <v>155</v>
      </c>
      <c r="G83" s="1" t="s">
        <v>105</v>
      </c>
      <c r="H83" s="1" t="s">
        <v>105</v>
      </c>
      <c r="I83" s="1" t="s">
        <v>110</v>
      </c>
      <c r="J83" s="1" t="s">
        <v>280</v>
      </c>
      <c r="K83" s="1" t="s">
        <v>172</v>
      </c>
      <c r="L83" s="19">
        <v>44082</v>
      </c>
      <c r="M83" s="19">
        <v>44110</v>
      </c>
      <c r="N83" s="27" t="s">
        <v>557</v>
      </c>
    </row>
    <row r="84" spans="1:14" x14ac:dyDescent="0.25">
      <c r="A84" s="38" t="str">
        <f>HYPERLINK("http://reports.ofsted.gov.uk/inspection-reports/find-inspection-report/provider/CARE/1156098","Ofsted Social Care Provider Webpage")</f>
        <v>Ofsted Social Care Provider Webpage</v>
      </c>
      <c r="B84" s="3">
        <v>1156098</v>
      </c>
      <c r="C84" s="1" t="s">
        <v>34</v>
      </c>
      <c r="D84" s="19">
        <v>42375</v>
      </c>
      <c r="E84" s="1" t="s">
        <v>154</v>
      </c>
      <c r="F84" s="1" t="s">
        <v>155</v>
      </c>
      <c r="G84" s="1" t="s">
        <v>87</v>
      </c>
      <c r="H84" s="1" t="s">
        <v>87</v>
      </c>
      <c r="I84" s="1" t="s">
        <v>89</v>
      </c>
      <c r="J84" s="1" t="s">
        <v>276</v>
      </c>
      <c r="K84" s="1" t="s">
        <v>157</v>
      </c>
      <c r="L84" s="19">
        <v>44082</v>
      </c>
      <c r="M84" s="19">
        <v>44120</v>
      </c>
      <c r="N84" s="27" t="s">
        <v>557</v>
      </c>
    </row>
    <row r="85" spans="1:14" x14ac:dyDescent="0.25">
      <c r="A85" s="38" t="str">
        <f>HYPERLINK("http://reports.ofsted.gov.uk/inspection-reports/find-inspection-report/provider/CARE/1159884","Ofsted Social Care Provider Webpage")</f>
        <v>Ofsted Social Care Provider Webpage</v>
      </c>
      <c r="B85" s="3">
        <v>1159884</v>
      </c>
      <c r="C85" s="1" t="s">
        <v>34</v>
      </c>
      <c r="D85" s="19">
        <v>42436</v>
      </c>
      <c r="E85" s="1" t="s">
        <v>154</v>
      </c>
      <c r="F85" s="1" t="s">
        <v>155</v>
      </c>
      <c r="G85" s="1" t="s">
        <v>64</v>
      </c>
      <c r="H85" s="1" t="s">
        <v>213</v>
      </c>
      <c r="I85" s="1" t="s">
        <v>84</v>
      </c>
      <c r="J85" s="1" t="s">
        <v>260</v>
      </c>
      <c r="K85" s="1" t="s">
        <v>157</v>
      </c>
      <c r="L85" s="19">
        <v>44082</v>
      </c>
      <c r="M85" s="19">
        <v>44138</v>
      </c>
      <c r="N85" s="27" t="s">
        <v>559</v>
      </c>
    </row>
    <row r="86" spans="1:14" x14ac:dyDescent="0.25">
      <c r="A86" s="38" t="str">
        <f>HYPERLINK("http://reports.ofsted.gov.uk/inspection-reports/find-inspection-report/provider/CARE/SC040631","Ofsted Social Care Provider Webpage")</f>
        <v>Ofsted Social Care Provider Webpage</v>
      </c>
      <c r="B86" s="3" t="s">
        <v>263</v>
      </c>
      <c r="C86" s="1" t="s">
        <v>34</v>
      </c>
      <c r="D86" s="19">
        <v>37943</v>
      </c>
      <c r="E86" s="1" t="s">
        <v>154</v>
      </c>
      <c r="F86" s="1" t="s">
        <v>155</v>
      </c>
      <c r="G86" s="1" t="s">
        <v>105</v>
      </c>
      <c r="H86" s="1" t="s">
        <v>105</v>
      </c>
      <c r="I86" s="1" t="s">
        <v>112</v>
      </c>
      <c r="J86" s="1" t="s">
        <v>264</v>
      </c>
      <c r="K86" s="1" t="s">
        <v>172</v>
      </c>
      <c r="L86" s="19">
        <v>44082</v>
      </c>
      <c r="M86" s="19">
        <v>44123</v>
      </c>
      <c r="N86" s="27" t="s">
        <v>557</v>
      </c>
    </row>
    <row r="87" spans="1:14" x14ac:dyDescent="0.25">
      <c r="A87" s="38" t="str">
        <f>HYPERLINK("http://reports.ofsted.gov.uk/inspection-reports/find-inspection-report/provider/CARE/2537149","Ofsted Social Care Provider Webpage")</f>
        <v>Ofsted Social Care Provider Webpage</v>
      </c>
      <c r="B87" s="3">
        <v>2537149</v>
      </c>
      <c r="C87" s="1" t="s">
        <v>34</v>
      </c>
      <c r="D87" s="19">
        <v>43713</v>
      </c>
      <c r="E87" s="1" t="s">
        <v>154</v>
      </c>
      <c r="F87" s="1" t="s">
        <v>155</v>
      </c>
      <c r="G87" s="1" t="s">
        <v>114</v>
      </c>
      <c r="H87" s="1" t="s">
        <v>114</v>
      </c>
      <c r="I87" s="1" t="s">
        <v>121</v>
      </c>
      <c r="J87" s="1" t="s">
        <v>121</v>
      </c>
      <c r="K87" s="1" t="s">
        <v>157</v>
      </c>
      <c r="L87" s="19">
        <v>44082</v>
      </c>
      <c r="M87" s="19">
        <v>44112</v>
      </c>
      <c r="N87" s="27" t="s">
        <v>557</v>
      </c>
    </row>
    <row r="88" spans="1:14" x14ac:dyDescent="0.25">
      <c r="A88" s="38" t="str">
        <f>HYPERLINK("http://reports.ofsted.gov.uk/inspection-reports/find-inspection-report/provider/CARE/SC482415","Ofsted Social Care Provider Webpage")</f>
        <v>Ofsted Social Care Provider Webpage</v>
      </c>
      <c r="B88" s="3" t="s">
        <v>261</v>
      </c>
      <c r="C88" s="1" t="s">
        <v>34</v>
      </c>
      <c r="D88" s="19">
        <v>42286</v>
      </c>
      <c r="E88" s="1" t="s">
        <v>154</v>
      </c>
      <c r="F88" s="1" t="s">
        <v>155</v>
      </c>
      <c r="G88" s="1" t="s">
        <v>64</v>
      </c>
      <c r="H88" s="1" t="s">
        <v>164</v>
      </c>
      <c r="I88" s="1" t="s">
        <v>74</v>
      </c>
      <c r="J88" s="1" t="s">
        <v>165</v>
      </c>
      <c r="K88" s="1" t="s">
        <v>157</v>
      </c>
      <c r="L88" s="19">
        <v>44082</v>
      </c>
      <c r="M88" s="19">
        <v>44118</v>
      </c>
      <c r="N88" s="27" t="s">
        <v>557</v>
      </c>
    </row>
    <row r="89" spans="1:14" x14ac:dyDescent="0.25">
      <c r="A89" s="38" t="str">
        <f>HYPERLINK("http://reports.ofsted.gov.uk/inspection-reports/find-inspection-report/provider/CARE/SC033174","Ofsted Social Care Provider Webpage")</f>
        <v>Ofsted Social Care Provider Webpage</v>
      </c>
      <c r="B89" s="3" t="s">
        <v>277</v>
      </c>
      <c r="C89" s="1" t="s">
        <v>34</v>
      </c>
      <c r="D89" s="19">
        <v>37960</v>
      </c>
      <c r="E89" s="1" t="s">
        <v>154</v>
      </c>
      <c r="F89" s="1" t="s">
        <v>155</v>
      </c>
      <c r="G89" s="1" t="s">
        <v>105</v>
      </c>
      <c r="H89" s="1" t="s">
        <v>105</v>
      </c>
      <c r="I89" s="1" t="s">
        <v>108</v>
      </c>
      <c r="J89" s="1" t="s">
        <v>278</v>
      </c>
      <c r="K89" s="1" t="s">
        <v>172</v>
      </c>
      <c r="L89" s="19">
        <v>44082</v>
      </c>
      <c r="M89" s="19">
        <v>44117</v>
      </c>
      <c r="N89" s="27" t="s">
        <v>559</v>
      </c>
    </row>
    <row r="90" spans="1:14" x14ac:dyDescent="0.25">
      <c r="A90" s="38" t="str">
        <f>HYPERLINK("http://reports.ofsted.gov.uk/inspection-reports/find-inspection-report/provider/CARE/SC033502","Ofsted Social Care Provider Webpage")</f>
        <v>Ofsted Social Care Provider Webpage</v>
      </c>
      <c r="B90" s="3" t="s">
        <v>282</v>
      </c>
      <c r="C90" s="1" t="s">
        <v>34</v>
      </c>
      <c r="D90" s="19">
        <v>37798</v>
      </c>
      <c r="E90" s="1" t="s">
        <v>154</v>
      </c>
      <c r="F90" s="1" t="s">
        <v>155</v>
      </c>
      <c r="G90" s="1" t="s">
        <v>64</v>
      </c>
      <c r="H90" s="1" t="s">
        <v>164</v>
      </c>
      <c r="I90" s="1" t="s">
        <v>66</v>
      </c>
      <c r="J90" s="1" t="s">
        <v>283</v>
      </c>
      <c r="K90" s="1" t="s">
        <v>172</v>
      </c>
      <c r="L90" s="19">
        <v>44082</v>
      </c>
      <c r="M90" s="19">
        <v>44112</v>
      </c>
      <c r="N90" s="27" t="s">
        <v>557</v>
      </c>
    </row>
    <row r="91" spans="1:14" x14ac:dyDescent="0.25">
      <c r="A91" s="38" t="str">
        <f>HYPERLINK("http://reports.ofsted.gov.uk/inspection-reports/find-inspection-report/provider/CARE/SC000802","Ofsted Social Care Provider Webpage")</f>
        <v>Ofsted Social Care Provider Webpage</v>
      </c>
      <c r="B91" s="3" t="s">
        <v>268</v>
      </c>
      <c r="C91" s="1" t="s">
        <v>34</v>
      </c>
      <c r="D91" s="19">
        <v>37013</v>
      </c>
      <c r="E91" s="1" t="s">
        <v>154</v>
      </c>
      <c r="F91" s="1" t="s">
        <v>155</v>
      </c>
      <c r="G91" s="1" t="s">
        <v>64</v>
      </c>
      <c r="H91" s="1" t="s">
        <v>213</v>
      </c>
      <c r="I91" s="1" t="s">
        <v>68</v>
      </c>
      <c r="J91" s="1" t="s">
        <v>269</v>
      </c>
      <c r="K91" s="1" t="s">
        <v>157</v>
      </c>
      <c r="L91" s="19">
        <v>44082</v>
      </c>
      <c r="M91" s="19">
        <v>44124</v>
      </c>
      <c r="N91" s="27" t="s">
        <v>557</v>
      </c>
    </row>
    <row r="92" spans="1:14" x14ac:dyDescent="0.25">
      <c r="A92" s="38" t="str">
        <f>HYPERLINK("http://reports.ofsted.gov.uk/inspection-reports/find-inspection-report/provider/CARE/1155757","Ofsted Social Care Provider Webpage")</f>
        <v>Ofsted Social Care Provider Webpage</v>
      </c>
      <c r="B92" s="3">
        <v>1155757</v>
      </c>
      <c r="C92" s="1" t="s">
        <v>34</v>
      </c>
      <c r="D92" s="19">
        <v>42142</v>
      </c>
      <c r="E92" s="1" t="s">
        <v>154</v>
      </c>
      <c r="F92" s="1" t="s">
        <v>155</v>
      </c>
      <c r="G92" s="1" t="s">
        <v>64</v>
      </c>
      <c r="H92" s="1" t="s">
        <v>213</v>
      </c>
      <c r="I92" s="1" t="s">
        <v>80</v>
      </c>
      <c r="J92" s="1" t="s">
        <v>230</v>
      </c>
      <c r="K92" s="1" t="s">
        <v>172</v>
      </c>
      <c r="L92" s="19">
        <v>44083</v>
      </c>
      <c r="M92" s="19">
        <v>44111</v>
      </c>
      <c r="N92" s="27" t="s">
        <v>557</v>
      </c>
    </row>
    <row r="93" spans="1:14" x14ac:dyDescent="0.25">
      <c r="A93" s="38" t="str">
        <f>HYPERLINK("http://reports.ofsted.gov.uk/inspection-reports/find-inspection-report/provider/CARE/SC489187","Ofsted Social Care Provider Webpage")</f>
        <v>Ofsted Social Care Provider Webpage</v>
      </c>
      <c r="B93" s="3" t="s">
        <v>290</v>
      </c>
      <c r="C93" s="1" t="s">
        <v>34</v>
      </c>
      <c r="D93" s="19">
        <v>42285</v>
      </c>
      <c r="E93" s="1" t="s">
        <v>154</v>
      </c>
      <c r="F93" s="1" t="s">
        <v>155</v>
      </c>
      <c r="G93" s="1" t="s">
        <v>64</v>
      </c>
      <c r="H93" s="1" t="s">
        <v>213</v>
      </c>
      <c r="I93" s="1" t="s">
        <v>81</v>
      </c>
      <c r="J93" s="1" t="s">
        <v>291</v>
      </c>
      <c r="K93" s="1" t="s">
        <v>157</v>
      </c>
      <c r="L93" s="19">
        <v>44083</v>
      </c>
      <c r="M93" s="19">
        <v>44119</v>
      </c>
      <c r="N93" s="27" t="s">
        <v>557</v>
      </c>
    </row>
    <row r="94" spans="1:14" x14ac:dyDescent="0.25">
      <c r="A94" s="38" t="str">
        <f>HYPERLINK("http://reports.ofsted.gov.uk/inspection-reports/find-inspection-report/provider/CARE/SC457488","Ofsted Social Care Provider Webpage")</f>
        <v>Ofsted Social Care Provider Webpage</v>
      </c>
      <c r="B94" s="3" t="s">
        <v>293</v>
      </c>
      <c r="C94" s="1" t="s">
        <v>34</v>
      </c>
      <c r="D94" s="19">
        <v>41319</v>
      </c>
      <c r="E94" s="1" t="s">
        <v>154</v>
      </c>
      <c r="F94" s="1" t="s">
        <v>155</v>
      </c>
      <c r="G94" s="1" t="s">
        <v>128</v>
      </c>
      <c r="H94" s="1" t="s">
        <v>128</v>
      </c>
      <c r="I94" s="1" t="s">
        <v>138</v>
      </c>
      <c r="J94" s="1" t="s">
        <v>294</v>
      </c>
      <c r="K94" s="1" t="s">
        <v>157</v>
      </c>
      <c r="L94" s="19">
        <v>44083</v>
      </c>
      <c r="M94" s="19">
        <v>44117</v>
      </c>
      <c r="N94" s="27" t="s">
        <v>557</v>
      </c>
    </row>
    <row r="95" spans="1:14" x14ac:dyDescent="0.25">
      <c r="A95" s="38" t="str">
        <f>HYPERLINK("http://reports.ofsted.gov.uk/inspection-reports/find-inspection-report/provider/CARE/1277079","Ofsted Social Care Provider Webpage")</f>
        <v>Ofsted Social Care Provider Webpage</v>
      </c>
      <c r="B95" s="3">
        <v>1277079</v>
      </c>
      <c r="C95" s="1" t="s">
        <v>34</v>
      </c>
      <c r="D95" s="19">
        <v>43206</v>
      </c>
      <c r="E95" s="1" t="s">
        <v>154</v>
      </c>
      <c r="F95" s="1" t="s">
        <v>155</v>
      </c>
      <c r="G95" s="1" t="s">
        <v>64</v>
      </c>
      <c r="H95" s="1" t="s">
        <v>164</v>
      </c>
      <c r="I95" s="1" t="s">
        <v>67</v>
      </c>
      <c r="J95" s="1" t="s">
        <v>306</v>
      </c>
      <c r="K95" s="1" t="s">
        <v>157</v>
      </c>
      <c r="L95" s="19">
        <v>44083</v>
      </c>
      <c r="M95" s="19">
        <v>44113</v>
      </c>
      <c r="N95" s="27" t="s">
        <v>557</v>
      </c>
    </row>
    <row r="96" spans="1:14" x14ac:dyDescent="0.25">
      <c r="A96" s="38" t="str">
        <f>HYPERLINK("http://reports.ofsted.gov.uk/inspection-reports/find-inspection-report/provider/CARE/SC040509","Ofsted Social Care Provider Webpage")</f>
        <v>Ofsted Social Care Provider Webpage</v>
      </c>
      <c r="B96" s="3" t="s">
        <v>310</v>
      </c>
      <c r="C96" s="1" t="s">
        <v>34</v>
      </c>
      <c r="D96" s="19">
        <v>38042</v>
      </c>
      <c r="E96" s="1" t="s">
        <v>154</v>
      </c>
      <c r="F96" s="1" t="s">
        <v>155</v>
      </c>
      <c r="G96" s="1" t="s">
        <v>87</v>
      </c>
      <c r="H96" s="1" t="s">
        <v>87</v>
      </c>
      <c r="I96" s="1" t="s">
        <v>98</v>
      </c>
      <c r="J96" s="1" t="s">
        <v>311</v>
      </c>
      <c r="K96" s="1" t="s">
        <v>172</v>
      </c>
      <c r="L96" s="19">
        <v>44083</v>
      </c>
      <c r="M96" s="19">
        <v>44132</v>
      </c>
      <c r="N96" s="27" t="s">
        <v>557</v>
      </c>
    </row>
    <row r="97" spans="1:14" x14ac:dyDescent="0.25">
      <c r="A97" s="38" t="str">
        <f>HYPERLINK("http://reports.ofsted.gov.uk/inspection-reports/find-inspection-report/provider/CARE/SC035428","Ofsted Social Care Provider Webpage")</f>
        <v>Ofsted Social Care Provider Webpage</v>
      </c>
      <c r="B97" s="3" t="s">
        <v>286</v>
      </c>
      <c r="C97" s="1" t="s">
        <v>34</v>
      </c>
      <c r="D97" s="19">
        <v>37991</v>
      </c>
      <c r="E97" s="1" t="s">
        <v>154</v>
      </c>
      <c r="F97" s="1" t="s">
        <v>155</v>
      </c>
      <c r="G97" s="1" t="s">
        <v>87</v>
      </c>
      <c r="H97" s="1" t="s">
        <v>87</v>
      </c>
      <c r="I97" s="1" t="s">
        <v>93</v>
      </c>
      <c r="J97" s="1" t="s">
        <v>203</v>
      </c>
      <c r="K97" s="1" t="s">
        <v>172</v>
      </c>
      <c r="L97" s="19">
        <v>44083</v>
      </c>
      <c r="M97" s="19">
        <v>44125</v>
      </c>
      <c r="N97" s="27" t="s">
        <v>557</v>
      </c>
    </row>
    <row r="98" spans="1:14" x14ac:dyDescent="0.25">
      <c r="A98" s="38" t="str">
        <f>HYPERLINK("http://reports.ofsted.gov.uk/inspection-reports/find-inspection-report/provider/CARE/SC034953","Ofsted Social Care Provider Webpage")</f>
        <v>Ofsted Social Care Provider Webpage</v>
      </c>
      <c r="B98" s="3" t="s">
        <v>301</v>
      </c>
      <c r="C98" s="1" t="s">
        <v>34</v>
      </c>
      <c r="D98" s="19">
        <v>37838</v>
      </c>
      <c r="E98" s="1" t="s">
        <v>154</v>
      </c>
      <c r="F98" s="1" t="s">
        <v>155</v>
      </c>
      <c r="G98" s="1" t="s">
        <v>64</v>
      </c>
      <c r="H98" s="1" t="s">
        <v>164</v>
      </c>
      <c r="I98" s="1" t="s">
        <v>67</v>
      </c>
      <c r="J98" s="1" t="s">
        <v>182</v>
      </c>
      <c r="K98" s="1" t="s">
        <v>172</v>
      </c>
      <c r="L98" s="19">
        <v>44083</v>
      </c>
      <c r="M98" s="19">
        <v>44118</v>
      </c>
      <c r="N98" s="27" t="s">
        <v>557</v>
      </c>
    </row>
    <row r="99" spans="1:14" x14ac:dyDescent="0.25">
      <c r="A99" s="38" t="str">
        <f>HYPERLINK("http://reports.ofsted.gov.uk/inspection-reports/find-inspection-report/provider/CARE/SC454900","Ofsted Social Care Provider Webpage")</f>
        <v>Ofsted Social Care Provider Webpage</v>
      </c>
      <c r="B99" s="3" t="s">
        <v>304</v>
      </c>
      <c r="C99" s="1" t="s">
        <v>34</v>
      </c>
      <c r="D99" s="19">
        <v>41236</v>
      </c>
      <c r="E99" s="1" t="s">
        <v>154</v>
      </c>
      <c r="F99" s="1" t="s">
        <v>155</v>
      </c>
      <c r="G99" s="1" t="s">
        <v>114</v>
      </c>
      <c r="H99" s="1" t="s">
        <v>114</v>
      </c>
      <c r="I99" s="1" t="s">
        <v>122</v>
      </c>
      <c r="J99" s="1" t="s">
        <v>305</v>
      </c>
      <c r="K99" s="1" t="s">
        <v>172</v>
      </c>
      <c r="L99" s="19">
        <v>44083</v>
      </c>
      <c r="M99" s="19">
        <v>44123</v>
      </c>
      <c r="N99" s="27" t="s">
        <v>557</v>
      </c>
    </row>
    <row r="100" spans="1:14" x14ac:dyDescent="0.25">
      <c r="A100" s="38" t="str">
        <f>HYPERLINK("http://reports.ofsted.gov.uk/inspection-reports/find-inspection-report/provider/CARE/SC483958","Ofsted Social Care Provider Webpage")</f>
        <v>Ofsted Social Care Provider Webpage</v>
      </c>
      <c r="B100" s="3" t="s">
        <v>312</v>
      </c>
      <c r="C100" s="1" t="s">
        <v>34</v>
      </c>
      <c r="D100" s="19">
        <v>41954</v>
      </c>
      <c r="E100" s="1" t="s">
        <v>154</v>
      </c>
      <c r="F100" s="1" t="s">
        <v>155</v>
      </c>
      <c r="G100" s="1" t="s">
        <v>128</v>
      </c>
      <c r="H100" s="1" t="s">
        <v>128</v>
      </c>
      <c r="I100" s="1" t="s">
        <v>130</v>
      </c>
      <c r="J100" s="1" t="s">
        <v>313</v>
      </c>
      <c r="K100" s="1" t="s">
        <v>157</v>
      </c>
      <c r="L100" s="19">
        <v>44083</v>
      </c>
      <c r="M100" s="19">
        <v>44111</v>
      </c>
      <c r="N100" s="27" t="s">
        <v>557</v>
      </c>
    </row>
    <row r="101" spans="1:14" x14ac:dyDescent="0.25">
      <c r="A101" s="38" t="str">
        <f>HYPERLINK("http://reports.ofsted.gov.uk/inspection-reports/find-inspection-report/provider/CARE/SC489970","Ofsted Social Care Provider Webpage")</f>
        <v>Ofsted Social Care Provider Webpage</v>
      </c>
      <c r="B101" s="3" t="s">
        <v>644</v>
      </c>
      <c r="C101" s="1" t="s">
        <v>34</v>
      </c>
      <c r="D101" s="19">
        <v>42213</v>
      </c>
      <c r="E101" s="1" t="s">
        <v>154</v>
      </c>
      <c r="F101" s="1" t="s">
        <v>155</v>
      </c>
      <c r="G101" s="1" t="s">
        <v>39</v>
      </c>
      <c r="H101" s="1" t="s">
        <v>39</v>
      </c>
      <c r="I101" s="1" t="s">
        <v>42</v>
      </c>
      <c r="J101" s="1" t="s">
        <v>578</v>
      </c>
      <c r="K101" s="1" t="s">
        <v>157</v>
      </c>
      <c r="L101" s="19">
        <v>44083</v>
      </c>
      <c r="M101" s="19">
        <v>44144</v>
      </c>
      <c r="N101" s="27" t="s">
        <v>559</v>
      </c>
    </row>
    <row r="102" spans="1:14" x14ac:dyDescent="0.25">
      <c r="A102" s="38" t="str">
        <f>HYPERLINK("http://reports.ofsted.gov.uk/inspection-reports/find-inspection-report/provider/CARE/1253623","Ofsted Social Care Provider Webpage")</f>
        <v>Ofsted Social Care Provider Webpage</v>
      </c>
      <c r="B102" s="3">
        <v>1253623</v>
      </c>
      <c r="C102" s="1" t="s">
        <v>34</v>
      </c>
      <c r="D102" s="19">
        <v>42923</v>
      </c>
      <c r="E102" s="1" t="s">
        <v>154</v>
      </c>
      <c r="F102" s="1" t="s">
        <v>155</v>
      </c>
      <c r="G102" s="1" t="s">
        <v>128</v>
      </c>
      <c r="H102" s="1" t="s">
        <v>128</v>
      </c>
      <c r="I102" s="1" t="s">
        <v>129</v>
      </c>
      <c r="J102" s="1" t="s">
        <v>307</v>
      </c>
      <c r="K102" s="1" t="s">
        <v>157</v>
      </c>
      <c r="L102" s="19">
        <v>44083</v>
      </c>
      <c r="M102" s="19">
        <v>44120</v>
      </c>
      <c r="N102" s="27" t="s">
        <v>557</v>
      </c>
    </row>
    <row r="103" spans="1:14" x14ac:dyDescent="0.25">
      <c r="A103" s="38" t="str">
        <f>HYPERLINK("http://reports.ofsted.gov.uk/inspection-reports/find-inspection-report/provider/CARE/1271998","Ofsted Social Care Provider Webpage")</f>
        <v>Ofsted Social Care Provider Webpage</v>
      </c>
      <c r="B103" s="3">
        <v>1271998</v>
      </c>
      <c r="C103" s="1" t="s">
        <v>34</v>
      </c>
      <c r="D103" s="19">
        <v>43243</v>
      </c>
      <c r="E103" s="1" t="s">
        <v>154</v>
      </c>
      <c r="F103" s="1" t="s">
        <v>155</v>
      </c>
      <c r="G103" s="1" t="s">
        <v>87</v>
      </c>
      <c r="H103" s="1" t="s">
        <v>87</v>
      </c>
      <c r="I103" s="1" t="s">
        <v>93</v>
      </c>
      <c r="J103" s="1" t="s">
        <v>587</v>
      </c>
      <c r="K103" s="1" t="s">
        <v>157</v>
      </c>
      <c r="L103" s="19">
        <v>44083</v>
      </c>
      <c r="M103" s="19">
        <v>44152</v>
      </c>
      <c r="N103" s="27" t="s">
        <v>557</v>
      </c>
    </row>
    <row r="104" spans="1:14" x14ac:dyDescent="0.25">
      <c r="A104" s="38" t="str">
        <f>HYPERLINK("http://reports.ofsted.gov.uk/inspection-reports/find-inspection-report/provider/CARE/1227060","Ofsted Social Care Provider Webpage")</f>
        <v>Ofsted Social Care Provider Webpage</v>
      </c>
      <c r="B104" s="3">
        <v>1227060</v>
      </c>
      <c r="C104" s="1" t="s">
        <v>36</v>
      </c>
      <c r="D104" s="19">
        <v>42347</v>
      </c>
      <c r="E104" s="1" t="s">
        <v>154</v>
      </c>
      <c r="F104" s="1" t="s">
        <v>155</v>
      </c>
      <c r="G104" s="1" t="s">
        <v>64</v>
      </c>
      <c r="H104" s="1" t="s">
        <v>164</v>
      </c>
      <c r="I104" s="1" t="s">
        <v>79</v>
      </c>
      <c r="J104" s="1" t="s">
        <v>318</v>
      </c>
      <c r="K104" s="1" t="s">
        <v>157</v>
      </c>
      <c r="L104" s="19">
        <v>44083</v>
      </c>
      <c r="M104" s="19">
        <v>44139</v>
      </c>
      <c r="N104" s="27" t="s">
        <v>557</v>
      </c>
    </row>
    <row r="105" spans="1:14" x14ac:dyDescent="0.25">
      <c r="A105" s="38" t="str">
        <f>HYPERLINK("http://reports.ofsted.gov.uk/inspection-reports/find-inspection-report/provider/CARE/2509684","Ofsted Social Care Provider Webpage")</f>
        <v>Ofsted Social Care Provider Webpage</v>
      </c>
      <c r="B105" s="3">
        <v>2509684</v>
      </c>
      <c r="C105" s="1" t="s">
        <v>34</v>
      </c>
      <c r="D105" s="19">
        <v>43434</v>
      </c>
      <c r="E105" s="1" t="s">
        <v>154</v>
      </c>
      <c r="F105" s="1" t="s">
        <v>155</v>
      </c>
      <c r="G105" s="1" t="s">
        <v>114</v>
      </c>
      <c r="H105" s="1" t="s">
        <v>114</v>
      </c>
      <c r="I105" s="1" t="s">
        <v>123</v>
      </c>
      <c r="J105" s="1" t="s">
        <v>284</v>
      </c>
      <c r="K105" s="1" t="s">
        <v>157</v>
      </c>
      <c r="L105" s="19">
        <v>44083</v>
      </c>
      <c r="M105" s="19">
        <v>44118</v>
      </c>
      <c r="N105" s="27" t="s">
        <v>557</v>
      </c>
    </row>
    <row r="106" spans="1:14" x14ac:dyDescent="0.25">
      <c r="A106" s="38" t="str">
        <f>HYPERLINK("http://reports.ofsted.gov.uk/inspection-reports/find-inspection-report/provider/CARE/2509300","Ofsted Social Care Provider Webpage")</f>
        <v>Ofsted Social Care Provider Webpage</v>
      </c>
      <c r="B106" s="3">
        <v>2509300</v>
      </c>
      <c r="C106" s="1" t="s">
        <v>34</v>
      </c>
      <c r="D106" s="19">
        <v>43549</v>
      </c>
      <c r="E106" s="1" t="s">
        <v>154</v>
      </c>
      <c r="F106" s="1" t="s">
        <v>155</v>
      </c>
      <c r="G106" s="1" t="s">
        <v>128</v>
      </c>
      <c r="H106" s="1" t="s">
        <v>128</v>
      </c>
      <c r="I106" s="1" t="s">
        <v>138</v>
      </c>
      <c r="J106" s="1" t="s">
        <v>285</v>
      </c>
      <c r="K106" s="1" t="s">
        <v>157</v>
      </c>
      <c r="L106" s="19">
        <v>44083</v>
      </c>
      <c r="M106" s="19">
        <v>44111</v>
      </c>
      <c r="N106" s="27" t="s">
        <v>557</v>
      </c>
    </row>
    <row r="107" spans="1:14" x14ac:dyDescent="0.25">
      <c r="A107" s="38" t="str">
        <f>HYPERLINK("http://reports.ofsted.gov.uk/inspection-reports/find-inspection-report/provider/CARE/SC037910","Ofsted Social Care Provider Webpage")</f>
        <v>Ofsted Social Care Provider Webpage</v>
      </c>
      <c r="B107" s="3" t="s">
        <v>295</v>
      </c>
      <c r="C107" s="1" t="s">
        <v>34</v>
      </c>
      <c r="D107" s="19">
        <v>37964</v>
      </c>
      <c r="E107" s="1" t="s">
        <v>154</v>
      </c>
      <c r="F107" s="1" t="s">
        <v>155</v>
      </c>
      <c r="G107" s="1" t="s">
        <v>105</v>
      </c>
      <c r="H107" s="1" t="s">
        <v>105</v>
      </c>
      <c r="I107" s="1" t="s">
        <v>108</v>
      </c>
      <c r="J107" s="1" t="s">
        <v>296</v>
      </c>
      <c r="K107" s="1" t="s">
        <v>172</v>
      </c>
      <c r="L107" s="19">
        <v>44083</v>
      </c>
      <c r="M107" s="19">
        <v>44110</v>
      </c>
      <c r="N107" s="27" t="s">
        <v>557</v>
      </c>
    </row>
    <row r="108" spans="1:14" x14ac:dyDescent="0.25">
      <c r="A108" s="38" t="str">
        <f>HYPERLINK("http://reports.ofsted.gov.uk/inspection-reports/find-inspection-report/provider/CARE/1246521","Ofsted Social Care Provider Webpage")</f>
        <v>Ofsted Social Care Provider Webpage</v>
      </c>
      <c r="B108" s="3">
        <v>1246521</v>
      </c>
      <c r="C108" s="1" t="s">
        <v>34</v>
      </c>
      <c r="D108" s="19">
        <v>42696</v>
      </c>
      <c r="E108" s="1" t="s">
        <v>154</v>
      </c>
      <c r="F108" s="1" t="s">
        <v>155</v>
      </c>
      <c r="G108" s="1" t="s">
        <v>105</v>
      </c>
      <c r="H108" s="1" t="s">
        <v>105</v>
      </c>
      <c r="I108" s="1" t="s">
        <v>108</v>
      </c>
      <c r="J108" s="1" t="s">
        <v>289</v>
      </c>
      <c r="K108" s="1" t="s">
        <v>157</v>
      </c>
      <c r="L108" s="19">
        <v>44083</v>
      </c>
      <c r="M108" s="19">
        <v>44110</v>
      </c>
      <c r="N108" s="27" t="s">
        <v>557</v>
      </c>
    </row>
    <row r="109" spans="1:14" x14ac:dyDescent="0.25">
      <c r="A109" s="38" t="str">
        <f>HYPERLINK("http://reports.ofsted.gov.uk/inspection-reports/find-inspection-report/provider/CARE/1229766","Ofsted Social Care Provider Webpage")</f>
        <v>Ofsted Social Care Provider Webpage</v>
      </c>
      <c r="B109" s="3">
        <v>1229766</v>
      </c>
      <c r="C109" s="1" t="s">
        <v>36</v>
      </c>
      <c r="D109" s="19">
        <v>42383</v>
      </c>
      <c r="E109" s="1" t="s">
        <v>154</v>
      </c>
      <c r="F109" s="1" t="s">
        <v>155</v>
      </c>
      <c r="G109" s="1" t="s">
        <v>48</v>
      </c>
      <c r="H109" s="1" t="s">
        <v>48</v>
      </c>
      <c r="I109" s="1" t="s">
        <v>49</v>
      </c>
      <c r="J109" s="1" t="s">
        <v>297</v>
      </c>
      <c r="K109" s="1" t="s">
        <v>157</v>
      </c>
      <c r="L109" s="19">
        <v>44083</v>
      </c>
      <c r="M109" s="19">
        <v>44118</v>
      </c>
      <c r="N109" s="27" t="s">
        <v>557</v>
      </c>
    </row>
    <row r="110" spans="1:14" x14ac:dyDescent="0.25">
      <c r="A110" s="38" t="str">
        <f>HYPERLINK("http://reports.ofsted.gov.uk/inspection-reports/find-inspection-report/provider/CARE/1244413","Ofsted Social Care Provider Webpage")</f>
        <v>Ofsted Social Care Provider Webpage</v>
      </c>
      <c r="B110" s="3">
        <v>1244413</v>
      </c>
      <c r="C110" s="1" t="s">
        <v>34</v>
      </c>
      <c r="D110" s="19">
        <v>42769</v>
      </c>
      <c r="E110" s="1" t="s">
        <v>154</v>
      </c>
      <c r="F110" s="1" t="s">
        <v>155</v>
      </c>
      <c r="G110" s="1" t="s">
        <v>64</v>
      </c>
      <c r="H110" s="1" t="s">
        <v>213</v>
      </c>
      <c r="I110" s="1" t="s">
        <v>84</v>
      </c>
      <c r="J110" s="1" t="s">
        <v>260</v>
      </c>
      <c r="K110" s="1" t="s">
        <v>157</v>
      </c>
      <c r="L110" s="19">
        <v>44083</v>
      </c>
      <c r="M110" s="19">
        <v>44130</v>
      </c>
      <c r="N110" s="27" t="s">
        <v>557</v>
      </c>
    </row>
    <row r="111" spans="1:14" x14ac:dyDescent="0.25">
      <c r="A111" s="38" t="str">
        <f>HYPERLINK("http://reports.ofsted.gov.uk/inspection-reports/find-inspection-report/provider/CARE/SC022444","Ofsted Social Care Provider Webpage")</f>
        <v>Ofsted Social Care Provider Webpage</v>
      </c>
      <c r="B111" s="3" t="s">
        <v>292</v>
      </c>
      <c r="C111" s="1" t="s">
        <v>34</v>
      </c>
      <c r="D111" s="19">
        <v>37160</v>
      </c>
      <c r="E111" s="1" t="s">
        <v>154</v>
      </c>
      <c r="F111" s="1" t="s">
        <v>155</v>
      </c>
      <c r="G111" s="1" t="s">
        <v>87</v>
      </c>
      <c r="H111" s="1" t="s">
        <v>87</v>
      </c>
      <c r="I111" s="1" t="s">
        <v>99</v>
      </c>
      <c r="J111" s="1" t="s">
        <v>199</v>
      </c>
      <c r="K111" s="1" t="s">
        <v>157</v>
      </c>
      <c r="L111" s="19">
        <v>44083</v>
      </c>
      <c r="M111" s="19">
        <v>44112</v>
      </c>
      <c r="N111" s="27" t="s">
        <v>557</v>
      </c>
    </row>
    <row r="112" spans="1:14" x14ac:dyDescent="0.25">
      <c r="A112" s="38" t="str">
        <f>HYPERLINK("http://reports.ofsted.gov.uk/inspection-reports/find-inspection-report/provider/CARE/2538285","Ofsted Social Care Provider Webpage")</f>
        <v>Ofsted Social Care Provider Webpage</v>
      </c>
      <c r="B112" s="3">
        <v>2538285</v>
      </c>
      <c r="C112" s="1" t="s">
        <v>34</v>
      </c>
      <c r="D112" s="19">
        <v>43795</v>
      </c>
      <c r="E112" s="1" t="s">
        <v>154</v>
      </c>
      <c r="F112" s="1" t="s">
        <v>155</v>
      </c>
      <c r="G112" s="1" t="s">
        <v>87</v>
      </c>
      <c r="H112" s="1" t="s">
        <v>87</v>
      </c>
      <c r="I112" s="1" t="s">
        <v>93</v>
      </c>
      <c r="J112" s="1" t="s">
        <v>250</v>
      </c>
      <c r="K112" s="1" t="s">
        <v>157</v>
      </c>
      <c r="L112" s="19">
        <v>44083</v>
      </c>
      <c r="M112" s="19">
        <v>44131</v>
      </c>
      <c r="N112" s="27" t="s">
        <v>557</v>
      </c>
    </row>
    <row r="113" spans="1:14" x14ac:dyDescent="0.25">
      <c r="A113" s="38" t="str">
        <f>HYPERLINK("http://reports.ofsted.gov.uk/inspection-reports/find-inspection-report/provider/CARE/2484443","Ofsted Social Care Provider Webpage")</f>
        <v>Ofsted Social Care Provider Webpage</v>
      </c>
      <c r="B113" s="3">
        <v>2484443</v>
      </c>
      <c r="C113" s="1" t="s">
        <v>34</v>
      </c>
      <c r="D113" s="19">
        <v>43332</v>
      </c>
      <c r="E113" s="1" t="s">
        <v>154</v>
      </c>
      <c r="F113" s="1" t="s">
        <v>155</v>
      </c>
      <c r="G113" s="1" t="s">
        <v>114</v>
      </c>
      <c r="H113" s="1" t="s">
        <v>114</v>
      </c>
      <c r="I113" s="1" t="s">
        <v>123</v>
      </c>
      <c r="J113" s="1" t="s">
        <v>298</v>
      </c>
      <c r="K113" s="1" t="s">
        <v>157</v>
      </c>
      <c r="L113" s="19">
        <v>44083</v>
      </c>
      <c r="M113" s="19">
        <v>44125</v>
      </c>
      <c r="N113" s="27" t="s">
        <v>557</v>
      </c>
    </row>
    <row r="114" spans="1:14" x14ac:dyDescent="0.25">
      <c r="A114" s="38" t="str">
        <f>HYPERLINK("http://reports.ofsted.gov.uk/inspection-reports/find-inspection-report/provider/CARE/2537782","Ofsted Social Care Provider Webpage")</f>
        <v>Ofsted Social Care Provider Webpage</v>
      </c>
      <c r="B114" s="3">
        <v>2537782</v>
      </c>
      <c r="C114" s="1" t="s">
        <v>34</v>
      </c>
      <c r="D114" s="19">
        <v>43756</v>
      </c>
      <c r="E114" s="1" t="s">
        <v>154</v>
      </c>
      <c r="F114" s="1" t="s">
        <v>155</v>
      </c>
      <c r="G114" s="1" t="s">
        <v>48</v>
      </c>
      <c r="H114" s="1" t="s">
        <v>48</v>
      </c>
      <c r="I114" s="1" t="s">
        <v>53</v>
      </c>
      <c r="J114" s="1" t="s">
        <v>309</v>
      </c>
      <c r="K114" s="1" t="s">
        <v>157</v>
      </c>
      <c r="L114" s="19">
        <v>44083</v>
      </c>
      <c r="M114" s="19">
        <v>44111</v>
      </c>
      <c r="N114" s="27" t="s">
        <v>557</v>
      </c>
    </row>
    <row r="115" spans="1:14" x14ac:dyDescent="0.25">
      <c r="A115" s="38" t="str">
        <f>HYPERLINK("http://reports.ofsted.gov.uk/inspection-reports/find-inspection-report/provider/CARE/SC476270","Ofsted Social Care Provider Webpage")</f>
        <v>Ofsted Social Care Provider Webpage</v>
      </c>
      <c r="B115" s="3" t="s">
        <v>308</v>
      </c>
      <c r="C115" s="1" t="s">
        <v>34</v>
      </c>
      <c r="D115" s="19">
        <v>41698</v>
      </c>
      <c r="E115" s="1" t="s">
        <v>154</v>
      </c>
      <c r="F115" s="1" t="s">
        <v>155</v>
      </c>
      <c r="G115" s="1" t="s">
        <v>128</v>
      </c>
      <c r="H115" s="1" t="s">
        <v>128</v>
      </c>
      <c r="I115" s="1" t="s">
        <v>137</v>
      </c>
      <c r="J115" s="1" t="s">
        <v>267</v>
      </c>
      <c r="K115" s="1" t="s">
        <v>157</v>
      </c>
      <c r="L115" s="19">
        <v>44083</v>
      </c>
      <c r="M115" s="19">
        <v>44131</v>
      </c>
      <c r="N115" s="27" t="s">
        <v>559</v>
      </c>
    </row>
    <row r="116" spans="1:14" x14ac:dyDescent="0.25">
      <c r="A116" s="38" t="str">
        <f>HYPERLINK("http://reports.ofsted.gov.uk/inspection-reports/find-inspection-report/provider/CARE/SC447930","Ofsted Social Care Provider Webpage")</f>
        <v>Ofsted Social Care Provider Webpage</v>
      </c>
      <c r="B116" s="3" t="s">
        <v>302</v>
      </c>
      <c r="C116" s="1" t="s">
        <v>34</v>
      </c>
      <c r="D116" s="19">
        <v>41057</v>
      </c>
      <c r="E116" s="1" t="s">
        <v>154</v>
      </c>
      <c r="F116" s="1" t="s">
        <v>155</v>
      </c>
      <c r="G116" s="1" t="s">
        <v>87</v>
      </c>
      <c r="H116" s="1" t="s">
        <v>87</v>
      </c>
      <c r="I116" s="1" t="s">
        <v>102</v>
      </c>
      <c r="J116" s="1" t="s">
        <v>303</v>
      </c>
      <c r="K116" s="1" t="s">
        <v>172</v>
      </c>
      <c r="L116" s="19">
        <v>44083</v>
      </c>
      <c r="M116" s="19">
        <v>44112</v>
      </c>
      <c r="N116" s="27" t="s">
        <v>557</v>
      </c>
    </row>
    <row r="117" spans="1:14" x14ac:dyDescent="0.25">
      <c r="A117" s="38" t="str">
        <f>HYPERLINK("http://reports.ofsted.gov.uk/inspection-reports/find-inspection-report/provider/CARE/SC042967","Ofsted Social Care Provider Webpage")</f>
        <v>Ofsted Social Care Provider Webpage</v>
      </c>
      <c r="B117" s="3" t="s">
        <v>299</v>
      </c>
      <c r="C117" s="1" t="s">
        <v>34</v>
      </c>
      <c r="D117" s="19">
        <v>38037</v>
      </c>
      <c r="E117" s="1" t="s">
        <v>154</v>
      </c>
      <c r="F117" s="1" t="s">
        <v>155</v>
      </c>
      <c r="G117" s="1" t="s">
        <v>39</v>
      </c>
      <c r="H117" s="1" t="s">
        <v>39</v>
      </c>
      <c r="I117" s="1" t="s">
        <v>43</v>
      </c>
      <c r="J117" s="1" t="s">
        <v>300</v>
      </c>
      <c r="K117" s="1" t="s">
        <v>172</v>
      </c>
      <c r="L117" s="19">
        <v>44083</v>
      </c>
      <c r="M117" s="19">
        <v>44131</v>
      </c>
      <c r="N117" s="27" t="s">
        <v>559</v>
      </c>
    </row>
    <row r="118" spans="1:14" x14ac:dyDescent="0.25">
      <c r="A118" s="38" t="str">
        <f>HYPERLINK("http://reports.ofsted.gov.uk/inspection-reports/find-inspection-report/provider/CARE/SC366002","Ofsted Social Care Provider Webpage")</f>
        <v>Ofsted Social Care Provider Webpage</v>
      </c>
      <c r="B118" s="3" t="s">
        <v>287</v>
      </c>
      <c r="C118" s="1" t="s">
        <v>34</v>
      </c>
      <c r="D118" s="19">
        <v>39470</v>
      </c>
      <c r="E118" s="1" t="s">
        <v>154</v>
      </c>
      <c r="F118" s="1" t="s">
        <v>155</v>
      </c>
      <c r="G118" s="1" t="s">
        <v>87</v>
      </c>
      <c r="H118" s="1" t="s">
        <v>87</v>
      </c>
      <c r="I118" s="1" t="s">
        <v>91</v>
      </c>
      <c r="J118" s="1" t="s">
        <v>288</v>
      </c>
      <c r="K118" s="1" t="s">
        <v>157</v>
      </c>
      <c r="L118" s="19">
        <v>44083</v>
      </c>
      <c r="M118" s="19">
        <v>44120</v>
      </c>
      <c r="N118" s="27" t="s">
        <v>557</v>
      </c>
    </row>
    <row r="119" spans="1:14" x14ac:dyDescent="0.25">
      <c r="A119" s="38" t="str">
        <f>HYPERLINK("http://reports.ofsted.gov.uk/inspection-reports/find-inspection-report/provider/CARE/2562531","Ofsted Social Care Provider Webpage")</f>
        <v>Ofsted Social Care Provider Webpage</v>
      </c>
      <c r="B119" s="3">
        <v>2562531</v>
      </c>
      <c r="C119" s="1" t="s">
        <v>34</v>
      </c>
      <c r="D119" s="19">
        <v>43801</v>
      </c>
      <c r="E119" s="1" t="s">
        <v>154</v>
      </c>
      <c r="F119" s="1" t="s">
        <v>155</v>
      </c>
      <c r="G119" s="1" t="s">
        <v>128</v>
      </c>
      <c r="H119" s="1" t="s">
        <v>128</v>
      </c>
      <c r="I119" s="1" t="s">
        <v>134</v>
      </c>
      <c r="J119" s="1" t="s">
        <v>228</v>
      </c>
      <c r="K119" s="1" t="s">
        <v>157</v>
      </c>
      <c r="L119" s="19">
        <v>44083</v>
      </c>
      <c r="M119" s="19">
        <v>44117</v>
      </c>
      <c r="N119" s="27" t="s">
        <v>557</v>
      </c>
    </row>
    <row r="120" spans="1:14" x14ac:dyDescent="0.25">
      <c r="A120" s="38" t="str">
        <f>HYPERLINK("http://reports.ofsted.gov.uk/inspection-reports/find-inspection-report/provider/CARE/2491062","Ofsted Social Care Provider Webpage")</f>
        <v>Ofsted Social Care Provider Webpage</v>
      </c>
      <c r="B120" s="3">
        <v>2491062</v>
      </c>
      <c r="C120" s="1" t="s">
        <v>34</v>
      </c>
      <c r="D120" s="19">
        <v>43398</v>
      </c>
      <c r="E120" s="1" t="s">
        <v>154</v>
      </c>
      <c r="F120" s="1" t="s">
        <v>155</v>
      </c>
      <c r="G120" s="1" t="s">
        <v>48</v>
      </c>
      <c r="H120" s="1" t="s">
        <v>48</v>
      </c>
      <c r="I120" s="1" t="s">
        <v>52</v>
      </c>
      <c r="J120" s="1" t="s">
        <v>317</v>
      </c>
      <c r="K120" s="1" t="s">
        <v>157</v>
      </c>
      <c r="L120" s="19">
        <v>44084</v>
      </c>
      <c r="M120" s="19">
        <v>44123</v>
      </c>
      <c r="N120" s="27" t="s">
        <v>557</v>
      </c>
    </row>
    <row r="121" spans="1:14" x14ac:dyDescent="0.25">
      <c r="A121" s="38" t="str">
        <f>HYPERLINK("http://reports.ofsted.gov.uk/inspection-reports/find-inspection-report/provider/CARE/SC473404","Ofsted Social Care Provider Webpage")</f>
        <v>Ofsted Social Care Provider Webpage</v>
      </c>
      <c r="B121" s="3" t="s">
        <v>320</v>
      </c>
      <c r="C121" s="1" t="s">
        <v>34</v>
      </c>
      <c r="D121" s="19">
        <v>41607</v>
      </c>
      <c r="E121" s="1" t="s">
        <v>321</v>
      </c>
      <c r="F121" s="1" t="s">
        <v>155</v>
      </c>
      <c r="G121" s="1" t="s">
        <v>105</v>
      </c>
      <c r="H121" s="1" t="s">
        <v>105</v>
      </c>
      <c r="I121" s="1" t="s">
        <v>109</v>
      </c>
      <c r="J121" s="1" t="s">
        <v>322</v>
      </c>
      <c r="K121" s="1" t="s">
        <v>157</v>
      </c>
      <c r="L121" s="19">
        <v>44084</v>
      </c>
      <c r="M121" s="19">
        <v>44131</v>
      </c>
      <c r="N121" s="27" t="s">
        <v>559</v>
      </c>
    </row>
    <row r="122" spans="1:14" x14ac:dyDescent="0.25">
      <c r="A122" s="38" t="str">
        <f>HYPERLINK("http://reports.ofsted.gov.uk/inspection-reports/find-inspection-report/provider/CARE/1236620","Ofsted Social Care Provider Webpage")</f>
        <v>Ofsted Social Care Provider Webpage</v>
      </c>
      <c r="B122" s="3">
        <v>1236620</v>
      </c>
      <c r="C122" s="1" t="s">
        <v>34</v>
      </c>
      <c r="D122" s="19">
        <v>42569</v>
      </c>
      <c r="E122" s="1" t="s">
        <v>154</v>
      </c>
      <c r="F122" s="1" t="s">
        <v>155</v>
      </c>
      <c r="G122" s="1" t="s">
        <v>114</v>
      </c>
      <c r="H122" s="1" t="s">
        <v>114</v>
      </c>
      <c r="I122" s="1" t="s">
        <v>123</v>
      </c>
      <c r="J122" s="1" t="s">
        <v>319</v>
      </c>
      <c r="K122" s="1" t="s">
        <v>157</v>
      </c>
      <c r="L122" s="19">
        <v>44084</v>
      </c>
      <c r="M122" s="19">
        <v>44118</v>
      </c>
      <c r="N122" s="27" t="s">
        <v>557</v>
      </c>
    </row>
    <row r="123" spans="1:14" x14ac:dyDescent="0.25">
      <c r="A123" s="38" t="str">
        <f>HYPERLINK("http://reports.ofsted.gov.uk/inspection-reports/find-inspection-report/provider/CARE/SC430320","Ofsted Social Care Provider Webpage")</f>
        <v>Ofsted Social Care Provider Webpage</v>
      </c>
      <c r="B123" s="3" t="s">
        <v>315</v>
      </c>
      <c r="C123" s="1" t="s">
        <v>34</v>
      </c>
      <c r="D123" s="19">
        <v>40764</v>
      </c>
      <c r="E123" s="1" t="s">
        <v>154</v>
      </c>
      <c r="F123" s="1" t="s">
        <v>155</v>
      </c>
      <c r="G123" s="1" t="s">
        <v>57</v>
      </c>
      <c r="H123" s="1" t="s">
        <v>57</v>
      </c>
      <c r="I123" s="1" t="s">
        <v>58</v>
      </c>
      <c r="J123" s="1" t="s">
        <v>316</v>
      </c>
      <c r="K123" s="1" t="s">
        <v>157</v>
      </c>
      <c r="L123" s="19">
        <v>44084</v>
      </c>
      <c r="M123" s="19">
        <v>44117</v>
      </c>
      <c r="N123" s="27" t="s">
        <v>557</v>
      </c>
    </row>
    <row r="124" spans="1:14" x14ac:dyDescent="0.25">
      <c r="A124" s="38" t="str">
        <f>HYPERLINK("http://reports.ofsted.gov.uk/inspection-reports/find-inspection-report/provider/CARE/SC427652","Ofsted Social Care Provider Webpage")</f>
        <v>Ofsted Social Care Provider Webpage</v>
      </c>
      <c r="B124" s="3" t="s">
        <v>314</v>
      </c>
      <c r="C124" s="1" t="s">
        <v>34</v>
      </c>
      <c r="D124" s="19">
        <v>40668</v>
      </c>
      <c r="E124" s="1" t="s">
        <v>154</v>
      </c>
      <c r="F124" s="1" t="s">
        <v>155</v>
      </c>
      <c r="G124" s="1" t="s">
        <v>48</v>
      </c>
      <c r="H124" s="1" t="s">
        <v>48</v>
      </c>
      <c r="I124" s="1" t="s">
        <v>56</v>
      </c>
      <c r="J124" s="1" t="s">
        <v>232</v>
      </c>
      <c r="K124" s="1" t="s">
        <v>157</v>
      </c>
      <c r="L124" s="19">
        <v>44084</v>
      </c>
      <c r="M124" s="19">
        <v>44111</v>
      </c>
      <c r="N124" s="27" t="s">
        <v>557</v>
      </c>
    </row>
    <row r="125" spans="1:14" x14ac:dyDescent="0.25">
      <c r="A125" s="38" t="str">
        <f>HYPERLINK("http://reports.ofsted.gov.uk/inspection-reports/find-inspection-report/provider/CARE/SC457639","Ofsted Social Care Provider Webpage")</f>
        <v>Ofsted Social Care Provider Webpage</v>
      </c>
      <c r="B125" s="3" t="s">
        <v>326</v>
      </c>
      <c r="C125" s="1" t="s">
        <v>34</v>
      </c>
      <c r="D125" s="19">
        <v>41663</v>
      </c>
      <c r="E125" s="1" t="s">
        <v>215</v>
      </c>
      <c r="F125" s="1" t="s">
        <v>155</v>
      </c>
      <c r="G125" s="1" t="s">
        <v>105</v>
      </c>
      <c r="H125" s="1" t="s">
        <v>105</v>
      </c>
      <c r="I125" s="1" t="s">
        <v>109</v>
      </c>
      <c r="J125" s="1" t="s">
        <v>162</v>
      </c>
      <c r="K125" s="1" t="s">
        <v>157</v>
      </c>
      <c r="L125" s="19">
        <v>44088</v>
      </c>
      <c r="M125" s="19">
        <v>44123</v>
      </c>
      <c r="N125" s="27" t="s">
        <v>559</v>
      </c>
    </row>
    <row r="126" spans="1:14" x14ac:dyDescent="0.25">
      <c r="A126" s="38" t="str">
        <f>HYPERLINK("http://reports.ofsted.gov.uk/inspection-reports/find-inspection-report/provider/CARE/SC396813","Ofsted Social Care Provider Webpage")</f>
        <v>Ofsted Social Care Provider Webpage</v>
      </c>
      <c r="B126" s="3" t="s">
        <v>336</v>
      </c>
      <c r="C126" s="1" t="s">
        <v>36</v>
      </c>
      <c r="D126" s="19">
        <v>40009</v>
      </c>
      <c r="E126" s="1" t="s">
        <v>154</v>
      </c>
      <c r="F126" s="1" t="s">
        <v>155</v>
      </c>
      <c r="G126" s="1" t="s">
        <v>105</v>
      </c>
      <c r="H126" s="1" t="s">
        <v>105</v>
      </c>
      <c r="I126" s="1" t="s">
        <v>107</v>
      </c>
      <c r="J126" s="1" t="s">
        <v>337</v>
      </c>
      <c r="K126" s="1" t="s">
        <v>168</v>
      </c>
      <c r="L126" s="19">
        <v>44088</v>
      </c>
      <c r="M126" s="19">
        <v>44118</v>
      </c>
      <c r="N126" s="27" t="s">
        <v>557</v>
      </c>
    </row>
    <row r="127" spans="1:14" x14ac:dyDescent="0.25">
      <c r="A127" s="38" t="str">
        <f>HYPERLINK("http://reports.ofsted.gov.uk/inspection-reports/find-inspection-report/provider/CARE/SC471581","Ofsted Social Care Provider Webpage")</f>
        <v>Ofsted Social Care Provider Webpage</v>
      </c>
      <c r="B127" s="3" t="s">
        <v>335</v>
      </c>
      <c r="C127" s="1" t="s">
        <v>34</v>
      </c>
      <c r="D127" s="19">
        <v>41607</v>
      </c>
      <c r="E127" s="1" t="s">
        <v>154</v>
      </c>
      <c r="F127" s="1" t="s">
        <v>155</v>
      </c>
      <c r="G127" s="1" t="s">
        <v>128</v>
      </c>
      <c r="H127" s="1" t="s">
        <v>128</v>
      </c>
      <c r="I127" s="1" t="s">
        <v>134</v>
      </c>
      <c r="J127" s="1" t="s">
        <v>323</v>
      </c>
      <c r="K127" s="1" t="s">
        <v>157</v>
      </c>
      <c r="L127" s="19">
        <v>44088</v>
      </c>
      <c r="M127" s="19">
        <v>44132</v>
      </c>
      <c r="N127" s="27" t="s">
        <v>557</v>
      </c>
    </row>
    <row r="128" spans="1:14" x14ac:dyDescent="0.25">
      <c r="A128" s="38" t="str">
        <f>HYPERLINK("http://reports.ofsted.gov.uk/inspection-reports/find-inspection-report/provider/CARE/SC481235","Ofsted Social Care Provider Webpage")</f>
        <v>Ofsted Social Care Provider Webpage</v>
      </c>
      <c r="B128" s="3" t="s">
        <v>338</v>
      </c>
      <c r="C128" s="1" t="s">
        <v>34</v>
      </c>
      <c r="D128" s="19">
        <v>41886</v>
      </c>
      <c r="E128" s="1" t="s">
        <v>154</v>
      </c>
      <c r="F128" s="1" t="s">
        <v>155</v>
      </c>
      <c r="G128" s="1" t="s">
        <v>128</v>
      </c>
      <c r="H128" s="1" t="s">
        <v>128</v>
      </c>
      <c r="I128" s="1" t="s">
        <v>132</v>
      </c>
      <c r="J128" s="1" t="s">
        <v>339</v>
      </c>
      <c r="K128" s="1" t="s">
        <v>157</v>
      </c>
      <c r="L128" s="19">
        <v>44088</v>
      </c>
      <c r="M128" s="19">
        <v>44113</v>
      </c>
      <c r="N128" s="27" t="s">
        <v>557</v>
      </c>
    </row>
    <row r="129" spans="1:14" x14ac:dyDescent="0.25">
      <c r="A129" s="38" t="str">
        <f>HYPERLINK("http://reports.ofsted.gov.uk/inspection-reports/find-inspection-report/provider/CARE/1274846","Ofsted Social Care Provider Webpage")</f>
        <v>Ofsted Social Care Provider Webpage</v>
      </c>
      <c r="B129" s="3">
        <v>1274846</v>
      </c>
      <c r="C129" s="1" t="s">
        <v>34</v>
      </c>
      <c r="D129" s="19">
        <v>43279</v>
      </c>
      <c r="E129" s="1" t="s">
        <v>154</v>
      </c>
      <c r="F129" s="1" t="s">
        <v>155</v>
      </c>
      <c r="G129" s="1" t="s">
        <v>48</v>
      </c>
      <c r="H129" s="1" t="s">
        <v>48</v>
      </c>
      <c r="I129" s="1" t="s">
        <v>49</v>
      </c>
      <c r="J129" s="1" t="s">
        <v>341</v>
      </c>
      <c r="K129" s="1" t="s">
        <v>157</v>
      </c>
      <c r="L129" s="19">
        <v>44088</v>
      </c>
      <c r="M129" s="19">
        <v>44112</v>
      </c>
      <c r="N129" s="27" t="s">
        <v>557</v>
      </c>
    </row>
    <row r="130" spans="1:14" x14ac:dyDescent="0.25">
      <c r="A130" s="38" t="str">
        <f>HYPERLINK("http://reports.ofsted.gov.uk/inspection-reports/find-inspection-report/provider/CARE/1247390","Ofsted Social Care Provider Webpage")</f>
        <v>Ofsted Social Care Provider Webpage</v>
      </c>
      <c r="B130" s="3">
        <v>1247390</v>
      </c>
      <c r="C130" s="1" t="s">
        <v>34</v>
      </c>
      <c r="D130" s="19">
        <v>42726</v>
      </c>
      <c r="E130" s="1" t="s">
        <v>154</v>
      </c>
      <c r="F130" s="1" t="s">
        <v>155</v>
      </c>
      <c r="G130" s="1" t="s">
        <v>114</v>
      </c>
      <c r="H130" s="1" t="s">
        <v>114</v>
      </c>
      <c r="I130" s="1" t="s">
        <v>120</v>
      </c>
      <c r="J130" s="1" t="s">
        <v>342</v>
      </c>
      <c r="K130" s="1" t="s">
        <v>157</v>
      </c>
      <c r="L130" s="19">
        <v>44088</v>
      </c>
      <c r="M130" s="19">
        <v>44118</v>
      </c>
      <c r="N130" s="27" t="s">
        <v>557</v>
      </c>
    </row>
    <row r="131" spans="1:14" x14ac:dyDescent="0.25">
      <c r="A131" s="38" t="str">
        <f>HYPERLINK("http://reports.ofsted.gov.uk/inspection-reports/find-inspection-report/provider/CARE/1247144","Ofsted Social Care Provider Webpage")</f>
        <v>Ofsted Social Care Provider Webpage</v>
      </c>
      <c r="B131" s="3">
        <v>1247144</v>
      </c>
      <c r="C131" s="1" t="s">
        <v>34</v>
      </c>
      <c r="D131" s="19">
        <v>42702</v>
      </c>
      <c r="E131" s="1" t="s">
        <v>154</v>
      </c>
      <c r="F131" s="1" t="s">
        <v>155</v>
      </c>
      <c r="G131" s="1" t="s">
        <v>39</v>
      </c>
      <c r="H131" s="1" t="s">
        <v>39</v>
      </c>
      <c r="I131" s="1" t="s">
        <v>40</v>
      </c>
      <c r="J131" s="1" t="s">
        <v>329</v>
      </c>
      <c r="K131" s="1" t="s">
        <v>157</v>
      </c>
      <c r="L131" s="19">
        <v>44088</v>
      </c>
      <c r="M131" s="19">
        <v>44118</v>
      </c>
      <c r="N131" s="27" t="s">
        <v>557</v>
      </c>
    </row>
    <row r="132" spans="1:14" x14ac:dyDescent="0.25">
      <c r="A132" s="38" t="str">
        <f>HYPERLINK("http://reports.ofsted.gov.uk/inspection-reports/find-inspection-report/provider/CARE/1272657","Ofsted Social Care Provider Webpage")</f>
        <v>Ofsted Social Care Provider Webpage</v>
      </c>
      <c r="B132" s="3">
        <v>1272657</v>
      </c>
      <c r="C132" s="1" t="s">
        <v>34</v>
      </c>
      <c r="D132" s="19">
        <v>43258</v>
      </c>
      <c r="E132" s="1" t="s">
        <v>154</v>
      </c>
      <c r="F132" s="1" t="s">
        <v>155</v>
      </c>
      <c r="G132" s="1" t="s">
        <v>48</v>
      </c>
      <c r="H132" s="1" t="s">
        <v>48</v>
      </c>
      <c r="I132" s="1" t="s">
        <v>56</v>
      </c>
      <c r="J132" s="1" t="s">
        <v>325</v>
      </c>
      <c r="K132" s="1" t="s">
        <v>157</v>
      </c>
      <c r="L132" s="19">
        <v>44088</v>
      </c>
      <c r="M132" s="19">
        <v>44125</v>
      </c>
      <c r="N132" s="27" t="s">
        <v>557</v>
      </c>
    </row>
    <row r="133" spans="1:14" x14ac:dyDescent="0.25">
      <c r="A133" s="38" t="str">
        <f>HYPERLINK("http://reports.ofsted.gov.uk/inspection-reports/find-inspection-report/provider/CARE/1185765","Ofsted Social Care Provider Webpage")</f>
        <v>Ofsted Social Care Provider Webpage</v>
      </c>
      <c r="B133" s="3">
        <v>1185765</v>
      </c>
      <c r="C133" s="1" t="s">
        <v>34</v>
      </c>
      <c r="D133" s="19">
        <v>42347</v>
      </c>
      <c r="E133" s="1" t="s">
        <v>154</v>
      </c>
      <c r="F133" s="1" t="s">
        <v>155</v>
      </c>
      <c r="G133" s="1" t="s">
        <v>128</v>
      </c>
      <c r="H133" s="1" t="s">
        <v>128</v>
      </c>
      <c r="I133" s="1" t="s">
        <v>134</v>
      </c>
      <c r="J133" s="1" t="s">
        <v>323</v>
      </c>
      <c r="K133" s="1" t="s">
        <v>157</v>
      </c>
      <c r="L133" s="19">
        <v>44088</v>
      </c>
      <c r="M133" s="19">
        <v>44123</v>
      </c>
      <c r="N133" s="27" t="s">
        <v>559</v>
      </c>
    </row>
    <row r="134" spans="1:14" x14ac:dyDescent="0.25">
      <c r="A134" s="38" t="str">
        <f>HYPERLINK("http://reports.ofsted.gov.uk/inspection-reports/find-inspection-report/provider/CARE/SC043994","Ofsted Social Care Provider Webpage")</f>
        <v>Ofsted Social Care Provider Webpage</v>
      </c>
      <c r="B134" s="3" t="s">
        <v>333</v>
      </c>
      <c r="C134" s="1" t="s">
        <v>36</v>
      </c>
      <c r="D134" s="19">
        <v>38481</v>
      </c>
      <c r="E134" s="1" t="s">
        <v>154</v>
      </c>
      <c r="F134" s="1" t="s">
        <v>155</v>
      </c>
      <c r="G134" s="1" t="s">
        <v>105</v>
      </c>
      <c r="H134" s="1" t="s">
        <v>105</v>
      </c>
      <c r="I134" s="1" t="s">
        <v>106</v>
      </c>
      <c r="J134" s="1" t="s">
        <v>334</v>
      </c>
      <c r="K134" s="1" t="s">
        <v>168</v>
      </c>
      <c r="L134" s="19">
        <v>44088</v>
      </c>
      <c r="M134" s="19">
        <v>44118</v>
      </c>
      <c r="N134" s="27" t="s">
        <v>557</v>
      </c>
    </row>
    <row r="135" spans="1:14" x14ac:dyDescent="0.25">
      <c r="A135" s="38" t="str">
        <f>HYPERLINK("http://reports.ofsted.gov.uk/inspection-reports/find-inspection-report/provider/CARE/SC478152","Ofsted Social Care Provider Webpage")</f>
        <v>Ofsted Social Care Provider Webpage</v>
      </c>
      <c r="B135" s="3" t="s">
        <v>330</v>
      </c>
      <c r="C135" s="1" t="s">
        <v>34</v>
      </c>
      <c r="D135" s="19">
        <v>42068</v>
      </c>
      <c r="E135" s="1" t="s">
        <v>154</v>
      </c>
      <c r="F135" s="1" t="s">
        <v>155</v>
      </c>
      <c r="G135" s="1" t="s">
        <v>114</v>
      </c>
      <c r="H135" s="1" t="s">
        <v>114</v>
      </c>
      <c r="I135" s="1" t="s">
        <v>123</v>
      </c>
      <c r="J135" s="1" t="s">
        <v>319</v>
      </c>
      <c r="K135" s="1" t="s">
        <v>157</v>
      </c>
      <c r="L135" s="19">
        <v>44088</v>
      </c>
      <c r="M135" s="19">
        <v>44132</v>
      </c>
      <c r="N135" s="27" t="s">
        <v>557</v>
      </c>
    </row>
    <row r="136" spans="1:14" x14ac:dyDescent="0.25">
      <c r="A136" s="38" t="str">
        <f>HYPERLINK("http://reports.ofsted.gov.uk/inspection-reports/find-inspection-report/provider/CARE/2528264","Ofsted Social Care Provider Webpage")</f>
        <v>Ofsted Social Care Provider Webpage</v>
      </c>
      <c r="B136" s="3">
        <v>2528264</v>
      </c>
      <c r="C136" s="1" t="s">
        <v>34</v>
      </c>
      <c r="D136" s="19">
        <v>43686</v>
      </c>
      <c r="E136" s="1" t="s">
        <v>154</v>
      </c>
      <c r="F136" s="1" t="s">
        <v>155</v>
      </c>
      <c r="G136" s="1" t="s">
        <v>57</v>
      </c>
      <c r="H136" s="1" t="s">
        <v>57</v>
      </c>
      <c r="I136" s="1" t="s">
        <v>62</v>
      </c>
      <c r="J136" s="1" t="s">
        <v>324</v>
      </c>
      <c r="K136" s="1" t="s">
        <v>157</v>
      </c>
      <c r="L136" s="19">
        <v>44088</v>
      </c>
      <c r="M136" s="19">
        <v>44125</v>
      </c>
      <c r="N136" s="27" t="s">
        <v>557</v>
      </c>
    </row>
    <row r="137" spans="1:14" x14ac:dyDescent="0.25">
      <c r="A137" s="38" t="str">
        <f>HYPERLINK("http://reports.ofsted.gov.uk/inspection-reports/find-inspection-report/provider/CARE/SC064428","Ofsted Social Care Provider Webpage")</f>
        <v>Ofsted Social Care Provider Webpage</v>
      </c>
      <c r="B137" s="3" t="s">
        <v>340</v>
      </c>
      <c r="C137" s="1" t="s">
        <v>34</v>
      </c>
      <c r="D137" s="19">
        <v>38484</v>
      </c>
      <c r="E137" s="1" t="s">
        <v>154</v>
      </c>
      <c r="F137" s="1" t="s">
        <v>155</v>
      </c>
      <c r="G137" s="1" t="s">
        <v>87</v>
      </c>
      <c r="H137" s="1" t="s">
        <v>87</v>
      </c>
      <c r="I137" s="1" t="s">
        <v>103</v>
      </c>
      <c r="J137" s="1" t="s">
        <v>103</v>
      </c>
      <c r="K137" s="1" t="s">
        <v>157</v>
      </c>
      <c r="L137" s="19">
        <v>44088</v>
      </c>
      <c r="M137" s="19">
        <v>44137</v>
      </c>
      <c r="N137" s="27" t="s">
        <v>557</v>
      </c>
    </row>
    <row r="138" spans="1:14" x14ac:dyDescent="0.25">
      <c r="A138" s="38" t="str">
        <f>HYPERLINK("http://reports.ofsted.gov.uk/inspection-reports/find-inspection-report/provider/CARE/1258386","Ofsted Social Care Provider Webpage")</f>
        <v>Ofsted Social Care Provider Webpage</v>
      </c>
      <c r="B138" s="3">
        <v>1258386</v>
      </c>
      <c r="C138" s="1" t="s">
        <v>34</v>
      </c>
      <c r="D138" s="19">
        <v>42982</v>
      </c>
      <c r="E138" s="1" t="s">
        <v>154</v>
      </c>
      <c r="F138" s="1" t="s">
        <v>155</v>
      </c>
      <c r="G138" s="1" t="s">
        <v>105</v>
      </c>
      <c r="H138" s="1" t="s">
        <v>105</v>
      </c>
      <c r="I138" s="1" t="s">
        <v>109</v>
      </c>
      <c r="J138" s="1" t="s">
        <v>588</v>
      </c>
      <c r="K138" s="1" t="s">
        <v>157</v>
      </c>
      <c r="L138" s="19">
        <v>44088</v>
      </c>
      <c r="M138" s="19">
        <v>44145</v>
      </c>
      <c r="N138" s="27" t="s">
        <v>557</v>
      </c>
    </row>
    <row r="139" spans="1:14" x14ac:dyDescent="0.25">
      <c r="A139" s="38" t="str">
        <f>HYPERLINK("http://reports.ofsted.gov.uk/inspection-reports/find-inspection-report/provider/CARE/SC476249","Ofsted Social Care Provider Webpage")</f>
        <v>Ofsted Social Care Provider Webpage</v>
      </c>
      <c r="B139" s="3" t="s">
        <v>331</v>
      </c>
      <c r="C139" s="1" t="s">
        <v>34</v>
      </c>
      <c r="D139" s="19">
        <v>41820</v>
      </c>
      <c r="E139" s="1" t="s">
        <v>154</v>
      </c>
      <c r="F139" s="1" t="s">
        <v>155</v>
      </c>
      <c r="G139" s="1" t="s">
        <v>128</v>
      </c>
      <c r="H139" s="1" t="s">
        <v>128</v>
      </c>
      <c r="I139" s="1" t="s">
        <v>138</v>
      </c>
      <c r="J139" s="1" t="s">
        <v>332</v>
      </c>
      <c r="K139" s="1" t="s">
        <v>157</v>
      </c>
      <c r="L139" s="19">
        <v>44088</v>
      </c>
      <c r="M139" s="19">
        <v>44117</v>
      </c>
      <c r="N139" s="27" t="s">
        <v>557</v>
      </c>
    </row>
    <row r="140" spans="1:14" x14ac:dyDescent="0.25">
      <c r="A140" s="38" t="str">
        <f>HYPERLINK("http://reports.ofsted.gov.uk/inspection-reports/find-inspection-report/provider/CARE/SC453372","Ofsted Social Care Provider Webpage")</f>
        <v>Ofsted Social Care Provider Webpage</v>
      </c>
      <c r="B140" s="3" t="s">
        <v>327</v>
      </c>
      <c r="C140" s="1" t="s">
        <v>34</v>
      </c>
      <c r="D140" s="19">
        <v>41388</v>
      </c>
      <c r="E140" s="1" t="s">
        <v>154</v>
      </c>
      <c r="F140" s="1" t="s">
        <v>155</v>
      </c>
      <c r="G140" s="1" t="s">
        <v>64</v>
      </c>
      <c r="H140" s="1" t="s">
        <v>213</v>
      </c>
      <c r="I140" s="1" t="s">
        <v>70</v>
      </c>
      <c r="J140" s="1" t="s">
        <v>328</v>
      </c>
      <c r="K140" s="1" t="s">
        <v>157</v>
      </c>
      <c r="L140" s="19">
        <v>44088</v>
      </c>
      <c r="M140" s="19">
        <v>44120</v>
      </c>
      <c r="N140" s="27" t="s">
        <v>559</v>
      </c>
    </row>
    <row r="141" spans="1:14" x14ac:dyDescent="0.25">
      <c r="A141" s="38" t="str">
        <f>HYPERLINK("http://reports.ofsted.gov.uk/inspection-reports/find-inspection-report/provider/CARE/SC457434","Ofsted Social Care Provider Webpage")</f>
        <v>Ofsted Social Care Provider Webpage</v>
      </c>
      <c r="B141" s="3" t="s">
        <v>371</v>
      </c>
      <c r="C141" s="1" t="s">
        <v>34</v>
      </c>
      <c r="D141" s="19">
        <v>41324</v>
      </c>
      <c r="E141" s="1" t="s">
        <v>154</v>
      </c>
      <c r="F141" s="1" t="s">
        <v>155</v>
      </c>
      <c r="G141" s="1" t="s">
        <v>64</v>
      </c>
      <c r="H141" s="1" t="s">
        <v>213</v>
      </c>
      <c r="I141" s="1" t="s">
        <v>75</v>
      </c>
      <c r="J141" s="1" t="s">
        <v>75</v>
      </c>
      <c r="K141" s="1" t="s">
        <v>157</v>
      </c>
      <c r="L141" s="19">
        <v>44089</v>
      </c>
      <c r="M141" s="19">
        <v>44130</v>
      </c>
      <c r="N141" s="27" t="s">
        <v>557</v>
      </c>
    </row>
    <row r="142" spans="1:14" x14ac:dyDescent="0.25">
      <c r="A142" s="38" t="str">
        <f>HYPERLINK("http://reports.ofsted.gov.uk/inspection-reports/find-inspection-report/provider/CARE/SC029865","Ofsted Social Care Provider Webpage")</f>
        <v>Ofsted Social Care Provider Webpage</v>
      </c>
      <c r="B142" s="3" t="s">
        <v>359</v>
      </c>
      <c r="C142" s="1" t="s">
        <v>34</v>
      </c>
      <c r="D142" s="19">
        <v>37620</v>
      </c>
      <c r="E142" s="1" t="s">
        <v>154</v>
      </c>
      <c r="F142" s="1" t="s">
        <v>155</v>
      </c>
      <c r="G142" s="1" t="s">
        <v>105</v>
      </c>
      <c r="H142" s="1" t="s">
        <v>105</v>
      </c>
      <c r="I142" s="1" t="s">
        <v>113</v>
      </c>
      <c r="J142" s="1" t="s">
        <v>360</v>
      </c>
      <c r="K142" s="1" t="s">
        <v>157</v>
      </c>
      <c r="L142" s="19">
        <v>44089</v>
      </c>
      <c r="M142" s="19">
        <v>44123</v>
      </c>
      <c r="N142" s="27" t="s">
        <v>557</v>
      </c>
    </row>
    <row r="143" spans="1:14" x14ac:dyDescent="0.25">
      <c r="A143" s="38" t="str">
        <f>HYPERLINK("http://reports.ofsted.gov.uk/inspection-reports/find-inspection-report/provider/CARE/SC487702","Ofsted Social Care Provider Webpage")</f>
        <v>Ofsted Social Care Provider Webpage</v>
      </c>
      <c r="B143" s="3" t="s">
        <v>349</v>
      </c>
      <c r="C143" s="1" t="s">
        <v>34</v>
      </c>
      <c r="D143" s="19">
        <v>42275</v>
      </c>
      <c r="E143" s="1" t="s">
        <v>154</v>
      </c>
      <c r="F143" s="1" t="s">
        <v>155</v>
      </c>
      <c r="G143" s="1" t="s">
        <v>48</v>
      </c>
      <c r="H143" s="1" t="s">
        <v>48</v>
      </c>
      <c r="I143" s="1" t="s">
        <v>56</v>
      </c>
      <c r="J143" s="1" t="s">
        <v>325</v>
      </c>
      <c r="K143" s="1" t="s">
        <v>157</v>
      </c>
      <c r="L143" s="19">
        <v>44089</v>
      </c>
      <c r="M143" s="19">
        <v>44123</v>
      </c>
      <c r="N143" s="27" t="s">
        <v>557</v>
      </c>
    </row>
    <row r="144" spans="1:14" x14ac:dyDescent="0.25">
      <c r="A144" s="38" t="str">
        <f>HYPERLINK("http://reports.ofsted.gov.uk/inspection-reports/find-inspection-report/provider/CARE/SC062074","Ofsted Social Care Provider Webpage")</f>
        <v>Ofsted Social Care Provider Webpage</v>
      </c>
      <c r="B144" s="3" t="s">
        <v>347</v>
      </c>
      <c r="C144" s="1" t="s">
        <v>34</v>
      </c>
      <c r="D144" s="19">
        <v>38344</v>
      </c>
      <c r="E144" s="1" t="s">
        <v>154</v>
      </c>
      <c r="F144" s="1" t="s">
        <v>155</v>
      </c>
      <c r="G144" s="1" t="s">
        <v>128</v>
      </c>
      <c r="H144" s="1" t="s">
        <v>128</v>
      </c>
      <c r="I144" s="1" t="s">
        <v>131</v>
      </c>
      <c r="J144" s="1" t="s">
        <v>348</v>
      </c>
      <c r="K144" s="1" t="s">
        <v>157</v>
      </c>
      <c r="L144" s="19">
        <v>44089</v>
      </c>
      <c r="M144" s="19">
        <v>44126</v>
      </c>
      <c r="N144" s="27" t="s">
        <v>557</v>
      </c>
    </row>
    <row r="145" spans="1:14" x14ac:dyDescent="0.25">
      <c r="A145" s="38" t="str">
        <f>HYPERLINK("http://reports.ofsted.gov.uk/inspection-reports/find-inspection-report/provider/CARE/1238043","Ofsted Social Care Provider Webpage")</f>
        <v>Ofsted Social Care Provider Webpage</v>
      </c>
      <c r="B145" s="3">
        <v>1238043</v>
      </c>
      <c r="C145" s="1" t="s">
        <v>34</v>
      </c>
      <c r="D145" s="19">
        <v>42552</v>
      </c>
      <c r="E145" s="1" t="s">
        <v>154</v>
      </c>
      <c r="F145" s="1" t="s">
        <v>155</v>
      </c>
      <c r="G145" s="1" t="s">
        <v>87</v>
      </c>
      <c r="H145" s="1" t="s">
        <v>87</v>
      </c>
      <c r="I145" s="1" t="s">
        <v>93</v>
      </c>
      <c r="J145" s="1" t="s">
        <v>203</v>
      </c>
      <c r="K145" s="1" t="s">
        <v>157</v>
      </c>
      <c r="L145" s="19">
        <v>44089</v>
      </c>
      <c r="M145" s="19">
        <v>44141</v>
      </c>
      <c r="N145" s="27" t="s">
        <v>557</v>
      </c>
    </row>
    <row r="146" spans="1:14" x14ac:dyDescent="0.25">
      <c r="A146" s="38" t="str">
        <f>HYPERLINK("http://reports.ofsted.gov.uk/inspection-reports/find-inspection-report/provider/CARE/SC040266","Ofsted Social Care Provider Webpage")</f>
        <v>Ofsted Social Care Provider Webpage</v>
      </c>
      <c r="B146" s="3" t="s">
        <v>643</v>
      </c>
      <c r="C146" s="1" t="s">
        <v>34</v>
      </c>
      <c r="D146" s="19">
        <v>37848</v>
      </c>
      <c r="E146" s="1" t="s">
        <v>154</v>
      </c>
      <c r="F146" s="1" t="s">
        <v>155</v>
      </c>
      <c r="G146" s="1" t="s">
        <v>87</v>
      </c>
      <c r="H146" s="1" t="s">
        <v>87</v>
      </c>
      <c r="I146" s="1" t="s">
        <v>103</v>
      </c>
      <c r="J146" s="1" t="s">
        <v>103</v>
      </c>
      <c r="K146" s="1" t="s">
        <v>172</v>
      </c>
      <c r="L146" s="19">
        <v>44089</v>
      </c>
      <c r="M146" s="19">
        <v>44146</v>
      </c>
      <c r="N146" s="27" t="s">
        <v>557</v>
      </c>
    </row>
    <row r="147" spans="1:14" x14ac:dyDescent="0.25">
      <c r="A147" s="38" t="str">
        <f>HYPERLINK("http://reports.ofsted.gov.uk/inspection-reports/find-inspection-report/provider/CARE/SC061005","Ofsted Social Care Provider Webpage")</f>
        <v>Ofsted Social Care Provider Webpage</v>
      </c>
      <c r="B147" s="3" t="s">
        <v>352</v>
      </c>
      <c r="C147" s="1" t="s">
        <v>34</v>
      </c>
      <c r="D147" s="19">
        <v>38162</v>
      </c>
      <c r="E147" s="1" t="s">
        <v>154</v>
      </c>
      <c r="F147" s="1" t="s">
        <v>155</v>
      </c>
      <c r="G147" s="1" t="s">
        <v>64</v>
      </c>
      <c r="H147" s="1" t="s">
        <v>164</v>
      </c>
      <c r="I147" s="1" t="s">
        <v>66</v>
      </c>
      <c r="J147" s="1" t="s">
        <v>353</v>
      </c>
      <c r="K147" s="1" t="s">
        <v>172</v>
      </c>
      <c r="L147" s="19">
        <v>44089</v>
      </c>
      <c r="M147" s="19">
        <v>44119</v>
      </c>
      <c r="N147" s="27" t="s">
        <v>557</v>
      </c>
    </row>
    <row r="148" spans="1:14" x14ac:dyDescent="0.25">
      <c r="A148" s="38" t="str">
        <f>HYPERLINK("http://reports.ofsted.gov.uk/inspection-reports/find-inspection-report/provider/CARE/SC438648","Ofsted Social Care Provider Webpage")</f>
        <v>Ofsted Social Care Provider Webpage</v>
      </c>
      <c r="B148" s="3" t="s">
        <v>358</v>
      </c>
      <c r="C148" s="1" t="s">
        <v>34</v>
      </c>
      <c r="D148" s="19">
        <v>40891</v>
      </c>
      <c r="E148" s="1" t="s">
        <v>154</v>
      </c>
      <c r="F148" s="1" t="s">
        <v>155</v>
      </c>
      <c r="G148" s="1" t="s">
        <v>105</v>
      </c>
      <c r="H148" s="1" t="s">
        <v>105</v>
      </c>
      <c r="I148" s="1" t="s">
        <v>109</v>
      </c>
      <c r="J148" s="1" t="s">
        <v>162</v>
      </c>
      <c r="K148" s="1" t="s">
        <v>157</v>
      </c>
      <c r="L148" s="19">
        <v>44089</v>
      </c>
      <c r="M148" s="19">
        <v>44123</v>
      </c>
      <c r="N148" s="27" t="s">
        <v>559</v>
      </c>
    </row>
    <row r="149" spans="1:14" x14ac:dyDescent="0.25">
      <c r="A149" s="38" t="str">
        <f>HYPERLINK("http://reports.ofsted.gov.uk/inspection-reports/find-inspection-report/provider/CARE/2540927","Ofsted Social Care Provider Webpage")</f>
        <v>Ofsted Social Care Provider Webpage</v>
      </c>
      <c r="B149" s="3">
        <v>2540927</v>
      </c>
      <c r="C149" s="1" t="s">
        <v>34</v>
      </c>
      <c r="D149" s="19">
        <v>43670</v>
      </c>
      <c r="E149" s="1" t="s">
        <v>154</v>
      </c>
      <c r="F149" s="1" t="s">
        <v>155</v>
      </c>
      <c r="G149" s="1" t="s">
        <v>39</v>
      </c>
      <c r="H149" s="1" t="s">
        <v>39</v>
      </c>
      <c r="I149" s="1" t="s">
        <v>43</v>
      </c>
      <c r="J149" s="1" t="s">
        <v>362</v>
      </c>
      <c r="K149" s="1" t="s">
        <v>157</v>
      </c>
      <c r="L149" s="19">
        <v>44089</v>
      </c>
      <c r="M149" s="19">
        <v>44117</v>
      </c>
      <c r="N149" s="27" t="s">
        <v>557</v>
      </c>
    </row>
    <row r="150" spans="1:14" x14ac:dyDescent="0.25">
      <c r="A150" s="38" t="str">
        <f>HYPERLINK("http://reports.ofsted.gov.uk/inspection-reports/find-inspection-report/provider/CARE/1262935","Ofsted Social Care Provider Webpage")</f>
        <v>Ofsted Social Care Provider Webpage</v>
      </c>
      <c r="B150" s="3">
        <v>1262935</v>
      </c>
      <c r="C150" s="1" t="s">
        <v>34</v>
      </c>
      <c r="D150" s="19">
        <v>42965</v>
      </c>
      <c r="E150" s="1" t="s">
        <v>154</v>
      </c>
      <c r="F150" s="1" t="s">
        <v>155</v>
      </c>
      <c r="G150" s="1" t="s">
        <v>87</v>
      </c>
      <c r="H150" s="1" t="s">
        <v>87</v>
      </c>
      <c r="I150" s="1" t="s">
        <v>92</v>
      </c>
      <c r="J150" s="1" t="s">
        <v>254</v>
      </c>
      <c r="K150" s="1" t="s">
        <v>157</v>
      </c>
      <c r="L150" s="19">
        <v>44089</v>
      </c>
      <c r="M150" s="19">
        <v>44133</v>
      </c>
      <c r="N150" s="27" t="s">
        <v>557</v>
      </c>
    </row>
    <row r="151" spans="1:14" x14ac:dyDescent="0.25">
      <c r="A151" s="38" t="str">
        <f>HYPERLINK("http://reports.ofsted.gov.uk/inspection-reports/find-inspection-report/provider/CARE/SC475323","Ofsted Social Care Provider Webpage")</f>
        <v>Ofsted Social Care Provider Webpage</v>
      </c>
      <c r="B151" s="3" t="s">
        <v>377</v>
      </c>
      <c r="C151" s="1" t="s">
        <v>34</v>
      </c>
      <c r="D151" s="19">
        <v>41676</v>
      </c>
      <c r="E151" s="1" t="s">
        <v>154</v>
      </c>
      <c r="F151" s="1" t="s">
        <v>155</v>
      </c>
      <c r="G151" s="1" t="s">
        <v>128</v>
      </c>
      <c r="H151" s="1" t="s">
        <v>128</v>
      </c>
      <c r="I151" s="1" t="s">
        <v>134</v>
      </c>
      <c r="J151" s="1" t="s">
        <v>378</v>
      </c>
      <c r="K151" s="1" t="s">
        <v>157</v>
      </c>
      <c r="L151" s="19">
        <v>44089</v>
      </c>
      <c r="M151" s="19">
        <v>44134</v>
      </c>
      <c r="N151" s="27" t="s">
        <v>557</v>
      </c>
    </row>
    <row r="152" spans="1:14" x14ac:dyDescent="0.25">
      <c r="A152" s="38" t="str">
        <f>HYPERLINK("http://reports.ofsted.gov.uk/inspection-reports/find-inspection-report/provider/CARE/SC421063","Ofsted Social Care Provider Webpage")</f>
        <v>Ofsted Social Care Provider Webpage</v>
      </c>
      <c r="B152" s="3" t="s">
        <v>382</v>
      </c>
      <c r="C152" s="1" t="s">
        <v>34</v>
      </c>
      <c r="D152" s="19">
        <v>40577</v>
      </c>
      <c r="E152" s="1" t="s">
        <v>154</v>
      </c>
      <c r="F152" s="1" t="s">
        <v>155</v>
      </c>
      <c r="G152" s="1" t="s">
        <v>105</v>
      </c>
      <c r="H152" s="1" t="s">
        <v>105</v>
      </c>
      <c r="I152" s="1" t="s">
        <v>106</v>
      </c>
      <c r="J152" s="1" t="s">
        <v>334</v>
      </c>
      <c r="K152" s="1" t="s">
        <v>157</v>
      </c>
      <c r="L152" s="19">
        <v>44089</v>
      </c>
      <c r="M152" s="19">
        <v>44132</v>
      </c>
      <c r="N152" s="27" t="s">
        <v>557</v>
      </c>
    </row>
    <row r="153" spans="1:14" x14ac:dyDescent="0.25">
      <c r="A153" s="38" t="str">
        <f>HYPERLINK("http://reports.ofsted.gov.uk/inspection-reports/find-inspection-report/provider/CARE/SC025420","Ofsted Social Care Provider Webpage")</f>
        <v>Ofsted Social Care Provider Webpage</v>
      </c>
      <c r="B153" s="3" t="s">
        <v>366</v>
      </c>
      <c r="C153" s="1" t="s">
        <v>34</v>
      </c>
      <c r="D153" s="19">
        <v>36844</v>
      </c>
      <c r="E153" s="1" t="s">
        <v>154</v>
      </c>
      <c r="F153" s="1" t="s">
        <v>155</v>
      </c>
      <c r="G153" s="1" t="s">
        <v>87</v>
      </c>
      <c r="H153" s="1" t="s">
        <v>87</v>
      </c>
      <c r="I153" s="1" t="s">
        <v>94</v>
      </c>
      <c r="J153" s="1" t="s">
        <v>367</v>
      </c>
      <c r="K153" s="1" t="s">
        <v>157</v>
      </c>
      <c r="L153" s="19">
        <v>44089</v>
      </c>
      <c r="M153" s="19">
        <v>44133</v>
      </c>
      <c r="N153" s="27" t="s">
        <v>557</v>
      </c>
    </row>
    <row r="154" spans="1:14" x14ac:dyDescent="0.25">
      <c r="A154" s="38" t="str">
        <f>HYPERLINK("http://reports.ofsted.gov.uk/inspection-reports/find-inspection-report/provider/CARE/SC035543","Ofsted Social Care Provider Webpage")</f>
        <v>Ofsted Social Care Provider Webpage</v>
      </c>
      <c r="B154" s="3" t="s">
        <v>372</v>
      </c>
      <c r="C154" s="1" t="s">
        <v>34</v>
      </c>
      <c r="D154" s="19">
        <v>37712</v>
      </c>
      <c r="E154" s="1" t="s">
        <v>154</v>
      </c>
      <c r="F154" s="1" t="s">
        <v>155</v>
      </c>
      <c r="G154" s="1" t="s">
        <v>64</v>
      </c>
      <c r="H154" s="1" t="s">
        <v>164</v>
      </c>
      <c r="I154" s="1" t="s">
        <v>71</v>
      </c>
      <c r="J154" s="1" t="s">
        <v>373</v>
      </c>
      <c r="K154" s="1" t="s">
        <v>172</v>
      </c>
      <c r="L154" s="19">
        <v>44089</v>
      </c>
      <c r="M154" s="19">
        <v>44124</v>
      </c>
      <c r="N154" s="27" t="s">
        <v>557</v>
      </c>
    </row>
    <row r="155" spans="1:14" x14ac:dyDescent="0.25">
      <c r="A155" s="38" t="str">
        <f>HYPERLINK("http://reports.ofsted.gov.uk/inspection-reports/find-inspection-report/provider/CARE/SC479649","Ofsted Social Care Provider Webpage")</f>
        <v>Ofsted Social Care Provider Webpage</v>
      </c>
      <c r="B155" s="3" t="s">
        <v>355</v>
      </c>
      <c r="C155" s="1" t="s">
        <v>34</v>
      </c>
      <c r="D155" s="19">
        <v>41973</v>
      </c>
      <c r="E155" s="1" t="s">
        <v>154</v>
      </c>
      <c r="F155" s="1" t="s">
        <v>155</v>
      </c>
      <c r="G155" s="1" t="s">
        <v>87</v>
      </c>
      <c r="H155" s="1" t="s">
        <v>87</v>
      </c>
      <c r="I155" s="1" t="s">
        <v>93</v>
      </c>
      <c r="J155" s="1" t="s">
        <v>356</v>
      </c>
      <c r="K155" s="1" t="s">
        <v>157</v>
      </c>
      <c r="L155" s="19">
        <v>44089</v>
      </c>
      <c r="M155" s="19">
        <v>44131</v>
      </c>
      <c r="N155" s="27" t="s">
        <v>559</v>
      </c>
    </row>
    <row r="156" spans="1:14" x14ac:dyDescent="0.25">
      <c r="A156" s="38" t="str">
        <f>HYPERLINK("http://reports.ofsted.gov.uk/inspection-reports/find-inspection-report/provider/CARE/1227330","Ofsted Social Care Provider Webpage")</f>
        <v>Ofsted Social Care Provider Webpage</v>
      </c>
      <c r="B156" s="3">
        <v>1227330</v>
      </c>
      <c r="C156" s="1" t="s">
        <v>34</v>
      </c>
      <c r="D156" s="19">
        <v>42494</v>
      </c>
      <c r="E156" s="1" t="s">
        <v>215</v>
      </c>
      <c r="F156" s="1" t="s">
        <v>155</v>
      </c>
      <c r="G156" s="1" t="s">
        <v>128</v>
      </c>
      <c r="H156" s="1" t="s">
        <v>128</v>
      </c>
      <c r="I156" s="1" t="s">
        <v>136</v>
      </c>
      <c r="J156" s="1" t="s">
        <v>354</v>
      </c>
      <c r="K156" s="1" t="s">
        <v>157</v>
      </c>
      <c r="L156" s="19">
        <v>44089</v>
      </c>
      <c r="M156" s="19">
        <v>44119</v>
      </c>
      <c r="N156" s="27" t="s">
        <v>557</v>
      </c>
    </row>
    <row r="157" spans="1:14" x14ac:dyDescent="0.25">
      <c r="A157" s="38" t="str">
        <f>HYPERLINK("http://reports.ofsted.gov.uk/inspection-reports/find-inspection-report/provider/CARE/SC457500","Ofsted Social Care Provider Webpage")</f>
        <v>Ofsted Social Care Provider Webpage</v>
      </c>
      <c r="B157" s="3" t="s">
        <v>384</v>
      </c>
      <c r="C157" s="1" t="s">
        <v>34</v>
      </c>
      <c r="D157" s="19">
        <v>41332</v>
      </c>
      <c r="E157" s="1" t="s">
        <v>154</v>
      </c>
      <c r="F157" s="1" t="s">
        <v>155</v>
      </c>
      <c r="G157" s="1" t="s">
        <v>39</v>
      </c>
      <c r="H157" s="1" t="s">
        <v>39</v>
      </c>
      <c r="I157" s="1" t="s">
        <v>45</v>
      </c>
      <c r="J157" s="1" t="s">
        <v>185</v>
      </c>
      <c r="K157" s="1" t="s">
        <v>157</v>
      </c>
      <c r="L157" s="19">
        <v>44089</v>
      </c>
      <c r="M157" s="19">
        <v>44120</v>
      </c>
      <c r="N157" s="27" t="s">
        <v>557</v>
      </c>
    </row>
    <row r="158" spans="1:14" x14ac:dyDescent="0.25">
      <c r="A158" s="38" t="str">
        <f>HYPERLINK("http://reports.ofsted.gov.uk/inspection-reports/find-inspection-report/provider/CARE/SC060750","Ofsted Social Care Provider Webpage")</f>
        <v>Ofsted Social Care Provider Webpage</v>
      </c>
      <c r="B158" s="3" t="s">
        <v>385</v>
      </c>
      <c r="C158" s="1" t="s">
        <v>34</v>
      </c>
      <c r="D158" s="19">
        <v>38162</v>
      </c>
      <c r="E158" s="1" t="s">
        <v>154</v>
      </c>
      <c r="F158" s="1" t="s">
        <v>155</v>
      </c>
      <c r="G158" s="1" t="s">
        <v>87</v>
      </c>
      <c r="H158" s="1" t="s">
        <v>87</v>
      </c>
      <c r="I158" s="1" t="s">
        <v>93</v>
      </c>
      <c r="J158" s="1" t="s">
        <v>179</v>
      </c>
      <c r="K158" s="1" t="s">
        <v>157</v>
      </c>
      <c r="L158" s="19">
        <v>44089</v>
      </c>
      <c r="M158" s="19">
        <v>44126</v>
      </c>
      <c r="N158" s="27" t="s">
        <v>557</v>
      </c>
    </row>
    <row r="159" spans="1:14" x14ac:dyDescent="0.25">
      <c r="A159" s="38" t="str">
        <f>HYPERLINK("http://reports.ofsted.gov.uk/inspection-reports/find-inspection-report/provider/CARE/SC039414","Ofsted Social Care Provider Webpage")</f>
        <v>Ofsted Social Care Provider Webpage</v>
      </c>
      <c r="B159" s="3" t="s">
        <v>363</v>
      </c>
      <c r="C159" s="1" t="s">
        <v>34</v>
      </c>
      <c r="D159" s="19">
        <v>37928</v>
      </c>
      <c r="E159" s="1" t="s">
        <v>154</v>
      </c>
      <c r="F159" s="1" t="s">
        <v>155</v>
      </c>
      <c r="G159" s="1" t="s">
        <v>64</v>
      </c>
      <c r="H159" s="1" t="s">
        <v>164</v>
      </c>
      <c r="I159" s="1" t="s">
        <v>83</v>
      </c>
      <c r="J159" s="1" t="s">
        <v>364</v>
      </c>
      <c r="K159" s="1" t="s">
        <v>172</v>
      </c>
      <c r="L159" s="19">
        <v>44089</v>
      </c>
      <c r="M159" s="19">
        <v>44125</v>
      </c>
      <c r="N159" s="27" t="s">
        <v>557</v>
      </c>
    </row>
    <row r="160" spans="1:14" x14ac:dyDescent="0.25">
      <c r="A160" s="38" t="str">
        <f>HYPERLINK("http://reports.ofsted.gov.uk/inspection-reports/find-inspection-report/provider/CARE/SC387671","Ofsted Social Care Provider Webpage")</f>
        <v>Ofsted Social Care Provider Webpage</v>
      </c>
      <c r="B160" s="3" t="s">
        <v>357</v>
      </c>
      <c r="C160" s="1" t="s">
        <v>34</v>
      </c>
      <c r="D160" s="19">
        <v>39871</v>
      </c>
      <c r="E160" s="1" t="s">
        <v>154</v>
      </c>
      <c r="F160" s="1" t="s">
        <v>155</v>
      </c>
      <c r="G160" s="1" t="s">
        <v>87</v>
      </c>
      <c r="H160" s="1" t="s">
        <v>87</v>
      </c>
      <c r="I160" s="1" t="s">
        <v>96</v>
      </c>
      <c r="J160" s="1" t="s">
        <v>160</v>
      </c>
      <c r="K160" s="1" t="s">
        <v>172</v>
      </c>
      <c r="L160" s="19">
        <v>44089</v>
      </c>
      <c r="M160" s="19">
        <v>44125</v>
      </c>
      <c r="N160" s="27" t="s">
        <v>557</v>
      </c>
    </row>
    <row r="161" spans="1:14" x14ac:dyDescent="0.25">
      <c r="A161" s="38" t="str">
        <f>HYPERLINK("http://reports.ofsted.gov.uk/inspection-reports/find-inspection-report/provider/CARE/SC067865","Ofsted Social Care Provider Webpage")</f>
        <v>Ofsted Social Care Provider Webpage</v>
      </c>
      <c r="B161" s="3" t="s">
        <v>374</v>
      </c>
      <c r="C161" s="1" t="s">
        <v>34</v>
      </c>
      <c r="D161" s="19">
        <v>39015</v>
      </c>
      <c r="E161" s="1" t="s">
        <v>154</v>
      </c>
      <c r="F161" s="1" t="s">
        <v>155</v>
      </c>
      <c r="G161" s="1" t="s">
        <v>64</v>
      </c>
      <c r="H161" s="1" t="s">
        <v>164</v>
      </c>
      <c r="I161" s="1" t="s">
        <v>65</v>
      </c>
      <c r="J161" s="1" t="s">
        <v>375</v>
      </c>
      <c r="K161" s="1" t="s">
        <v>157</v>
      </c>
      <c r="L161" s="19">
        <v>44089</v>
      </c>
      <c r="M161" s="19">
        <v>44130</v>
      </c>
      <c r="N161" s="27" t="s">
        <v>557</v>
      </c>
    </row>
    <row r="162" spans="1:14" x14ac:dyDescent="0.25">
      <c r="A162" s="38" t="str">
        <f>HYPERLINK("http://reports.ofsted.gov.uk/inspection-reports/find-inspection-report/provider/CARE/SC036248","Ofsted Social Care Provider Webpage")</f>
        <v>Ofsted Social Care Provider Webpage</v>
      </c>
      <c r="B162" s="3" t="s">
        <v>350</v>
      </c>
      <c r="C162" s="1" t="s">
        <v>34</v>
      </c>
      <c r="D162" s="19">
        <v>37966</v>
      </c>
      <c r="E162" s="1" t="s">
        <v>154</v>
      </c>
      <c r="F162" s="1" t="s">
        <v>155</v>
      </c>
      <c r="G162" s="1" t="s">
        <v>39</v>
      </c>
      <c r="H162" s="1" t="s">
        <v>39</v>
      </c>
      <c r="I162" s="1" t="s">
        <v>41</v>
      </c>
      <c r="J162" s="1" t="s">
        <v>351</v>
      </c>
      <c r="K162" s="1" t="s">
        <v>172</v>
      </c>
      <c r="L162" s="19">
        <v>44089</v>
      </c>
      <c r="M162" s="19">
        <v>44120</v>
      </c>
      <c r="N162" s="27" t="s">
        <v>557</v>
      </c>
    </row>
    <row r="163" spans="1:14" x14ac:dyDescent="0.25">
      <c r="A163" s="38" t="str">
        <f>HYPERLINK("http://reports.ofsted.gov.uk/inspection-reports/find-inspection-report/provider/CARE/SC451819","Ofsted Social Care Provider Webpage")</f>
        <v>Ofsted Social Care Provider Webpage</v>
      </c>
      <c r="B163" s="3" t="s">
        <v>365</v>
      </c>
      <c r="C163" s="1" t="s">
        <v>34</v>
      </c>
      <c r="D163" s="19">
        <v>41128</v>
      </c>
      <c r="E163" s="1" t="s">
        <v>154</v>
      </c>
      <c r="F163" s="1" t="s">
        <v>155</v>
      </c>
      <c r="G163" s="1" t="s">
        <v>114</v>
      </c>
      <c r="H163" s="1" t="s">
        <v>114</v>
      </c>
      <c r="I163" s="1" t="s">
        <v>127</v>
      </c>
      <c r="J163" s="1" t="s">
        <v>156</v>
      </c>
      <c r="K163" s="1" t="s">
        <v>157</v>
      </c>
      <c r="L163" s="19">
        <v>44089</v>
      </c>
      <c r="M163" s="19">
        <v>44130</v>
      </c>
      <c r="N163" s="27" t="s">
        <v>557</v>
      </c>
    </row>
    <row r="164" spans="1:14" x14ac:dyDescent="0.25">
      <c r="A164" s="38" t="str">
        <f>HYPERLINK("http://reports.ofsted.gov.uk/inspection-reports/find-inspection-report/provider/CARE/1270393","Ofsted Social Care Provider Webpage")</f>
        <v>Ofsted Social Care Provider Webpage</v>
      </c>
      <c r="B164" s="3">
        <v>1270393</v>
      </c>
      <c r="C164" s="1" t="s">
        <v>34</v>
      </c>
      <c r="D164" s="19">
        <v>43169</v>
      </c>
      <c r="E164" s="1" t="s">
        <v>154</v>
      </c>
      <c r="F164" s="1" t="s">
        <v>155</v>
      </c>
      <c r="G164" s="1" t="s">
        <v>64</v>
      </c>
      <c r="H164" s="1" t="s">
        <v>164</v>
      </c>
      <c r="I164" s="1" t="s">
        <v>82</v>
      </c>
      <c r="J164" s="1" t="s">
        <v>383</v>
      </c>
      <c r="K164" s="1" t="s">
        <v>157</v>
      </c>
      <c r="L164" s="19">
        <v>44089</v>
      </c>
      <c r="M164" s="19">
        <v>44126</v>
      </c>
      <c r="N164" s="27" t="s">
        <v>557</v>
      </c>
    </row>
    <row r="165" spans="1:14" x14ac:dyDescent="0.25">
      <c r="A165" s="38" t="str">
        <f>HYPERLINK("http://reports.ofsted.gov.uk/inspection-reports/find-inspection-report/provider/CARE/1265096","Ofsted Social Care Provider Webpage")</f>
        <v>Ofsted Social Care Provider Webpage</v>
      </c>
      <c r="B165" s="3">
        <v>1265096</v>
      </c>
      <c r="C165" s="1" t="s">
        <v>34</v>
      </c>
      <c r="D165" s="19">
        <v>43209</v>
      </c>
      <c r="E165" s="1" t="s">
        <v>154</v>
      </c>
      <c r="F165" s="1" t="s">
        <v>155</v>
      </c>
      <c r="G165" s="1" t="s">
        <v>128</v>
      </c>
      <c r="H165" s="1" t="s">
        <v>128</v>
      </c>
      <c r="I165" s="1" t="s">
        <v>139</v>
      </c>
      <c r="J165" s="1" t="s">
        <v>224</v>
      </c>
      <c r="K165" s="1" t="s">
        <v>157</v>
      </c>
      <c r="L165" s="19">
        <v>44089</v>
      </c>
      <c r="M165" s="19">
        <v>44118</v>
      </c>
      <c r="N165" s="27" t="s">
        <v>557</v>
      </c>
    </row>
    <row r="166" spans="1:14" x14ac:dyDescent="0.25">
      <c r="A166" s="38" t="str">
        <f>HYPERLINK("http://reports.ofsted.gov.uk/inspection-reports/find-inspection-report/provider/CARE/1278020","Ofsted Social Care Provider Webpage")</f>
        <v>Ofsted Social Care Provider Webpage</v>
      </c>
      <c r="B166" s="3">
        <v>1278020</v>
      </c>
      <c r="C166" s="1" t="s">
        <v>34</v>
      </c>
      <c r="D166" s="19">
        <v>43291</v>
      </c>
      <c r="E166" s="1" t="s">
        <v>154</v>
      </c>
      <c r="F166" s="1" t="s">
        <v>155</v>
      </c>
      <c r="G166" s="1" t="s">
        <v>114</v>
      </c>
      <c r="H166" s="1" t="s">
        <v>114</v>
      </c>
      <c r="I166" s="1" t="s">
        <v>118</v>
      </c>
      <c r="J166" s="1" t="s">
        <v>589</v>
      </c>
      <c r="K166" s="1" t="s">
        <v>157</v>
      </c>
      <c r="L166" s="19">
        <v>44089</v>
      </c>
      <c r="M166" s="19">
        <v>44147</v>
      </c>
      <c r="N166" s="27" t="s">
        <v>557</v>
      </c>
    </row>
    <row r="167" spans="1:14" x14ac:dyDescent="0.25">
      <c r="A167" s="38" t="str">
        <f>HYPERLINK("http://reports.ofsted.gov.uk/inspection-reports/find-inspection-report/provider/CARE/SC450045","Ofsted Social Care Provider Webpage")</f>
        <v>Ofsted Social Care Provider Webpage</v>
      </c>
      <c r="B167" s="3" t="s">
        <v>345</v>
      </c>
      <c r="C167" s="1" t="s">
        <v>34</v>
      </c>
      <c r="D167" s="19">
        <v>41122</v>
      </c>
      <c r="E167" s="1" t="s">
        <v>154</v>
      </c>
      <c r="F167" s="1" t="s">
        <v>155</v>
      </c>
      <c r="G167" s="1" t="s">
        <v>48</v>
      </c>
      <c r="H167" s="1" t="s">
        <v>48</v>
      </c>
      <c r="I167" s="1" t="s">
        <v>53</v>
      </c>
      <c r="J167" s="1" t="s">
        <v>346</v>
      </c>
      <c r="K167" s="1" t="s">
        <v>172</v>
      </c>
      <c r="L167" s="19">
        <v>44089</v>
      </c>
      <c r="M167" s="19">
        <v>44118</v>
      </c>
      <c r="N167" s="27" t="s">
        <v>557</v>
      </c>
    </row>
    <row r="168" spans="1:14" x14ac:dyDescent="0.25">
      <c r="A168" s="38" t="str">
        <f>HYPERLINK("http://reports.ofsted.gov.uk/inspection-reports/find-inspection-report/provider/CARE/SC403472","Ofsted Social Care Provider Webpage")</f>
        <v>Ofsted Social Care Provider Webpage</v>
      </c>
      <c r="B168" s="3" t="s">
        <v>386</v>
      </c>
      <c r="C168" s="1" t="s">
        <v>34</v>
      </c>
      <c r="D168" s="19">
        <v>40309</v>
      </c>
      <c r="E168" s="1" t="s">
        <v>154</v>
      </c>
      <c r="F168" s="1" t="s">
        <v>155</v>
      </c>
      <c r="G168" s="1" t="s">
        <v>64</v>
      </c>
      <c r="H168" s="1" t="s">
        <v>213</v>
      </c>
      <c r="I168" s="1" t="s">
        <v>76</v>
      </c>
      <c r="J168" s="1" t="s">
        <v>387</v>
      </c>
      <c r="K168" s="1" t="s">
        <v>157</v>
      </c>
      <c r="L168" s="19">
        <v>44089</v>
      </c>
      <c r="M168" s="19">
        <v>44127</v>
      </c>
      <c r="N168" s="27" t="s">
        <v>557</v>
      </c>
    </row>
    <row r="169" spans="1:14" x14ac:dyDescent="0.25">
      <c r="A169" s="38" t="str">
        <f>HYPERLINK("http://reports.ofsted.gov.uk/inspection-reports/find-inspection-report/provider/CARE/SC033389","Ofsted Social Care Provider Webpage")</f>
        <v>Ofsted Social Care Provider Webpage</v>
      </c>
      <c r="B169" s="3" t="s">
        <v>343</v>
      </c>
      <c r="C169" s="1" t="s">
        <v>34</v>
      </c>
      <c r="D169" s="19">
        <v>37819</v>
      </c>
      <c r="E169" s="1" t="s">
        <v>154</v>
      </c>
      <c r="F169" s="1" t="s">
        <v>155</v>
      </c>
      <c r="G169" s="1" t="s">
        <v>64</v>
      </c>
      <c r="H169" s="1" t="s">
        <v>164</v>
      </c>
      <c r="I169" s="1" t="s">
        <v>74</v>
      </c>
      <c r="J169" s="1" t="s">
        <v>344</v>
      </c>
      <c r="K169" s="1" t="s">
        <v>172</v>
      </c>
      <c r="L169" s="19">
        <v>44089</v>
      </c>
      <c r="M169" s="19">
        <v>44124</v>
      </c>
      <c r="N169" s="27" t="s">
        <v>557</v>
      </c>
    </row>
    <row r="170" spans="1:14" x14ac:dyDescent="0.25">
      <c r="A170" s="38" t="str">
        <f>HYPERLINK("http://reports.ofsted.gov.uk/inspection-reports/find-inspection-report/provider/CARE/2532131","Ofsted Social Care Provider Webpage")</f>
        <v>Ofsted Social Care Provider Webpage</v>
      </c>
      <c r="B170" s="3">
        <v>2532131</v>
      </c>
      <c r="C170" s="1" t="s">
        <v>34</v>
      </c>
      <c r="D170" s="19">
        <v>43658</v>
      </c>
      <c r="E170" s="1" t="s">
        <v>154</v>
      </c>
      <c r="F170" s="1" t="s">
        <v>155</v>
      </c>
      <c r="G170" s="1" t="s">
        <v>48</v>
      </c>
      <c r="H170" s="1" t="s">
        <v>48</v>
      </c>
      <c r="I170" s="1" t="s">
        <v>53</v>
      </c>
      <c r="J170" s="1" t="s">
        <v>379</v>
      </c>
      <c r="K170" s="1" t="s">
        <v>157</v>
      </c>
      <c r="L170" s="19">
        <v>44089</v>
      </c>
      <c r="M170" s="19">
        <v>44116</v>
      </c>
      <c r="N170" s="27" t="s">
        <v>557</v>
      </c>
    </row>
    <row r="171" spans="1:14" x14ac:dyDescent="0.25">
      <c r="A171" s="38" t="str">
        <f>HYPERLINK("http://reports.ofsted.gov.uk/inspection-reports/find-inspection-report/provider/CARE/1267402","Ofsted Social Care Provider Webpage")</f>
        <v>Ofsted Social Care Provider Webpage</v>
      </c>
      <c r="B171" s="3">
        <v>1267402</v>
      </c>
      <c r="C171" s="1" t="s">
        <v>34</v>
      </c>
      <c r="D171" s="19">
        <v>43203</v>
      </c>
      <c r="E171" s="1" t="s">
        <v>154</v>
      </c>
      <c r="F171" s="1" t="s">
        <v>155</v>
      </c>
      <c r="G171" s="1" t="s">
        <v>64</v>
      </c>
      <c r="H171" s="1" t="s">
        <v>213</v>
      </c>
      <c r="I171" s="1" t="s">
        <v>81</v>
      </c>
      <c r="J171" s="1" t="s">
        <v>291</v>
      </c>
      <c r="K171" s="1" t="s">
        <v>157</v>
      </c>
      <c r="L171" s="19">
        <v>44089</v>
      </c>
      <c r="M171" s="19">
        <v>44148</v>
      </c>
      <c r="N171" s="27" t="s">
        <v>557</v>
      </c>
    </row>
    <row r="172" spans="1:14" x14ac:dyDescent="0.25">
      <c r="A172" s="38" t="str">
        <f>HYPERLINK("http://reports.ofsted.gov.uk/inspection-reports/find-inspection-report/provider/CARE/2509670","Ofsted Social Care Provider Webpage")</f>
        <v>Ofsted Social Care Provider Webpage</v>
      </c>
      <c r="B172" s="3">
        <v>2509670</v>
      </c>
      <c r="C172" s="1" t="s">
        <v>34</v>
      </c>
      <c r="D172" s="19">
        <v>43552</v>
      </c>
      <c r="E172" s="1" t="s">
        <v>154</v>
      </c>
      <c r="F172" s="1" t="s">
        <v>155</v>
      </c>
      <c r="G172" s="1" t="s">
        <v>87</v>
      </c>
      <c r="H172" s="1" t="s">
        <v>87</v>
      </c>
      <c r="I172" s="1" t="s">
        <v>100</v>
      </c>
      <c r="J172" s="1" t="s">
        <v>100</v>
      </c>
      <c r="K172" s="1" t="s">
        <v>157</v>
      </c>
      <c r="L172" s="19">
        <v>44089</v>
      </c>
      <c r="M172" s="19">
        <v>44147</v>
      </c>
      <c r="N172" s="27" t="s">
        <v>557</v>
      </c>
    </row>
    <row r="173" spans="1:14" x14ac:dyDescent="0.25">
      <c r="A173" s="38" t="str">
        <f>HYPERLINK("http://reports.ofsted.gov.uk/inspection-reports/find-inspection-report/provider/CARE/1236625","Ofsted Social Care Provider Webpage")</f>
        <v>Ofsted Social Care Provider Webpage</v>
      </c>
      <c r="B173" s="3">
        <v>1236625</v>
      </c>
      <c r="C173" s="1" t="s">
        <v>34</v>
      </c>
      <c r="D173" s="19">
        <v>42572</v>
      </c>
      <c r="E173" s="1" t="s">
        <v>154</v>
      </c>
      <c r="F173" s="1" t="s">
        <v>155</v>
      </c>
      <c r="G173" s="1" t="s">
        <v>39</v>
      </c>
      <c r="H173" s="1" t="s">
        <v>39</v>
      </c>
      <c r="I173" s="1" t="s">
        <v>42</v>
      </c>
      <c r="J173" s="1" t="s">
        <v>368</v>
      </c>
      <c r="K173" s="1" t="s">
        <v>157</v>
      </c>
      <c r="L173" s="19">
        <v>44089</v>
      </c>
      <c r="M173" s="19">
        <v>44126</v>
      </c>
      <c r="N173" s="27" t="s">
        <v>557</v>
      </c>
    </row>
    <row r="174" spans="1:14" x14ac:dyDescent="0.25">
      <c r="A174" s="38" t="str">
        <f>HYPERLINK("http://reports.ofsted.gov.uk/inspection-reports/find-inspection-report/provider/CARE/SC370982","Ofsted Social Care Provider Webpage")</f>
        <v>Ofsted Social Care Provider Webpage</v>
      </c>
      <c r="B174" s="3" t="s">
        <v>380</v>
      </c>
      <c r="C174" s="1" t="s">
        <v>34</v>
      </c>
      <c r="D174" s="19">
        <v>39615</v>
      </c>
      <c r="E174" s="1" t="s">
        <v>154</v>
      </c>
      <c r="F174" s="1" t="s">
        <v>155</v>
      </c>
      <c r="G174" s="1" t="s">
        <v>128</v>
      </c>
      <c r="H174" s="1" t="s">
        <v>128</v>
      </c>
      <c r="I174" s="1" t="s">
        <v>133</v>
      </c>
      <c r="J174" s="1" t="s">
        <v>381</v>
      </c>
      <c r="K174" s="1" t="s">
        <v>172</v>
      </c>
      <c r="L174" s="19">
        <v>44089</v>
      </c>
      <c r="M174" s="19">
        <v>44123</v>
      </c>
      <c r="N174" s="27" t="s">
        <v>559</v>
      </c>
    </row>
    <row r="175" spans="1:14" x14ac:dyDescent="0.25">
      <c r="A175" s="38" t="str">
        <f>HYPERLINK("http://reports.ofsted.gov.uk/inspection-reports/find-inspection-report/provider/CARE/SC363268","Ofsted Social Care Provider Webpage")</f>
        <v>Ofsted Social Care Provider Webpage</v>
      </c>
      <c r="B175" s="3" t="s">
        <v>361</v>
      </c>
      <c r="C175" s="1" t="s">
        <v>34</v>
      </c>
      <c r="D175" s="19">
        <v>39456</v>
      </c>
      <c r="E175" s="1" t="s">
        <v>154</v>
      </c>
      <c r="F175" s="1" t="s">
        <v>155</v>
      </c>
      <c r="G175" s="1" t="s">
        <v>105</v>
      </c>
      <c r="H175" s="1" t="s">
        <v>105</v>
      </c>
      <c r="I175" s="1" t="s">
        <v>108</v>
      </c>
      <c r="J175" s="1" t="s">
        <v>187</v>
      </c>
      <c r="K175" s="1" t="s">
        <v>157</v>
      </c>
      <c r="L175" s="19">
        <v>44089</v>
      </c>
      <c r="M175" s="19">
        <v>44131</v>
      </c>
      <c r="N175" s="27" t="s">
        <v>557</v>
      </c>
    </row>
    <row r="176" spans="1:14" x14ac:dyDescent="0.25">
      <c r="A176" s="38" t="str">
        <f>HYPERLINK("http://reports.ofsted.gov.uk/inspection-reports/find-inspection-report/provider/CARE/1258343","Ofsted Social Care Provider Webpage")</f>
        <v>Ofsted Social Care Provider Webpage</v>
      </c>
      <c r="B176" s="3">
        <v>1258343</v>
      </c>
      <c r="C176" s="1" t="s">
        <v>34</v>
      </c>
      <c r="D176" s="19">
        <v>42997</v>
      </c>
      <c r="E176" s="1" t="s">
        <v>154</v>
      </c>
      <c r="F176" s="1" t="s">
        <v>155</v>
      </c>
      <c r="G176" s="1" t="s">
        <v>114</v>
      </c>
      <c r="H176" s="1" t="s">
        <v>114</v>
      </c>
      <c r="I176" s="1" t="s">
        <v>127</v>
      </c>
      <c r="J176" s="1" t="s">
        <v>245</v>
      </c>
      <c r="K176" s="1" t="s">
        <v>157</v>
      </c>
      <c r="L176" s="19">
        <v>44089</v>
      </c>
      <c r="M176" s="19">
        <v>44132</v>
      </c>
      <c r="N176" s="27" t="s">
        <v>557</v>
      </c>
    </row>
    <row r="177" spans="1:14" x14ac:dyDescent="0.25">
      <c r="A177" s="38" t="str">
        <f>HYPERLINK("http://reports.ofsted.gov.uk/inspection-reports/find-inspection-report/provider/CARE/1249115","Ofsted Social Care Provider Webpage")</f>
        <v>Ofsted Social Care Provider Webpage</v>
      </c>
      <c r="B177" s="3">
        <v>1249115</v>
      </c>
      <c r="C177" s="1" t="s">
        <v>34</v>
      </c>
      <c r="D177" s="19">
        <v>42806</v>
      </c>
      <c r="E177" s="1" t="s">
        <v>154</v>
      </c>
      <c r="F177" s="1" t="s">
        <v>155</v>
      </c>
      <c r="G177" s="1" t="s">
        <v>64</v>
      </c>
      <c r="H177" s="1" t="s">
        <v>164</v>
      </c>
      <c r="I177" s="1" t="s">
        <v>67</v>
      </c>
      <c r="J177" s="1" t="s">
        <v>306</v>
      </c>
      <c r="K177" s="1" t="s">
        <v>157</v>
      </c>
      <c r="L177" s="19">
        <v>44089</v>
      </c>
      <c r="M177" s="19">
        <v>44138</v>
      </c>
      <c r="N177" s="27" t="s">
        <v>557</v>
      </c>
    </row>
    <row r="178" spans="1:14" x14ac:dyDescent="0.25">
      <c r="A178" s="38" t="str">
        <f>HYPERLINK("http://reports.ofsted.gov.uk/inspection-reports/find-inspection-report/provider/CARE/2522240","Ofsted Social Care Provider Webpage")</f>
        <v>Ofsted Social Care Provider Webpage</v>
      </c>
      <c r="B178" s="3">
        <v>2522240</v>
      </c>
      <c r="C178" s="1" t="s">
        <v>34</v>
      </c>
      <c r="D178" s="19">
        <v>43594</v>
      </c>
      <c r="E178" s="1" t="s">
        <v>154</v>
      </c>
      <c r="F178" s="1" t="s">
        <v>155</v>
      </c>
      <c r="G178" s="1" t="s">
        <v>64</v>
      </c>
      <c r="H178" s="1" t="s">
        <v>213</v>
      </c>
      <c r="I178" s="1" t="s">
        <v>85</v>
      </c>
      <c r="J178" s="1" t="s">
        <v>214</v>
      </c>
      <c r="K178" s="1" t="s">
        <v>168</v>
      </c>
      <c r="L178" s="19">
        <v>44089</v>
      </c>
      <c r="M178" s="19">
        <v>44117</v>
      </c>
      <c r="N178" s="27" t="s">
        <v>557</v>
      </c>
    </row>
    <row r="179" spans="1:14" x14ac:dyDescent="0.25">
      <c r="A179" s="38" t="str">
        <f>HYPERLINK("http://reports.ofsted.gov.uk/inspection-reports/find-inspection-report/provider/CARE/SC065067","Ofsted Social Care Provider Webpage")</f>
        <v>Ofsted Social Care Provider Webpage</v>
      </c>
      <c r="B179" s="3" t="s">
        <v>369</v>
      </c>
      <c r="C179" s="1" t="s">
        <v>34</v>
      </c>
      <c r="D179" s="19">
        <v>38596</v>
      </c>
      <c r="E179" s="1" t="s">
        <v>154</v>
      </c>
      <c r="F179" s="1" t="s">
        <v>155</v>
      </c>
      <c r="G179" s="1" t="s">
        <v>87</v>
      </c>
      <c r="H179" s="1" t="s">
        <v>87</v>
      </c>
      <c r="I179" s="1" t="s">
        <v>98</v>
      </c>
      <c r="J179" s="1" t="s">
        <v>370</v>
      </c>
      <c r="K179" s="1" t="s">
        <v>172</v>
      </c>
      <c r="L179" s="19">
        <v>44089</v>
      </c>
      <c r="M179" s="19">
        <v>44132</v>
      </c>
      <c r="N179" s="27" t="s">
        <v>559</v>
      </c>
    </row>
    <row r="180" spans="1:14" x14ac:dyDescent="0.25">
      <c r="A180" s="38" t="str">
        <f>HYPERLINK("http://reports.ofsted.gov.uk/inspection-reports/find-inspection-report/provider/CARE/SC480681","Ofsted Social Care Provider Webpage")</f>
        <v>Ofsted Social Care Provider Webpage</v>
      </c>
      <c r="B180" s="3" t="s">
        <v>376</v>
      </c>
      <c r="C180" s="1" t="s">
        <v>34</v>
      </c>
      <c r="D180" s="19">
        <v>42031</v>
      </c>
      <c r="E180" s="1" t="s">
        <v>154</v>
      </c>
      <c r="F180" s="1" t="s">
        <v>155</v>
      </c>
      <c r="G180" s="1" t="s">
        <v>87</v>
      </c>
      <c r="H180" s="1" t="s">
        <v>87</v>
      </c>
      <c r="I180" s="1" t="s">
        <v>93</v>
      </c>
      <c r="J180" s="1" t="s">
        <v>203</v>
      </c>
      <c r="K180" s="1" t="s">
        <v>157</v>
      </c>
      <c r="L180" s="19">
        <v>44089</v>
      </c>
      <c r="M180" s="19">
        <v>44124</v>
      </c>
      <c r="N180" s="27" t="s">
        <v>557</v>
      </c>
    </row>
    <row r="181" spans="1:14" x14ac:dyDescent="0.25">
      <c r="A181" s="38" t="str">
        <f>HYPERLINK("http://reports.ofsted.gov.uk/inspection-reports/find-inspection-report/provider/CARE/2508601","Ofsted Social Care Provider Webpage")</f>
        <v>Ofsted Social Care Provider Webpage</v>
      </c>
      <c r="B181" s="3">
        <v>2508601</v>
      </c>
      <c r="C181" s="1" t="s">
        <v>34</v>
      </c>
      <c r="D181" s="19">
        <v>43566</v>
      </c>
      <c r="E181" s="1" t="s">
        <v>154</v>
      </c>
      <c r="F181" s="1" t="s">
        <v>155</v>
      </c>
      <c r="G181" s="1" t="s">
        <v>87</v>
      </c>
      <c r="H181" s="1" t="s">
        <v>87</v>
      </c>
      <c r="I181" s="1" t="s">
        <v>93</v>
      </c>
      <c r="J181" s="1" t="s">
        <v>453</v>
      </c>
      <c r="K181" s="1" t="s">
        <v>157</v>
      </c>
      <c r="L181" s="19">
        <v>44090</v>
      </c>
      <c r="M181" s="19">
        <v>44153</v>
      </c>
      <c r="N181" s="27" t="s">
        <v>557</v>
      </c>
    </row>
    <row r="182" spans="1:14" x14ac:dyDescent="0.25">
      <c r="A182" s="38" t="str">
        <f>HYPERLINK("http://reports.ofsted.gov.uk/inspection-reports/find-inspection-report/provider/CARE/SC394478","Ofsted Social Care Provider Webpage")</f>
        <v>Ofsted Social Care Provider Webpage</v>
      </c>
      <c r="B182" s="3" t="s">
        <v>396</v>
      </c>
      <c r="C182" s="1" t="s">
        <v>34</v>
      </c>
      <c r="D182" s="19">
        <v>39969</v>
      </c>
      <c r="E182" s="1" t="s">
        <v>154</v>
      </c>
      <c r="F182" s="1" t="s">
        <v>155</v>
      </c>
      <c r="G182" s="1" t="s">
        <v>87</v>
      </c>
      <c r="H182" s="1" t="s">
        <v>87</v>
      </c>
      <c r="I182" s="1" t="s">
        <v>100</v>
      </c>
      <c r="J182" s="1" t="s">
        <v>100</v>
      </c>
      <c r="K182" s="1" t="s">
        <v>157</v>
      </c>
      <c r="L182" s="19">
        <v>44090</v>
      </c>
      <c r="M182" s="19">
        <v>44117</v>
      </c>
      <c r="N182" s="27" t="s">
        <v>557</v>
      </c>
    </row>
    <row r="183" spans="1:14" x14ac:dyDescent="0.25">
      <c r="A183" s="38" t="str">
        <f>HYPERLINK("http://reports.ofsted.gov.uk/inspection-reports/find-inspection-report/provider/CARE/2483748","Ofsted Social Care Provider Webpage")</f>
        <v>Ofsted Social Care Provider Webpage</v>
      </c>
      <c r="B183" s="3">
        <v>2483748</v>
      </c>
      <c r="C183" s="1" t="s">
        <v>641</v>
      </c>
      <c r="D183" s="19">
        <v>43504</v>
      </c>
      <c r="E183" s="1" t="s">
        <v>154</v>
      </c>
      <c r="F183" s="1" t="s">
        <v>642</v>
      </c>
      <c r="G183" s="1" t="s">
        <v>87</v>
      </c>
      <c r="H183" s="1" t="s">
        <v>87</v>
      </c>
      <c r="I183" s="1" t="s">
        <v>99</v>
      </c>
      <c r="J183" s="1" t="s">
        <v>180</v>
      </c>
      <c r="K183" s="1" t="s">
        <v>157</v>
      </c>
      <c r="L183" s="19">
        <v>44090</v>
      </c>
      <c r="M183" s="19">
        <v>44144</v>
      </c>
      <c r="N183" s="27" t="s">
        <v>557</v>
      </c>
    </row>
    <row r="184" spans="1:14" x14ac:dyDescent="0.25">
      <c r="A184" s="38" t="str">
        <f>HYPERLINK("http://reports.ofsted.gov.uk/inspection-reports/find-inspection-report/provider/CARE/1258026","Ofsted Social Care Provider Webpage")</f>
        <v>Ofsted Social Care Provider Webpage</v>
      </c>
      <c r="B184" s="3">
        <v>1258026</v>
      </c>
      <c r="C184" s="1" t="s">
        <v>34</v>
      </c>
      <c r="D184" s="19">
        <v>43002</v>
      </c>
      <c r="E184" s="1" t="s">
        <v>154</v>
      </c>
      <c r="F184" s="1" t="s">
        <v>155</v>
      </c>
      <c r="G184" s="1" t="s">
        <v>128</v>
      </c>
      <c r="H184" s="1" t="s">
        <v>128</v>
      </c>
      <c r="I184" s="1" t="s">
        <v>129</v>
      </c>
      <c r="J184" s="1" t="s">
        <v>388</v>
      </c>
      <c r="K184" s="1" t="s">
        <v>157</v>
      </c>
      <c r="L184" s="19">
        <v>44090</v>
      </c>
      <c r="M184" s="19">
        <v>44133</v>
      </c>
      <c r="N184" s="27" t="s">
        <v>559</v>
      </c>
    </row>
    <row r="185" spans="1:14" x14ac:dyDescent="0.25">
      <c r="A185" s="38" t="str">
        <f>HYPERLINK("http://reports.ofsted.gov.uk/inspection-reports/find-inspection-report/provider/CARE/SC474150","Ofsted Social Care Provider Webpage")</f>
        <v>Ofsted Social Care Provider Webpage</v>
      </c>
      <c r="B185" s="3" t="s">
        <v>403</v>
      </c>
      <c r="C185" s="1" t="s">
        <v>34</v>
      </c>
      <c r="D185" s="19">
        <v>41681</v>
      </c>
      <c r="E185" s="1" t="s">
        <v>154</v>
      </c>
      <c r="F185" s="1" t="s">
        <v>155</v>
      </c>
      <c r="G185" s="1" t="s">
        <v>105</v>
      </c>
      <c r="H185" s="1" t="s">
        <v>105</v>
      </c>
      <c r="I185" s="1" t="s">
        <v>106</v>
      </c>
      <c r="J185" s="1" t="s">
        <v>334</v>
      </c>
      <c r="K185" s="1" t="s">
        <v>157</v>
      </c>
      <c r="L185" s="19">
        <v>44090</v>
      </c>
      <c r="M185" s="19">
        <v>44137</v>
      </c>
      <c r="N185" s="27" t="s">
        <v>557</v>
      </c>
    </row>
    <row r="186" spans="1:14" x14ac:dyDescent="0.25">
      <c r="A186" s="38" t="str">
        <f>HYPERLINK("http://reports.ofsted.gov.uk/inspection-reports/find-inspection-report/provider/CARE/1240397","Ofsted Social Care Provider Webpage")</f>
        <v>Ofsted Social Care Provider Webpage</v>
      </c>
      <c r="B186" s="3">
        <v>1240397</v>
      </c>
      <c r="C186" s="1" t="s">
        <v>34</v>
      </c>
      <c r="D186" s="19">
        <v>42585</v>
      </c>
      <c r="E186" s="1" t="s">
        <v>154</v>
      </c>
      <c r="F186" s="1" t="s">
        <v>155</v>
      </c>
      <c r="G186" s="1" t="s">
        <v>39</v>
      </c>
      <c r="H186" s="1" t="s">
        <v>39</v>
      </c>
      <c r="I186" s="1" t="s">
        <v>43</v>
      </c>
      <c r="J186" s="1" t="s">
        <v>300</v>
      </c>
      <c r="K186" s="1" t="s">
        <v>157</v>
      </c>
      <c r="L186" s="19">
        <v>44090</v>
      </c>
      <c r="M186" s="19">
        <v>44119</v>
      </c>
      <c r="N186" s="27" t="s">
        <v>557</v>
      </c>
    </row>
    <row r="187" spans="1:14" x14ac:dyDescent="0.25">
      <c r="A187" s="38" t="str">
        <f>HYPERLINK("http://reports.ofsted.gov.uk/inspection-reports/find-inspection-report/provider/CARE/2530021","Ofsted Social Care Provider Webpage")</f>
        <v>Ofsted Social Care Provider Webpage</v>
      </c>
      <c r="B187" s="3">
        <v>2530021</v>
      </c>
      <c r="C187" s="1" t="s">
        <v>36</v>
      </c>
      <c r="D187" s="19">
        <v>43539</v>
      </c>
      <c r="E187" s="1" t="s">
        <v>154</v>
      </c>
      <c r="F187" s="1" t="s">
        <v>155</v>
      </c>
      <c r="G187" s="1" t="s">
        <v>114</v>
      </c>
      <c r="H187" s="1" t="s">
        <v>114</v>
      </c>
      <c r="I187" s="1" t="s">
        <v>118</v>
      </c>
      <c r="J187" s="1" t="s">
        <v>413</v>
      </c>
      <c r="K187" s="1" t="s">
        <v>172</v>
      </c>
      <c r="L187" s="19">
        <v>44090</v>
      </c>
      <c r="M187" s="19">
        <v>44123</v>
      </c>
      <c r="N187" s="27" t="s">
        <v>557</v>
      </c>
    </row>
    <row r="188" spans="1:14" x14ac:dyDescent="0.25">
      <c r="A188" s="38" t="str">
        <f>HYPERLINK("http://reports.ofsted.gov.uk/inspection-reports/find-inspection-report/provider/CARE/SC471672","Ofsted Social Care Provider Webpage")</f>
        <v>Ofsted Social Care Provider Webpage</v>
      </c>
      <c r="B188" s="3" t="s">
        <v>409</v>
      </c>
      <c r="C188" s="1" t="s">
        <v>34</v>
      </c>
      <c r="D188" s="19">
        <v>41780</v>
      </c>
      <c r="E188" s="1" t="s">
        <v>154</v>
      </c>
      <c r="F188" s="1" t="s">
        <v>155</v>
      </c>
      <c r="G188" s="1" t="s">
        <v>128</v>
      </c>
      <c r="H188" s="1" t="s">
        <v>128</v>
      </c>
      <c r="I188" s="1" t="s">
        <v>129</v>
      </c>
      <c r="J188" s="1" t="s">
        <v>410</v>
      </c>
      <c r="K188" s="1" t="s">
        <v>157</v>
      </c>
      <c r="L188" s="19">
        <v>44090</v>
      </c>
      <c r="M188" s="19">
        <v>44117</v>
      </c>
      <c r="N188" s="27" t="s">
        <v>557</v>
      </c>
    </row>
    <row r="189" spans="1:14" x14ac:dyDescent="0.25">
      <c r="A189" s="38" t="str">
        <f>HYPERLINK("http://reports.ofsted.gov.uk/inspection-reports/find-inspection-report/provider/CARE/SC040638","Ofsted Social Care Provider Webpage")</f>
        <v>Ofsted Social Care Provider Webpage</v>
      </c>
      <c r="B189" s="3" t="s">
        <v>391</v>
      </c>
      <c r="C189" s="1" t="s">
        <v>34</v>
      </c>
      <c r="D189" s="19">
        <v>37943</v>
      </c>
      <c r="E189" s="1" t="s">
        <v>154</v>
      </c>
      <c r="F189" s="1" t="s">
        <v>155</v>
      </c>
      <c r="G189" s="1" t="s">
        <v>105</v>
      </c>
      <c r="H189" s="1" t="s">
        <v>105</v>
      </c>
      <c r="I189" s="1" t="s">
        <v>112</v>
      </c>
      <c r="J189" s="1" t="s">
        <v>392</v>
      </c>
      <c r="K189" s="1" t="s">
        <v>172</v>
      </c>
      <c r="L189" s="19">
        <v>44090</v>
      </c>
      <c r="M189" s="19">
        <v>44137</v>
      </c>
      <c r="N189" s="27" t="s">
        <v>557</v>
      </c>
    </row>
    <row r="190" spans="1:14" x14ac:dyDescent="0.25">
      <c r="A190" s="38" t="str">
        <f>HYPERLINK("http://reports.ofsted.gov.uk/inspection-reports/find-inspection-report/provider/CARE/SC457272","Ofsted Social Care Provider Webpage")</f>
        <v>Ofsted Social Care Provider Webpage</v>
      </c>
      <c r="B190" s="3" t="s">
        <v>395</v>
      </c>
      <c r="C190" s="1" t="s">
        <v>34</v>
      </c>
      <c r="D190" s="19">
        <v>41324</v>
      </c>
      <c r="E190" s="1" t="s">
        <v>154</v>
      </c>
      <c r="F190" s="1" t="s">
        <v>155</v>
      </c>
      <c r="G190" s="1" t="s">
        <v>48</v>
      </c>
      <c r="H190" s="1" t="s">
        <v>48</v>
      </c>
      <c r="I190" s="1" t="s">
        <v>49</v>
      </c>
      <c r="J190" s="1" t="s">
        <v>258</v>
      </c>
      <c r="K190" s="1" t="s">
        <v>157</v>
      </c>
      <c r="L190" s="19">
        <v>44090</v>
      </c>
      <c r="M190" s="19">
        <v>44120</v>
      </c>
      <c r="N190" s="27" t="s">
        <v>557</v>
      </c>
    </row>
    <row r="191" spans="1:14" x14ac:dyDescent="0.25">
      <c r="A191" s="38" t="str">
        <f>HYPERLINK("http://reports.ofsted.gov.uk/inspection-reports/find-inspection-report/provider/CARE/SC452009","Ofsted Social Care Provider Webpage")</f>
        <v>Ofsted Social Care Provider Webpage</v>
      </c>
      <c r="B191" s="3" t="s">
        <v>393</v>
      </c>
      <c r="C191" s="1" t="s">
        <v>34</v>
      </c>
      <c r="D191" s="19">
        <v>41186</v>
      </c>
      <c r="E191" s="1" t="s">
        <v>154</v>
      </c>
      <c r="F191" s="1" t="s">
        <v>155</v>
      </c>
      <c r="G191" s="1" t="s">
        <v>114</v>
      </c>
      <c r="H191" s="1" t="s">
        <v>114</v>
      </c>
      <c r="I191" s="1" t="s">
        <v>123</v>
      </c>
      <c r="J191" s="1" t="s">
        <v>394</v>
      </c>
      <c r="K191" s="1" t="s">
        <v>157</v>
      </c>
      <c r="L191" s="19">
        <v>44090</v>
      </c>
      <c r="M191" s="19">
        <v>44125</v>
      </c>
      <c r="N191" s="27" t="s">
        <v>557</v>
      </c>
    </row>
    <row r="192" spans="1:14" x14ac:dyDescent="0.25">
      <c r="A192" s="38" t="str">
        <f>HYPERLINK("http://reports.ofsted.gov.uk/inspection-reports/find-inspection-report/provider/CARE/1275569","Ofsted Social Care Provider Webpage")</f>
        <v>Ofsted Social Care Provider Webpage</v>
      </c>
      <c r="B192" s="3">
        <v>1275569</v>
      </c>
      <c r="C192" s="1" t="s">
        <v>36</v>
      </c>
      <c r="D192" s="19">
        <v>43269</v>
      </c>
      <c r="E192" s="1" t="s">
        <v>154</v>
      </c>
      <c r="F192" s="1" t="s">
        <v>155</v>
      </c>
      <c r="G192" s="1" t="s">
        <v>105</v>
      </c>
      <c r="H192" s="1" t="s">
        <v>105</v>
      </c>
      <c r="I192" s="1" t="s">
        <v>110</v>
      </c>
      <c r="J192" s="1" t="s">
        <v>397</v>
      </c>
      <c r="K192" s="1" t="s">
        <v>157</v>
      </c>
      <c r="L192" s="19">
        <v>44090</v>
      </c>
      <c r="M192" s="19">
        <v>44124</v>
      </c>
      <c r="N192" s="27" t="s">
        <v>557</v>
      </c>
    </row>
    <row r="193" spans="1:14" x14ac:dyDescent="0.25">
      <c r="A193" s="38" t="str">
        <f>HYPERLINK("http://reports.ofsted.gov.uk/inspection-reports/find-inspection-report/provider/CARE/1183621","Ofsted Social Care Provider Webpage")</f>
        <v>Ofsted Social Care Provider Webpage</v>
      </c>
      <c r="B193" s="3">
        <v>1183621</v>
      </c>
      <c r="C193" s="1" t="s">
        <v>34</v>
      </c>
      <c r="D193" s="19">
        <v>42389</v>
      </c>
      <c r="E193" s="1" t="s">
        <v>154</v>
      </c>
      <c r="F193" s="1" t="s">
        <v>155</v>
      </c>
      <c r="G193" s="1" t="s">
        <v>48</v>
      </c>
      <c r="H193" s="1" t="s">
        <v>48</v>
      </c>
      <c r="I193" s="1" t="s">
        <v>51</v>
      </c>
      <c r="J193" s="1" t="s">
        <v>404</v>
      </c>
      <c r="K193" s="1" t="s">
        <v>157</v>
      </c>
      <c r="L193" s="19">
        <v>44090</v>
      </c>
      <c r="M193" s="19">
        <v>44123</v>
      </c>
      <c r="N193" s="27" t="s">
        <v>559</v>
      </c>
    </row>
    <row r="194" spans="1:14" x14ac:dyDescent="0.25">
      <c r="A194" s="38" t="str">
        <f>HYPERLINK("http://reports.ofsted.gov.uk/inspection-reports/find-inspection-report/provider/CARE/2588486","Ofsted Social Care Provider Webpage")</f>
        <v>Ofsted Social Care Provider Webpage</v>
      </c>
      <c r="B194" s="3">
        <v>2588486</v>
      </c>
      <c r="C194" s="1" t="s">
        <v>34</v>
      </c>
      <c r="D194" s="19">
        <v>43956</v>
      </c>
      <c r="E194" s="1" t="s">
        <v>154</v>
      </c>
      <c r="F194" s="1" t="s">
        <v>155</v>
      </c>
      <c r="G194" s="1" t="s">
        <v>114</v>
      </c>
      <c r="H194" s="1" t="s">
        <v>114</v>
      </c>
      <c r="I194" s="1" t="s">
        <v>115</v>
      </c>
      <c r="J194" s="1" t="s">
        <v>400</v>
      </c>
      <c r="K194" s="1" t="s">
        <v>157</v>
      </c>
      <c r="L194" s="19">
        <v>44090</v>
      </c>
      <c r="M194" s="19">
        <v>44126</v>
      </c>
      <c r="N194" s="27" t="s">
        <v>557</v>
      </c>
    </row>
    <row r="195" spans="1:14" x14ac:dyDescent="0.25">
      <c r="A195" s="38" t="str">
        <f>HYPERLINK("http://reports.ofsted.gov.uk/inspection-reports/find-inspection-report/provider/CARE/1244287","Ofsted Social Care Provider Webpage")</f>
        <v>Ofsted Social Care Provider Webpage</v>
      </c>
      <c r="B195" s="3">
        <v>1244287</v>
      </c>
      <c r="C195" s="1" t="s">
        <v>34</v>
      </c>
      <c r="D195" s="19">
        <v>42654</v>
      </c>
      <c r="E195" s="1" t="s">
        <v>154</v>
      </c>
      <c r="F195" s="1" t="s">
        <v>155</v>
      </c>
      <c r="G195" s="1" t="s">
        <v>87</v>
      </c>
      <c r="H195" s="1" t="s">
        <v>87</v>
      </c>
      <c r="I195" s="1" t="s">
        <v>93</v>
      </c>
      <c r="J195" s="1" t="s">
        <v>179</v>
      </c>
      <c r="K195" s="1" t="s">
        <v>157</v>
      </c>
      <c r="L195" s="19">
        <v>44090</v>
      </c>
      <c r="M195" s="19">
        <v>44133</v>
      </c>
      <c r="N195" s="27" t="s">
        <v>557</v>
      </c>
    </row>
    <row r="196" spans="1:14" x14ac:dyDescent="0.25">
      <c r="A196" s="38" t="str">
        <f>HYPERLINK("http://reports.ofsted.gov.uk/inspection-reports/find-inspection-report/provider/CARE/SC036243","Ofsted Social Care Provider Webpage")</f>
        <v>Ofsted Social Care Provider Webpage</v>
      </c>
      <c r="B196" s="3" t="s">
        <v>401</v>
      </c>
      <c r="C196" s="1" t="s">
        <v>34</v>
      </c>
      <c r="D196" s="19">
        <v>38029</v>
      </c>
      <c r="E196" s="1" t="s">
        <v>154</v>
      </c>
      <c r="F196" s="1" t="s">
        <v>155</v>
      </c>
      <c r="G196" s="1" t="s">
        <v>39</v>
      </c>
      <c r="H196" s="1" t="s">
        <v>39</v>
      </c>
      <c r="I196" s="1" t="s">
        <v>40</v>
      </c>
      <c r="J196" s="1" t="s">
        <v>402</v>
      </c>
      <c r="K196" s="1" t="s">
        <v>172</v>
      </c>
      <c r="L196" s="19">
        <v>44090</v>
      </c>
      <c r="M196" s="19">
        <v>44123</v>
      </c>
      <c r="N196" s="27" t="s">
        <v>557</v>
      </c>
    </row>
    <row r="197" spans="1:14" x14ac:dyDescent="0.25">
      <c r="A197" s="38" t="str">
        <f>HYPERLINK("http://reports.ofsted.gov.uk/inspection-reports/find-inspection-report/provider/CARE/SC372661","Ofsted Social Care Provider Webpage")</f>
        <v>Ofsted Social Care Provider Webpage</v>
      </c>
      <c r="B197" s="3" t="s">
        <v>411</v>
      </c>
      <c r="C197" s="1" t="s">
        <v>34</v>
      </c>
      <c r="D197" s="19">
        <v>39658</v>
      </c>
      <c r="E197" s="1" t="s">
        <v>154</v>
      </c>
      <c r="F197" s="1" t="s">
        <v>155</v>
      </c>
      <c r="G197" s="1" t="s">
        <v>128</v>
      </c>
      <c r="H197" s="1" t="s">
        <v>128</v>
      </c>
      <c r="I197" s="1" t="s">
        <v>133</v>
      </c>
      <c r="J197" s="1" t="s">
        <v>412</v>
      </c>
      <c r="K197" s="1" t="s">
        <v>157</v>
      </c>
      <c r="L197" s="19">
        <v>44090</v>
      </c>
      <c r="M197" s="19">
        <v>44126</v>
      </c>
      <c r="N197" s="27" t="s">
        <v>557</v>
      </c>
    </row>
    <row r="198" spans="1:14" x14ac:dyDescent="0.25">
      <c r="A198" s="38" t="str">
        <f>HYPERLINK("http://reports.ofsted.gov.uk/inspection-reports/find-inspection-report/provider/CARE/SC372611","Ofsted Social Care Provider Webpage")</f>
        <v>Ofsted Social Care Provider Webpage</v>
      </c>
      <c r="B198" s="3" t="s">
        <v>399</v>
      </c>
      <c r="C198" s="1" t="s">
        <v>34</v>
      </c>
      <c r="D198" s="19">
        <v>39631</v>
      </c>
      <c r="E198" s="1" t="s">
        <v>154</v>
      </c>
      <c r="F198" s="1" t="s">
        <v>155</v>
      </c>
      <c r="G198" s="1" t="s">
        <v>128</v>
      </c>
      <c r="H198" s="1" t="s">
        <v>128</v>
      </c>
      <c r="I198" s="1" t="s">
        <v>133</v>
      </c>
      <c r="J198" s="1" t="s">
        <v>381</v>
      </c>
      <c r="K198" s="1" t="s">
        <v>157</v>
      </c>
      <c r="L198" s="19">
        <v>44090</v>
      </c>
      <c r="M198" s="19">
        <v>44123</v>
      </c>
      <c r="N198" s="27" t="s">
        <v>557</v>
      </c>
    </row>
    <row r="199" spans="1:14" x14ac:dyDescent="0.25">
      <c r="A199" s="38" t="str">
        <f>HYPERLINK("http://reports.ofsted.gov.uk/inspection-reports/find-inspection-report/provider/CARE/SC470224","Ofsted Social Care Provider Webpage")</f>
        <v>Ofsted Social Care Provider Webpage</v>
      </c>
      <c r="B199" s="3" t="s">
        <v>620</v>
      </c>
      <c r="C199" s="1" t="s">
        <v>34</v>
      </c>
      <c r="D199" s="19">
        <v>41589</v>
      </c>
      <c r="E199" s="1" t="s">
        <v>154</v>
      </c>
      <c r="F199" s="1" t="s">
        <v>155</v>
      </c>
      <c r="G199" s="1" t="s">
        <v>87</v>
      </c>
      <c r="H199" s="1" t="s">
        <v>87</v>
      </c>
      <c r="I199" s="1" t="s">
        <v>93</v>
      </c>
      <c r="J199" s="1" t="s">
        <v>179</v>
      </c>
      <c r="K199" s="1" t="s">
        <v>157</v>
      </c>
      <c r="L199" s="19">
        <v>44090</v>
      </c>
      <c r="M199" s="19">
        <v>44144</v>
      </c>
      <c r="N199" s="27" t="s">
        <v>557</v>
      </c>
    </row>
    <row r="200" spans="1:14" x14ac:dyDescent="0.25">
      <c r="A200" s="38" t="str">
        <f>HYPERLINK("http://reports.ofsted.gov.uk/inspection-reports/find-inspection-report/provider/CARE/SC039689","Ofsted Social Care Provider Webpage")</f>
        <v>Ofsted Social Care Provider Webpage</v>
      </c>
      <c r="B200" s="3" t="s">
        <v>407</v>
      </c>
      <c r="C200" s="1" t="s">
        <v>34</v>
      </c>
      <c r="D200" s="19">
        <v>37939</v>
      </c>
      <c r="E200" s="1" t="s">
        <v>154</v>
      </c>
      <c r="F200" s="1" t="s">
        <v>155</v>
      </c>
      <c r="G200" s="1" t="s">
        <v>87</v>
      </c>
      <c r="H200" s="1" t="s">
        <v>87</v>
      </c>
      <c r="I200" s="1" t="s">
        <v>93</v>
      </c>
      <c r="J200" s="1" t="s">
        <v>408</v>
      </c>
      <c r="K200" s="1" t="s">
        <v>172</v>
      </c>
      <c r="L200" s="19">
        <v>44090</v>
      </c>
      <c r="M200" s="19">
        <v>44125</v>
      </c>
      <c r="N200" s="27" t="s">
        <v>557</v>
      </c>
    </row>
    <row r="201" spans="1:14" x14ac:dyDescent="0.25">
      <c r="A201" s="38" t="str">
        <f>HYPERLINK("http://reports.ofsted.gov.uk/inspection-reports/find-inspection-report/provider/CARE/SC063116","Ofsted Social Care Provider Webpage")</f>
        <v>Ofsted Social Care Provider Webpage</v>
      </c>
      <c r="B201" s="3" t="s">
        <v>405</v>
      </c>
      <c r="C201" s="1" t="s">
        <v>34</v>
      </c>
      <c r="D201" s="19">
        <v>38322</v>
      </c>
      <c r="E201" s="1" t="s">
        <v>154</v>
      </c>
      <c r="F201" s="1" t="s">
        <v>155</v>
      </c>
      <c r="G201" s="1" t="s">
        <v>105</v>
      </c>
      <c r="H201" s="1" t="s">
        <v>105</v>
      </c>
      <c r="I201" s="1" t="s">
        <v>109</v>
      </c>
      <c r="J201" s="1" t="s">
        <v>162</v>
      </c>
      <c r="K201" s="1" t="s">
        <v>157</v>
      </c>
      <c r="L201" s="19">
        <v>44090</v>
      </c>
      <c r="M201" s="19">
        <v>44137</v>
      </c>
      <c r="N201" s="27" t="s">
        <v>557</v>
      </c>
    </row>
    <row r="202" spans="1:14" x14ac:dyDescent="0.25">
      <c r="A202" s="38" t="str">
        <f>HYPERLINK("http://reports.ofsted.gov.uk/inspection-reports/find-inspection-report/provider/CARE/2534179","Ofsted Social Care Provider Webpage")</f>
        <v>Ofsted Social Care Provider Webpage</v>
      </c>
      <c r="B202" s="3">
        <v>2534179</v>
      </c>
      <c r="C202" s="1" t="s">
        <v>34</v>
      </c>
      <c r="D202" s="19">
        <v>43636</v>
      </c>
      <c r="E202" s="1" t="s">
        <v>154</v>
      </c>
      <c r="F202" s="1" t="s">
        <v>155</v>
      </c>
      <c r="G202" s="1" t="s">
        <v>87</v>
      </c>
      <c r="H202" s="1" t="s">
        <v>87</v>
      </c>
      <c r="I202" s="1" t="s">
        <v>93</v>
      </c>
      <c r="J202" s="1" t="s">
        <v>398</v>
      </c>
      <c r="K202" s="1" t="s">
        <v>157</v>
      </c>
      <c r="L202" s="19">
        <v>44090</v>
      </c>
      <c r="M202" s="19">
        <v>44126</v>
      </c>
      <c r="N202" s="27" t="s">
        <v>557</v>
      </c>
    </row>
    <row r="203" spans="1:14" x14ac:dyDescent="0.25">
      <c r="A203" s="38" t="str">
        <f>HYPERLINK("http://reports.ofsted.gov.uk/inspection-reports/find-inspection-report/provider/CARE/SC481305","Ofsted Social Care Provider Webpage")</f>
        <v>Ofsted Social Care Provider Webpage</v>
      </c>
      <c r="B203" s="3" t="s">
        <v>406</v>
      </c>
      <c r="C203" s="1" t="s">
        <v>34</v>
      </c>
      <c r="D203" s="19">
        <v>42051</v>
      </c>
      <c r="E203" s="1" t="s">
        <v>154</v>
      </c>
      <c r="F203" s="1" t="s">
        <v>155</v>
      </c>
      <c r="G203" s="1" t="s">
        <v>64</v>
      </c>
      <c r="H203" s="1" t="s">
        <v>164</v>
      </c>
      <c r="I203" s="1" t="s">
        <v>79</v>
      </c>
      <c r="J203" s="1" t="s">
        <v>217</v>
      </c>
      <c r="K203" s="1" t="s">
        <v>157</v>
      </c>
      <c r="L203" s="19">
        <v>44090</v>
      </c>
      <c r="M203" s="19">
        <v>44141</v>
      </c>
      <c r="N203" s="27" t="s">
        <v>557</v>
      </c>
    </row>
    <row r="204" spans="1:14" x14ac:dyDescent="0.25">
      <c r="A204" s="38" t="str">
        <f>HYPERLINK("http://reports.ofsted.gov.uk/inspection-reports/find-inspection-report/provider/CARE/SC369825","Ofsted Social Care Provider Webpage")</f>
        <v>Ofsted Social Care Provider Webpage</v>
      </c>
      <c r="B204" s="3" t="s">
        <v>389</v>
      </c>
      <c r="C204" s="1" t="s">
        <v>34</v>
      </c>
      <c r="D204" s="19">
        <v>39539</v>
      </c>
      <c r="E204" s="1" t="s">
        <v>154</v>
      </c>
      <c r="F204" s="1" t="s">
        <v>155</v>
      </c>
      <c r="G204" s="1" t="s">
        <v>128</v>
      </c>
      <c r="H204" s="1" t="s">
        <v>128</v>
      </c>
      <c r="I204" s="1" t="s">
        <v>135</v>
      </c>
      <c r="J204" s="1" t="s">
        <v>390</v>
      </c>
      <c r="K204" s="1" t="s">
        <v>172</v>
      </c>
      <c r="L204" s="19">
        <v>44090</v>
      </c>
      <c r="M204" s="19">
        <v>44130</v>
      </c>
      <c r="N204" s="27" t="s">
        <v>559</v>
      </c>
    </row>
    <row r="205" spans="1:14" x14ac:dyDescent="0.25">
      <c r="A205" s="38" t="str">
        <f>HYPERLINK("http://reports.ofsted.gov.uk/inspection-reports/find-inspection-report/provider/CARE/SC456910","Ofsted Social Care Provider Webpage")</f>
        <v>Ofsted Social Care Provider Webpage</v>
      </c>
      <c r="B205" s="3" t="s">
        <v>415</v>
      </c>
      <c r="C205" s="1" t="s">
        <v>34</v>
      </c>
      <c r="D205" s="19">
        <v>41330</v>
      </c>
      <c r="E205" s="1" t="s">
        <v>154</v>
      </c>
      <c r="F205" s="1" t="s">
        <v>155</v>
      </c>
      <c r="G205" s="1" t="s">
        <v>114</v>
      </c>
      <c r="H205" s="1" t="s">
        <v>114</v>
      </c>
      <c r="I205" s="1" t="s">
        <v>126</v>
      </c>
      <c r="J205" s="1" t="s">
        <v>126</v>
      </c>
      <c r="K205" s="1" t="s">
        <v>157</v>
      </c>
      <c r="L205" s="19">
        <v>44091</v>
      </c>
      <c r="M205" s="19">
        <v>44123</v>
      </c>
      <c r="N205" s="27" t="s">
        <v>557</v>
      </c>
    </row>
    <row r="206" spans="1:14" x14ac:dyDescent="0.25">
      <c r="A206" s="38" t="str">
        <f>HYPERLINK("http://reports.ofsted.gov.uk/inspection-reports/find-inspection-report/provider/CARE/2503598","Ofsted Social Care Provider Webpage")</f>
        <v>Ofsted Social Care Provider Webpage</v>
      </c>
      <c r="B206" s="3">
        <v>2503598</v>
      </c>
      <c r="C206" s="1" t="s">
        <v>34</v>
      </c>
      <c r="D206" s="19">
        <v>43544</v>
      </c>
      <c r="E206" s="1" t="s">
        <v>154</v>
      </c>
      <c r="F206" s="1" t="s">
        <v>155</v>
      </c>
      <c r="G206" s="1" t="s">
        <v>128</v>
      </c>
      <c r="H206" s="1" t="s">
        <v>128</v>
      </c>
      <c r="I206" s="1" t="s">
        <v>129</v>
      </c>
      <c r="J206" s="1" t="s">
        <v>388</v>
      </c>
      <c r="K206" s="1" t="s">
        <v>157</v>
      </c>
      <c r="L206" s="19">
        <v>44091</v>
      </c>
      <c r="M206" s="19">
        <v>44125</v>
      </c>
      <c r="N206" s="27" t="s">
        <v>557</v>
      </c>
    </row>
    <row r="207" spans="1:14" x14ac:dyDescent="0.25">
      <c r="A207" s="38" t="str">
        <f>HYPERLINK("http://reports.ofsted.gov.uk/inspection-reports/find-inspection-report/provider/CARE/SC371723","Ofsted Social Care Provider Webpage")</f>
        <v>Ofsted Social Care Provider Webpage</v>
      </c>
      <c r="B207" s="3" t="s">
        <v>414</v>
      </c>
      <c r="C207" s="1" t="s">
        <v>34</v>
      </c>
      <c r="D207" s="19">
        <v>39561</v>
      </c>
      <c r="E207" s="1" t="s">
        <v>154</v>
      </c>
      <c r="F207" s="1" t="s">
        <v>155</v>
      </c>
      <c r="G207" s="1" t="s">
        <v>128</v>
      </c>
      <c r="H207" s="1" t="s">
        <v>128</v>
      </c>
      <c r="I207" s="1" t="s">
        <v>134</v>
      </c>
      <c r="J207" s="1" t="s">
        <v>228</v>
      </c>
      <c r="K207" s="1" t="s">
        <v>157</v>
      </c>
      <c r="L207" s="19">
        <v>44091</v>
      </c>
      <c r="M207" s="19">
        <v>44118</v>
      </c>
      <c r="N207" s="27" t="s">
        <v>557</v>
      </c>
    </row>
    <row r="208" spans="1:14" x14ac:dyDescent="0.25">
      <c r="A208" s="38" t="str">
        <f>HYPERLINK("http://reports.ofsted.gov.uk/inspection-reports/find-inspection-report/provider/CARE/SC424851","Ofsted Social Care Provider Webpage")</f>
        <v>Ofsted Social Care Provider Webpage</v>
      </c>
      <c r="B208" s="3" t="s">
        <v>1048</v>
      </c>
      <c r="C208" s="1" t="s">
        <v>34</v>
      </c>
      <c r="D208" s="19">
        <v>40637</v>
      </c>
      <c r="E208" s="1" t="s">
        <v>154</v>
      </c>
      <c r="F208" s="1" t="s">
        <v>155</v>
      </c>
      <c r="G208" s="1" t="s">
        <v>128</v>
      </c>
      <c r="H208" s="1" t="s">
        <v>128</v>
      </c>
      <c r="I208" s="1" t="s">
        <v>129</v>
      </c>
      <c r="J208" s="1" t="s">
        <v>576</v>
      </c>
      <c r="K208" s="1" t="s">
        <v>157</v>
      </c>
      <c r="L208" s="19">
        <v>44091</v>
      </c>
      <c r="M208" s="19">
        <v>44151</v>
      </c>
      <c r="N208" s="27" t="s">
        <v>557</v>
      </c>
    </row>
    <row r="209" spans="1:14" x14ac:dyDescent="0.25">
      <c r="A209" s="38" t="str">
        <f>HYPERLINK("http://reports.ofsted.gov.uk/inspection-reports/find-inspection-report/provider/CARE/SC066747","Ofsted Social Care Provider Webpage")</f>
        <v>Ofsted Social Care Provider Webpage</v>
      </c>
      <c r="B209" s="3" t="s">
        <v>418</v>
      </c>
      <c r="C209" s="1" t="s">
        <v>34</v>
      </c>
      <c r="D209" s="19">
        <v>38806</v>
      </c>
      <c r="E209" s="1" t="s">
        <v>154</v>
      </c>
      <c r="F209" s="1" t="s">
        <v>155</v>
      </c>
      <c r="G209" s="1" t="s">
        <v>64</v>
      </c>
      <c r="H209" s="1" t="s">
        <v>164</v>
      </c>
      <c r="I209" s="1" t="s">
        <v>83</v>
      </c>
      <c r="J209" s="1" t="s">
        <v>419</v>
      </c>
      <c r="K209" s="1" t="s">
        <v>172</v>
      </c>
      <c r="L209" s="19">
        <v>44095</v>
      </c>
      <c r="M209" s="19">
        <v>44126</v>
      </c>
      <c r="N209" s="27" t="s">
        <v>557</v>
      </c>
    </row>
    <row r="210" spans="1:14" x14ac:dyDescent="0.25">
      <c r="A210" s="38" t="str">
        <f>HYPERLINK("http://reports.ofsted.gov.uk/inspection-reports/find-inspection-report/provider/CARE/1272827","Ofsted Social Care Provider Webpage")</f>
        <v>Ofsted Social Care Provider Webpage</v>
      </c>
      <c r="B210" s="3">
        <v>1272827</v>
      </c>
      <c r="C210" s="1" t="s">
        <v>34</v>
      </c>
      <c r="D210" s="19">
        <v>43249</v>
      </c>
      <c r="E210" s="1" t="s">
        <v>154</v>
      </c>
      <c r="F210" s="1" t="s">
        <v>155</v>
      </c>
      <c r="G210" s="1" t="s">
        <v>39</v>
      </c>
      <c r="H210" s="1" t="s">
        <v>39</v>
      </c>
      <c r="I210" s="1" t="s">
        <v>41</v>
      </c>
      <c r="J210" s="1" t="s">
        <v>426</v>
      </c>
      <c r="K210" s="1" t="s">
        <v>157</v>
      </c>
      <c r="L210" s="19">
        <v>44095</v>
      </c>
      <c r="M210" s="19">
        <v>44119</v>
      </c>
      <c r="N210" s="27" t="s">
        <v>557</v>
      </c>
    </row>
    <row r="211" spans="1:14" x14ac:dyDescent="0.25">
      <c r="A211" s="38" t="str">
        <f>HYPERLINK("http://reports.ofsted.gov.uk/inspection-reports/find-inspection-report/provider/CARE/2529815","Ofsted Social Care Provider Webpage")</f>
        <v>Ofsted Social Care Provider Webpage</v>
      </c>
      <c r="B211" s="3">
        <v>2529815</v>
      </c>
      <c r="C211" s="1" t="s">
        <v>34</v>
      </c>
      <c r="D211" s="19">
        <v>43683</v>
      </c>
      <c r="E211" s="1" t="s">
        <v>154</v>
      </c>
      <c r="F211" s="1" t="s">
        <v>155</v>
      </c>
      <c r="G211" s="1" t="s">
        <v>48</v>
      </c>
      <c r="H211" s="1" t="s">
        <v>48</v>
      </c>
      <c r="I211" s="1" t="s">
        <v>56</v>
      </c>
      <c r="J211" s="1" t="s">
        <v>236</v>
      </c>
      <c r="K211" s="1" t="s">
        <v>157</v>
      </c>
      <c r="L211" s="19">
        <v>44095</v>
      </c>
      <c r="M211" s="19">
        <v>44125</v>
      </c>
      <c r="N211" s="27" t="s">
        <v>559</v>
      </c>
    </row>
    <row r="212" spans="1:14" x14ac:dyDescent="0.25">
      <c r="A212" s="38" t="str">
        <f>HYPERLINK("http://reports.ofsted.gov.uk/inspection-reports/find-inspection-report/provider/CARE/SC431228","Ofsted Social Care Provider Webpage")</f>
        <v>Ofsted Social Care Provider Webpage</v>
      </c>
      <c r="B212" s="3" t="s">
        <v>425</v>
      </c>
      <c r="C212" s="1" t="s">
        <v>34</v>
      </c>
      <c r="D212" s="19">
        <v>40787</v>
      </c>
      <c r="E212" s="1" t="s">
        <v>154</v>
      </c>
      <c r="F212" s="1" t="s">
        <v>155</v>
      </c>
      <c r="G212" s="1" t="s">
        <v>48</v>
      </c>
      <c r="H212" s="1" t="s">
        <v>48</v>
      </c>
      <c r="I212" s="1" t="s">
        <v>53</v>
      </c>
      <c r="J212" s="1" t="s">
        <v>178</v>
      </c>
      <c r="K212" s="1" t="s">
        <v>157</v>
      </c>
      <c r="L212" s="19">
        <v>44095</v>
      </c>
      <c r="M212" s="19">
        <v>44119</v>
      </c>
      <c r="N212" s="27" t="s">
        <v>557</v>
      </c>
    </row>
    <row r="213" spans="1:14" x14ac:dyDescent="0.25">
      <c r="A213" s="38" t="str">
        <f>HYPERLINK("http://reports.ofsted.gov.uk/inspection-reports/find-inspection-report/provider/CARE/SC061837","Ofsted Social Care Provider Webpage")</f>
        <v>Ofsted Social Care Provider Webpage</v>
      </c>
      <c r="B213" s="3" t="s">
        <v>417</v>
      </c>
      <c r="C213" s="1" t="s">
        <v>34</v>
      </c>
      <c r="D213" s="19">
        <v>38511</v>
      </c>
      <c r="E213" s="1" t="s">
        <v>154</v>
      </c>
      <c r="F213" s="1" t="s">
        <v>155</v>
      </c>
      <c r="G213" s="1" t="s">
        <v>128</v>
      </c>
      <c r="H213" s="1" t="s">
        <v>128</v>
      </c>
      <c r="I213" s="1" t="s">
        <v>138</v>
      </c>
      <c r="J213" s="1" t="s">
        <v>332</v>
      </c>
      <c r="K213" s="1" t="s">
        <v>157</v>
      </c>
      <c r="L213" s="19">
        <v>44095</v>
      </c>
      <c r="M213" s="19">
        <v>44126</v>
      </c>
      <c r="N213" s="27" t="s">
        <v>557</v>
      </c>
    </row>
    <row r="214" spans="1:14" x14ac:dyDescent="0.25">
      <c r="A214" s="38" t="str">
        <f>HYPERLINK("http://reports.ofsted.gov.uk/inspection-reports/find-inspection-report/provider/CARE/1271467","Ofsted Social Care Provider Webpage")</f>
        <v>Ofsted Social Care Provider Webpage</v>
      </c>
      <c r="B214" s="3">
        <v>1271467</v>
      </c>
      <c r="C214" s="1" t="s">
        <v>34</v>
      </c>
      <c r="D214" s="19">
        <v>43173</v>
      </c>
      <c r="E214" s="1" t="s">
        <v>154</v>
      </c>
      <c r="F214" s="1" t="s">
        <v>155</v>
      </c>
      <c r="G214" s="1" t="s">
        <v>114</v>
      </c>
      <c r="H214" s="1" t="s">
        <v>114</v>
      </c>
      <c r="I214" s="1" t="s">
        <v>118</v>
      </c>
      <c r="J214" s="1" t="s">
        <v>427</v>
      </c>
      <c r="K214" s="1" t="s">
        <v>157</v>
      </c>
      <c r="L214" s="19">
        <v>44095</v>
      </c>
      <c r="M214" s="19">
        <v>44130</v>
      </c>
      <c r="N214" s="27" t="s">
        <v>557</v>
      </c>
    </row>
    <row r="215" spans="1:14" x14ac:dyDescent="0.25">
      <c r="A215" s="38" t="str">
        <f>HYPERLINK("http://reports.ofsted.gov.uk/inspection-reports/find-inspection-report/provider/CARE/2592750","Ofsted Social Care Provider Webpage")</f>
        <v>Ofsted Social Care Provider Webpage</v>
      </c>
      <c r="B215" s="3">
        <v>2592750</v>
      </c>
      <c r="C215" s="1" t="s">
        <v>34</v>
      </c>
      <c r="D215" s="19">
        <v>43992</v>
      </c>
      <c r="E215" s="1" t="s">
        <v>154</v>
      </c>
      <c r="F215" s="1" t="s">
        <v>155</v>
      </c>
      <c r="G215" s="1" t="s">
        <v>48</v>
      </c>
      <c r="H215" s="1" t="s">
        <v>48</v>
      </c>
      <c r="I215" s="1" t="s">
        <v>53</v>
      </c>
      <c r="J215" s="1" t="s">
        <v>420</v>
      </c>
      <c r="K215" s="1" t="s">
        <v>157</v>
      </c>
      <c r="L215" s="19">
        <v>44095</v>
      </c>
      <c r="M215" s="19">
        <v>44123</v>
      </c>
      <c r="N215" s="27" t="s">
        <v>557</v>
      </c>
    </row>
    <row r="216" spans="1:14" x14ac:dyDescent="0.25">
      <c r="A216" s="38" t="str">
        <f>HYPERLINK("http://reports.ofsted.gov.uk/inspection-reports/find-inspection-report/provider/CARE/SC038719","Ofsted Social Care Provider Webpage")</f>
        <v>Ofsted Social Care Provider Webpage</v>
      </c>
      <c r="B216" s="3" t="s">
        <v>1100</v>
      </c>
      <c r="C216" s="1" t="s">
        <v>37</v>
      </c>
      <c r="D216" s="19">
        <v>38077</v>
      </c>
      <c r="E216" s="1" t="s">
        <v>154</v>
      </c>
      <c r="F216" s="1" t="s">
        <v>155</v>
      </c>
      <c r="G216" s="1" t="s">
        <v>105</v>
      </c>
      <c r="H216" s="1" t="s">
        <v>105</v>
      </c>
      <c r="I216" s="1" t="s">
        <v>108</v>
      </c>
      <c r="J216" s="1" t="s">
        <v>1101</v>
      </c>
      <c r="K216" s="1" t="s">
        <v>172</v>
      </c>
      <c r="L216" s="19">
        <v>44095</v>
      </c>
      <c r="M216" s="19">
        <v>44158</v>
      </c>
      <c r="N216" s="27" t="s">
        <v>557</v>
      </c>
    </row>
    <row r="217" spans="1:14" x14ac:dyDescent="0.25">
      <c r="A217" s="38" t="str">
        <f>HYPERLINK("http://reports.ofsted.gov.uk/inspection-reports/find-inspection-report/provider/CARE/SC008488","Ofsted Social Care Provider Webpage")</f>
        <v>Ofsted Social Care Provider Webpage</v>
      </c>
      <c r="B217" s="3" t="s">
        <v>1102</v>
      </c>
      <c r="C217" s="1" t="s">
        <v>34</v>
      </c>
      <c r="D217" s="19">
        <v>36404</v>
      </c>
      <c r="E217" s="1" t="s">
        <v>154</v>
      </c>
      <c r="F217" s="1" t="s">
        <v>155</v>
      </c>
      <c r="G217" s="1" t="s">
        <v>87</v>
      </c>
      <c r="H217" s="1" t="s">
        <v>87</v>
      </c>
      <c r="I217" s="1" t="s">
        <v>100</v>
      </c>
      <c r="J217" s="1" t="s">
        <v>1103</v>
      </c>
      <c r="K217" s="1" t="s">
        <v>157</v>
      </c>
      <c r="L217" s="19">
        <v>44095</v>
      </c>
      <c r="M217" s="19">
        <v>44182</v>
      </c>
      <c r="N217" s="27" t="s">
        <v>559</v>
      </c>
    </row>
    <row r="218" spans="1:14" x14ac:dyDescent="0.25">
      <c r="A218" s="38" t="str">
        <f>HYPERLINK("http://reports.ofsted.gov.uk/inspection-reports/find-inspection-report/provider/CARE/SC455338","Ofsted Social Care Provider Webpage")</f>
        <v>Ofsted Social Care Provider Webpage</v>
      </c>
      <c r="B218" s="3" t="s">
        <v>421</v>
      </c>
      <c r="C218" s="1" t="s">
        <v>34</v>
      </c>
      <c r="D218" s="19">
        <v>41201</v>
      </c>
      <c r="E218" s="1" t="s">
        <v>154</v>
      </c>
      <c r="F218" s="1" t="s">
        <v>155</v>
      </c>
      <c r="G218" s="1" t="s">
        <v>48</v>
      </c>
      <c r="H218" s="1" t="s">
        <v>48</v>
      </c>
      <c r="I218" s="1" t="s">
        <v>50</v>
      </c>
      <c r="J218" s="1" t="s">
        <v>422</v>
      </c>
      <c r="K218" s="1" t="s">
        <v>157</v>
      </c>
      <c r="L218" s="19">
        <v>44095</v>
      </c>
      <c r="M218" s="19">
        <v>44125</v>
      </c>
      <c r="N218" s="27" t="s">
        <v>557</v>
      </c>
    </row>
    <row r="219" spans="1:14" x14ac:dyDescent="0.25">
      <c r="A219" s="38" t="str">
        <f>HYPERLINK("http://reports.ofsted.gov.uk/inspection-reports/find-inspection-report/provider/CARE/SC035499","Ofsted Social Care Provider Webpage")</f>
        <v>Ofsted Social Care Provider Webpage</v>
      </c>
      <c r="B219" s="3" t="s">
        <v>416</v>
      </c>
      <c r="C219" s="1" t="s">
        <v>34</v>
      </c>
      <c r="D219" s="19">
        <v>37712</v>
      </c>
      <c r="E219" s="1" t="s">
        <v>154</v>
      </c>
      <c r="F219" s="1" t="s">
        <v>155</v>
      </c>
      <c r="G219" s="1" t="s">
        <v>64</v>
      </c>
      <c r="H219" s="1" t="s">
        <v>164</v>
      </c>
      <c r="I219" s="1" t="s">
        <v>71</v>
      </c>
      <c r="J219" s="1" t="s">
        <v>373</v>
      </c>
      <c r="K219" s="1" t="s">
        <v>172</v>
      </c>
      <c r="L219" s="19">
        <v>44095</v>
      </c>
      <c r="M219" s="19">
        <v>44131</v>
      </c>
      <c r="N219" s="27" t="s">
        <v>559</v>
      </c>
    </row>
    <row r="220" spans="1:14" x14ac:dyDescent="0.25">
      <c r="A220" s="38" t="str">
        <f>HYPERLINK("http://reports.ofsted.gov.uk/inspection-reports/find-inspection-report/provider/CARE/2547761","Ofsted Social Care Provider Webpage")</f>
        <v>Ofsted Social Care Provider Webpage</v>
      </c>
      <c r="B220" s="3">
        <v>2547761</v>
      </c>
      <c r="C220" s="1" t="s">
        <v>34</v>
      </c>
      <c r="D220" s="19">
        <v>43870</v>
      </c>
      <c r="E220" s="1" t="s">
        <v>154</v>
      </c>
      <c r="F220" s="1" t="s">
        <v>155</v>
      </c>
      <c r="G220" s="1" t="s">
        <v>87</v>
      </c>
      <c r="H220" s="1" t="s">
        <v>87</v>
      </c>
      <c r="I220" s="1" t="s">
        <v>93</v>
      </c>
      <c r="J220" s="1" t="s">
        <v>966</v>
      </c>
      <c r="K220" s="1" t="s">
        <v>157</v>
      </c>
      <c r="L220" s="19">
        <v>44095</v>
      </c>
      <c r="M220" s="19">
        <v>44174</v>
      </c>
      <c r="N220" s="27" t="s">
        <v>557</v>
      </c>
    </row>
    <row r="221" spans="1:14" x14ac:dyDescent="0.25">
      <c r="A221" s="38" t="str">
        <f>HYPERLINK("http://reports.ofsted.gov.uk/inspection-reports/find-inspection-report/provider/CARE/SC060545","Ofsted Social Care Provider Webpage")</f>
        <v>Ofsted Social Care Provider Webpage</v>
      </c>
      <c r="B221" s="3" t="s">
        <v>423</v>
      </c>
      <c r="C221" s="1" t="s">
        <v>34</v>
      </c>
      <c r="D221" s="19">
        <v>38462</v>
      </c>
      <c r="E221" s="1" t="s">
        <v>154</v>
      </c>
      <c r="F221" s="1" t="s">
        <v>155</v>
      </c>
      <c r="G221" s="1" t="s">
        <v>57</v>
      </c>
      <c r="H221" s="1" t="s">
        <v>57</v>
      </c>
      <c r="I221" s="1" t="s">
        <v>61</v>
      </c>
      <c r="J221" s="1" t="s">
        <v>424</v>
      </c>
      <c r="K221" s="1" t="s">
        <v>157</v>
      </c>
      <c r="L221" s="19">
        <v>44095</v>
      </c>
      <c r="M221" s="19">
        <v>44133</v>
      </c>
      <c r="N221" s="27" t="s">
        <v>557</v>
      </c>
    </row>
    <row r="222" spans="1:14" x14ac:dyDescent="0.25">
      <c r="A222" s="38" t="str">
        <f>HYPERLINK("http://reports.ofsted.gov.uk/inspection-reports/find-inspection-report/provider/CARE/SC429995","Ofsted Social Care Provider Webpage")</f>
        <v>Ofsted Social Care Provider Webpage</v>
      </c>
      <c r="B222" s="3" t="s">
        <v>1104</v>
      </c>
      <c r="C222" s="1" t="s">
        <v>34</v>
      </c>
      <c r="D222" s="19">
        <v>40746</v>
      </c>
      <c r="E222" s="1" t="s">
        <v>154</v>
      </c>
      <c r="F222" s="1" t="s">
        <v>155</v>
      </c>
      <c r="G222" s="1" t="s">
        <v>64</v>
      </c>
      <c r="H222" s="1" t="s">
        <v>213</v>
      </c>
      <c r="I222" s="1" t="s">
        <v>70</v>
      </c>
      <c r="J222" s="1" t="s">
        <v>924</v>
      </c>
      <c r="K222" s="1" t="s">
        <v>157</v>
      </c>
      <c r="L222" s="19">
        <v>44095</v>
      </c>
      <c r="M222" s="19">
        <v>44174</v>
      </c>
      <c r="N222" s="27" t="s">
        <v>559</v>
      </c>
    </row>
    <row r="223" spans="1:14" x14ac:dyDescent="0.25">
      <c r="A223" s="38" t="str">
        <f>HYPERLINK("http://reports.ofsted.gov.uk/inspection-reports/find-inspection-report/provider/CARE/1249184","Ofsted Social Care Provider Webpage")</f>
        <v>Ofsted Social Care Provider Webpage</v>
      </c>
      <c r="B223" s="3">
        <v>1249184</v>
      </c>
      <c r="C223" s="1" t="s">
        <v>34</v>
      </c>
      <c r="D223" s="19">
        <v>42747</v>
      </c>
      <c r="E223" s="1" t="s">
        <v>154</v>
      </c>
      <c r="F223" s="1" t="s">
        <v>155</v>
      </c>
      <c r="G223" s="1" t="s">
        <v>128</v>
      </c>
      <c r="H223" s="1" t="s">
        <v>128</v>
      </c>
      <c r="I223" s="1" t="s">
        <v>134</v>
      </c>
      <c r="J223" s="1" t="s">
        <v>448</v>
      </c>
      <c r="K223" s="1" t="s">
        <v>157</v>
      </c>
      <c r="L223" s="19">
        <v>44096</v>
      </c>
      <c r="M223" s="19">
        <v>44127</v>
      </c>
      <c r="N223" s="27" t="s">
        <v>557</v>
      </c>
    </row>
    <row r="224" spans="1:14" x14ac:dyDescent="0.25">
      <c r="A224" s="38" t="str">
        <f>HYPERLINK("http://reports.ofsted.gov.uk/inspection-reports/find-inspection-report/provider/CARE/SC443009","Ofsted Social Care Provider Webpage")</f>
        <v>Ofsted Social Care Provider Webpage</v>
      </c>
      <c r="B224" s="3" t="s">
        <v>442</v>
      </c>
      <c r="C224" s="1" t="s">
        <v>34</v>
      </c>
      <c r="D224" s="19">
        <v>41050</v>
      </c>
      <c r="E224" s="1" t="s">
        <v>154</v>
      </c>
      <c r="F224" s="1" t="s">
        <v>155</v>
      </c>
      <c r="G224" s="1" t="s">
        <v>48</v>
      </c>
      <c r="H224" s="1" t="s">
        <v>48</v>
      </c>
      <c r="I224" s="1" t="s">
        <v>56</v>
      </c>
      <c r="J224" s="1" t="s">
        <v>232</v>
      </c>
      <c r="K224" s="1" t="s">
        <v>157</v>
      </c>
      <c r="L224" s="19">
        <v>44096</v>
      </c>
      <c r="M224" s="19">
        <v>44119</v>
      </c>
      <c r="N224" s="27" t="s">
        <v>557</v>
      </c>
    </row>
    <row r="225" spans="1:14" x14ac:dyDescent="0.25">
      <c r="A225" s="38" t="str">
        <f>HYPERLINK("http://reports.ofsted.gov.uk/inspection-reports/find-inspection-report/provider/CARE/SC450701","Ofsted Social Care Provider Webpage")</f>
        <v>Ofsted Social Care Provider Webpage</v>
      </c>
      <c r="B225" s="3" t="s">
        <v>440</v>
      </c>
      <c r="C225" s="1" t="s">
        <v>34</v>
      </c>
      <c r="D225" s="19">
        <v>41220</v>
      </c>
      <c r="E225" s="1" t="s">
        <v>154</v>
      </c>
      <c r="F225" s="1" t="s">
        <v>155</v>
      </c>
      <c r="G225" s="1" t="s">
        <v>39</v>
      </c>
      <c r="H225" s="1" t="s">
        <v>39</v>
      </c>
      <c r="I225" s="1" t="s">
        <v>44</v>
      </c>
      <c r="J225" s="1" t="s">
        <v>441</v>
      </c>
      <c r="K225" s="1" t="s">
        <v>157</v>
      </c>
      <c r="L225" s="19">
        <v>44096</v>
      </c>
      <c r="M225" s="19">
        <v>44126</v>
      </c>
      <c r="N225" s="27" t="s">
        <v>559</v>
      </c>
    </row>
    <row r="226" spans="1:14" x14ac:dyDescent="0.25">
      <c r="A226" s="38" t="str">
        <f>HYPERLINK("http://reports.ofsted.gov.uk/inspection-reports/find-inspection-report/provider/CARE/SC066010","Ofsted Social Care Provider Webpage")</f>
        <v>Ofsted Social Care Provider Webpage</v>
      </c>
      <c r="B226" s="3" t="s">
        <v>436</v>
      </c>
      <c r="C226" s="1" t="s">
        <v>34</v>
      </c>
      <c r="D226" s="19">
        <v>38769</v>
      </c>
      <c r="E226" s="1" t="s">
        <v>154</v>
      </c>
      <c r="F226" s="1" t="s">
        <v>155</v>
      </c>
      <c r="G226" s="1" t="s">
        <v>64</v>
      </c>
      <c r="H226" s="1" t="s">
        <v>164</v>
      </c>
      <c r="I226" s="1" t="s">
        <v>83</v>
      </c>
      <c r="J226" s="1" t="s">
        <v>437</v>
      </c>
      <c r="K226" s="1" t="s">
        <v>157</v>
      </c>
      <c r="L226" s="19">
        <v>44096</v>
      </c>
      <c r="M226" s="19">
        <v>44127</v>
      </c>
      <c r="N226" s="27" t="s">
        <v>557</v>
      </c>
    </row>
    <row r="227" spans="1:14" x14ac:dyDescent="0.25">
      <c r="A227" s="38" t="str">
        <f>HYPERLINK("http://reports.ofsted.gov.uk/inspection-reports/find-inspection-report/provider/CARE/SC436372","Ofsted Social Care Provider Webpage")</f>
        <v>Ofsted Social Care Provider Webpage</v>
      </c>
      <c r="B227" s="3" t="s">
        <v>438</v>
      </c>
      <c r="C227" s="1" t="s">
        <v>34</v>
      </c>
      <c r="D227" s="19">
        <v>40840</v>
      </c>
      <c r="E227" s="1" t="s">
        <v>154</v>
      </c>
      <c r="F227" s="1" t="s">
        <v>155</v>
      </c>
      <c r="G227" s="1" t="s">
        <v>39</v>
      </c>
      <c r="H227" s="1" t="s">
        <v>39</v>
      </c>
      <c r="I227" s="1" t="s">
        <v>42</v>
      </c>
      <c r="J227" s="1" t="s">
        <v>439</v>
      </c>
      <c r="K227" s="1" t="s">
        <v>157</v>
      </c>
      <c r="L227" s="19">
        <v>44096</v>
      </c>
      <c r="M227" s="19">
        <v>44123</v>
      </c>
      <c r="N227" s="27" t="s">
        <v>557</v>
      </c>
    </row>
    <row r="228" spans="1:14" x14ac:dyDescent="0.25">
      <c r="A228" s="38" t="str">
        <f>HYPERLINK("http://reports.ofsted.gov.uk/inspection-reports/find-inspection-report/provider/CARE/1267650","Ofsted Social Care Provider Webpage")</f>
        <v>Ofsted Social Care Provider Webpage</v>
      </c>
      <c r="B228" s="3">
        <v>1267650</v>
      </c>
      <c r="C228" s="1" t="s">
        <v>34</v>
      </c>
      <c r="D228" s="19">
        <v>43108</v>
      </c>
      <c r="E228" s="1" t="s">
        <v>154</v>
      </c>
      <c r="F228" s="1" t="s">
        <v>155</v>
      </c>
      <c r="G228" s="1" t="s">
        <v>64</v>
      </c>
      <c r="H228" s="1" t="s">
        <v>213</v>
      </c>
      <c r="I228" s="1" t="s">
        <v>80</v>
      </c>
      <c r="J228" s="1" t="s">
        <v>230</v>
      </c>
      <c r="K228" s="1" t="s">
        <v>157</v>
      </c>
      <c r="L228" s="19">
        <v>44096</v>
      </c>
      <c r="M228" s="19">
        <v>44126</v>
      </c>
      <c r="N228" s="27" t="s">
        <v>557</v>
      </c>
    </row>
    <row r="229" spans="1:14" x14ac:dyDescent="0.25">
      <c r="A229" s="38" t="str">
        <f>HYPERLINK("http://reports.ofsted.gov.uk/inspection-reports/find-inspection-report/provider/CARE/2560305","Ofsted Social Care Provider Webpage")</f>
        <v>Ofsted Social Care Provider Webpage</v>
      </c>
      <c r="B229" s="3">
        <v>2560305</v>
      </c>
      <c r="C229" s="1" t="s">
        <v>34</v>
      </c>
      <c r="D229" s="19">
        <v>43861</v>
      </c>
      <c r="E229" s="1" t="s">
        <v>154</v>
      </c>
      <c r="F229" s="1" t="s">
        <v>155</v>
      </c>
      <c r="G229" s="1" t="s">
        <v>128</v>
      </c>
      <c r="H229" s="1" t="s">
        <v>128</v>
      </c>
      <c r="I229" s="1" t="s">
        <v>132</v>
      </c>
      <c r="J229" s="1" t="s">
        <v>430</v>
      </c>
      <c r="K229" s="1" t="s">
        <v>157</v>
      </c>
      <c r="L229" s="19">
        <v>44096</v>
      </c>
      <c r="M229" s="19">
        <v>44127</v>
      </c>
      <c r="N229" s="27" t="s">
        <v>557</v>
      </c>
    </row>
    <row r="230" spans="1:14" x14ac:dyDescent="0.25">
      <c r="A230" s="38" t="str">
        <f>HYPERLINK("http://reports.ofsted.gov.uk/inspection-reports/find-inspection-report/provider/CARE/1216505","Ofsted Social Care Provider Webpage")</f>
        <v>Ofsted Social Care Provider Webpage</v>
      </c>
      <c r="B230" s="3">
        <v>1216505</v>
      </c>
      <c r="C230" s="1" t="s">
        <v>34</v>
      </c>
      <c r="D230" s="19">
        <v>42403</v>
      </c>
      <c r="E230" s="1" t="s">
        <v>154</v>
      </c>
      <c r="F230" s="1" t="s">
        <v>155</v>
      </c>
      <c r="G230" s="1" t="s">
        <v>64</v>
      </c>
      <c r="H230" s="1" t="s">
        <v>213</v>
      </c>
      <c r="I230" s="1" t="s">
        <v>76</v>
      </c>
      <c r="J230" s="1" t="s">
        <v>281</v>
      </c>
      <c r="K230" s="1" t="s">
        <v>157</v>
      </c>
      <c r="L230" s="19">
        <v>44096</v>
      </c>
      <c r="M230" s="19">
        <v>44127</v>
      </c>
      <c r="N230" s="27" t="s">
        <v>557</v>
      </c>
    </row>
    <row r="231" spans="1:14" x14ac:dyDescent="0.25">
      <c r="A231" s="38" t="str">
        <f>HYPERLINK("http://reports.ofsted.gov.uk/inspection-reports/find-inspection-report/provider/CARE/1225887","Ofsted Social Care Provider Webpage")</f>
        <v>Ofsted Social Care Provider Webpage</v>
      </c>
      <c r="B231" s="3">
        <v>1225887</v>
      </c>
      <c r="C231" s="1" t="s">
        <v>34</v>
      </c>
      <c r="D231" s="19">
        <v>42384</v>
      </c>
      <c r="E231" s="1" t="s">
        <v>154</v>
      </c>
      <c r="F231" s="1" t="s">
        <v>155</v>
      </c>
      <c r="G231" s="1" t="s">
        <v>105</v>
      </c>
      <c r="H231" s="1" t="s">
        <v>105</v>
      </c>
      <c r="I231" s="1" t="s">
        <v>109</v>
      </c>
      <c r="J231" s="1" t="s">
        <v>606</v>
      </c>
      <c r="K231" s="1" t="s">
        <v>157</v>
      </c>
      <c r="L231" s="19">
        <v>44096</v>
      </c>
      <c r="M231" s="19">
        <v>44145</v>
      </c>
      <c r="N231" s="27" t="s">
        <v>559</v>
      </c>
    </row>
    <row r="232" spans="1:14" x14ac:dyDescent="0.25">
      <c r="A232" s="38" t="str">
        <f>HYPERLINK("http://reports.ofsted.gov.uk/inspection-reports/find-inspection-report/provider/CARE/1277497","Ofsted Social Care Provider Webpage")</f>
        <v>Ofsted Social Care Provider Webpage</v>
      </c>
      <c r="B232" s="3">
        <v>1277497</v>
      </c>
      <c r="C232" s="1" t="s">
        <v>34</v>
      </c>
      <c r="D232" s="19">
        <v>43266</v>
      </c>
      <c r="E232" s="1" t="s">
        <v>154</v>
      </c>
      <c r="F232" s="1" t="s">
        <v>155</v>
      </c>
      <c r="G232" s="1" t="s">
        <v>87</v>
      </c>
      <c r="H232" s="1" t="s">
        <v>87</v>
      </c>
      <c r="I232" s="1" t="s">
        <v>93</v>
      </c>
      <c r="J232" s="1" t="s">
        <v>829</v>
      </c>
      <c r="K232" s="1" t="s">
        <v>157</v>
      </c>
      <c r="L232" s="19">
        <v>44096</v>
      </c>
      <c r="M232" s="19">
        <v>44175</v>
      </c>
      <c r="N232" s="27" t="s">
        <v>557</v>
      </c>
    </row>
    <row r="233" spans="1:14" x14ac:dyDescent="0.25">
      <c r="A233" s="38" t="str">
        <f>HYPERLINK("http://reports.ofsted.gov.uk/inspection-reports/find-inspection-report/provider/CARE/1272209","Ofsted Social Care Provider Webpage")</f>
        <v>Ofsted Social Care Provider Webpage</v>
      </c>
      <c r="B233" s="3">
        <v>1272209</v>
      </c>
      <c r="C233" s="1" t="s">
        <v>34</v>
      </c>
      <c r="D233" s="19">
        <v>43201</v>
      </c>
      <c r="E233" s="1" t="s">
        <v>154</v>
      </c>
      <c r="F233" s="1" t="s">
        <v>155</v>
      </c>
      <c r="G233" s="1" t="s">
        <v>39</v>
      </c>
      <c r="H233" s="1" t="s">
        <v>39</v>
      </c>
      <c r="I233" s="1" t="s">
        <v>44</v>
      </c>
      <c r="J233" s="1" t="s">
        <v>194</v>
      </c>
      <c r="K233" s="1" t="s">
        <v>157</v>
      </c>
      <c r="L233" s="19">
        <v>44096</v>
      </c>
      <c r="M233" s="19">
        <v>44126</v>
      </c>
      <c r="N233" s="27" t="s">
        <v>557</v>
      </c>
    </row>
    <row r="234" spans="1:14" x14ac:dyDescent="0.25">
      <c r="A234" s="38" t="str">
        <f>HYPERLINK("http://reports.ofsted.gov.uk/inspection-reports/find-inspection-report/provider/CARE/2567722","Ofsted Social Care Provider Webpage")</f>
        <v>Ofsted Social Care Provider Webpage</v>
      </c>
      <c r="B234" s="3">
        <v>2567722</v>
      </c>
      <c r="C234" s="1" t="s">
        <v>34</v>
      </c>
      <c r="D234" s="19">
        <v>43837</v>
      </c>
      <c r="E234" s="1" t="s">
        <v>154</v>
      </c>
      <c r="F234" s="1" t="s">
        <v>155</v>
      </c>
      <c r="G234" s="1" t="s">
        <v>114</v>
      </c>
      <c r="H234" s="1" t="s">
        <v>114</v>
      </c>
      <c r="I234" s="1" t="s">
        <v>116</v>
      </c>
      <c r="J234" s="1" t="s">
        <v>457</v>
      </c>
      <c r="K234" s="1" t="s">
        <v>172</v>
      </c>
      <c r="L234" s="19">
        <v>44096</v>
      </c>
      <c r="M234" s="19">
        <v>44123</v>
      </c>
      <c r="N234" s="27" t="s">
        <v>557</v>
      </c>
    </row>
    <row r="235" spans="1:14" x14ac:dyDescent="0.25">
      <c r="A235" s="38" t="str">
        <f>HYPERLINK("http://reports.ofsted.gov.uk/inspection-reports/find-inspection-report/provider/CARE/1255748","Ofsted Social Care Provider Webpage")</f>
        <v>Ofsted Social Care Provider Webpage</v>
      </c>
      <c r="B235" s="3">
        <v>1255748</v>
      </c>
      <c r="C235" s="1" t="s">
        <v>34</v>
      </c>
      <c r="D235" s="19">
        <v>42879</v>
      </c>
      <c r="E235" s="1" t="s">
        <v>154</v>
      </c>
      <c r="F235" s="1" t="s">
        <v>155</v>
      </c>
      <c r="G235" s="1" t="s">
        <v>39</v>
      </c>
      <c r="H235" s="1" t="s">
        <v>39</v>
      </c>
      <c r="I235" s="1" t="s">
        <v>45</v>
      </c>
      <c r="J235" s="1" t="s">
        <v>432</v>
      </c>
      <c r="K235" s="1" t="s">
        <v>157</v>
      </c>
      <c r="L235" s="19">
        <v>44096</v>
      </c>
      <c r="M235" s="19">
        <v>44123</v>
      </c>
      <c r="N235" s="27" t="s">
        <v>557</v>
      </c>
    </row>
    <row r="236" spans="1:14" x14ac:dyDescent="0.25">
      <c r="A236" s="38" t="str">
        <f>HYPERLINK("http://reports.ofsted.gov.uk/inspection-reports/find-inspection-report/provider/CARE/2571033","Ofsted Social Care Provider Webpage")</f>
        <v>Ofsted Social Care Provider Webpage</v>
      </c>
      <c r="B236" s="3">
        <v>2571033</v>
      </c>
      <c r="C236" s="1" t="s">
        <v>34</v>
      </c>
      <c r="D236" s="19">
        <v>43945</v>
      </c>
      <c r="E236" s="1" t="s">
        <v>154</v>
      </c>
      <c r="F236" s="1" t="s">
        <v>155</v>
      </c>
      <c r="G236" s="1" t="s">
        <v>87</v>
      </c>
      <c r="H236" s="1" t="s">
        <v>87</v>
      </c>
      <c r="I236" s="1" t="s">
        <v>93</v>
      </c>
      <c r="J236" s="1" t="s">
        <v>203</v>
      </c>
      <c r="K236" s="1" t="s">
        <v>157</v>
      </c>
      <c r="L236" s="19">
        <v>44096</v>
      </c>
      <c r="M236" s="19">
        <v>44152</v>
      </c>
      <c r="N236" s="27" t="s">
        <v>559</v>
      </c>
    </row>
    <row r="237" spans="1:14" x14ac:dyDescent="0.25">
      <c r="A237" s="38" t="str">
        <f>HYPERLINK("http://reports.ofsted.gov.uk/inspection-reports/find-inspection-report/provider/CARE/2494962","Ofsted Social Care Provider Webpage")</f>
        <v>Ofsted Social Care Provider Webpage</v>
      </c>
      <c r="B237" s="3">
        <v>2494962</v>
      </c>
      <c r="C237" s="1" t="s">
        <v>34</v>
      </c>
      <c r="D237" s="19">
        <v>43474</v>
      </c>
      <c r="E237" s="1" t="s">
        <v>154</v>
      </c>
      <c r="F237" s="1" t="s">
        <v>155</v>
      </c>
      <c r="G237" s="1" t="s">
        <v>64</v>
      </c>
      <c r="H237" s="1" t="s">
        <v>164</v>
      </c>
      <c r="I237" s="1" t="s">
        <v>73</v>
      </c>
      <c r="J237" s="1" t="s">
        <v>435</v>
      </c>
      <c r="K237" s="1" t="s">
        <v>157</v>
      </c>
      <c r="L237" s="19">
        <v>44096</v>
      </c>
      <c r="M237" s="19">
        <v>44130</v>
      </c>
      <c r="N237" s="27" t="s">
        <v>557</v>
      </c>
    </row>
    <row r="238" spans="1:14" x14ac:dyDescent="0.25">
      <c r="A238" s="38" t="str">
        <f>HYPERLINK("http://reports.ofsted.gov.uk/inspection-reports/find-inspection-report/provider/CARE/2509381","Ofsted Social Care Provider Webpage")</f>
        <v>Ofsted Social Care Provider Webpage</v>
      </c>
      <c r="B238" s="3">
        <v>2509381</v>
      </c>
      <c r="C238" s="1" t="s">
        <v>34</v>
      </c>
      <c r="D238" s="19">
        <v>43657</v>
      </c>
      <c r="E238" s="1" t="s">
        <v>154</v>
      </c>
      <c r="F238" s="1" t="s">
        <v>155</v>
      </c>
      <c r="G238" s="1" t="s">
        <v>87</v>
      </c>
      <c r="H238" s="1" t="s">
        <v>87</v>
      </c>
      <c r="I238" s="1" t="s">
        <v>94</v>
      </c>
      <c r="J238" s="1" t="s">
        <v>633</v>
      </c>
      <c r="K238" s="1" t="s">
        <v>157</v>
      </c>
      <c r="L238" s="19">
        <v>44096</v>
      </c>
      <c r="M238" s="19">
        <v>44146</v>
      </c>
      <c r="N238" s="27" t="s">
        <v>557</v>
      </c>
    </row>
    <row r="239" spans="1:14" x14ac:dyDescent="0.25">
      <c r="A239" s="38" t="str">
        <f>HYPERLINK("http://reports.ofsted.gov.uk/inspection-reports/find-inspection-report/provider/CARE/SC033723","Ofsted Social Care Provider Webpage")</f>
        <v>Ofsted Social Care Provider Webpage</v>
      </c>
      <c r="B239" s="3" t="s">
        <v>455</v>
      </c>
      <c r="C239" s="1" t="s">
        <v>34</v>
      </c>
      <c r="D239" s="19">
        <v>37819</v>
      </c>
      <c r="E239" s="1" t="s">
        <v>154</v>
      </c>
      <c r="F239" s="1" t="s">
        <v>155</v>
      </c>
      <c r="G239" s="1" t="s">
        <v>64</v>
      </c>
      <c r="H239" s="1" t="s">
        <v>164</v>
      </c>
      <c r="I239" s="1" t="s">
        <v>74</v>
      </c>
      <c r="J239" s="1" t="s">
        <v>456</v>
      </c>
      <c r="K239" s="1" t="s">
        <v>172</v>
      </c>
      <c r="L239" s="19">
        <v>44096</v>
      </c>
      <c r="M239" s="19">
        <v>44134</v>
      </c>
      <c r="N239" s="27" t="s">
        <v>559</v>
      </c>
    </row>
    <row r="240" spans="1:14" x14ac:dyDescent="0.25">
      <c r="A240" s="38" t="str">
        <f>HYPERLINK("http://reports.ofsted.gov.uk/inspection-reports/find-inspection-report/provider/CARE/SC033326","Ofsted Social Care Provider Webpage")</f>
        <v>Ofsted Social Care Provider Webpage</v>
      </c>
      <c r="B240" s="3" t="s">
        <v>443</v>
      </c>
      <c r="C240" s="1" t="s">
        <v>34</v>
      </c>
      <c r="D240" s="19">
        <v>37901</v>
      </c>
      <c r="E240" s="1" t="s">
        <v>154</v>
      </c>
      <c r="F240" s="1" t="s">
        <v>155</v>
      </c>
      <c r="G240" s="1" t="s">
        <v>64</v>
      </c>
      <c r="H240" s="1" t="s">
        <v>164</v>
      </c>
      <c r="I240" s="1" t="s">
        <v>73</v>
      </c>
      <c r="J240" s="1" t="s">
        <v>444</v>
      </c>
      <c r="K240" s="1" t="s">
        <v>172</v>
      </c>
      <c r="L240" s="19">
        <v>44096</v>
      </c>
      <c r="M240" s="19">
        <v>44127</v>
      </c>
      <c r="N240" s="27" t="s">
        <v>557</v>
      </c>
    </row>
    <row r="241" spans="1:14" x14ac:dyDescent="0.25">
      <c r="A241" s="38" t="str">
        <f>HYPERLINK("http://reports.ofsted.gov.uk/inspection-reports/find-inspection-report/provider/CARE/SC443765","Ofsted Social Care Provider Webpage")</f>
        <v>Ofsted Social Care Provider Webpage</v>
      </c>
      <c r="B241" s="3" t="s">
        <v>433</v>
      </c>
      <c r="C241" s="1" t="s">
        <v>34</v>
      </c>
      <c r="D241" s="19">
        <v>41038</v>
      </c>
      <c r="E241" s="1" t="s">
        <v>154</v>
      </c>
      <c r="F241" s="1" t="s">
        <v>155</v>
      </c>
      <c r="G241" s="1" t="s">
        <v>87</v>
      </c>
      <c r="H241" s="1" t="s">
        <v>87</v>
      </c>
      <c r="I241" s="1" t="s">
        <v>92</v>
      </c>
      <c r="J241" s="1" t="s">
        <v>262</v>
      </c>
      <c r="K241" s="1" t="s">
        <v>157</v>
      </c>
      <c r="L241" s="19">
        <v>44096</v>
      </c>
      <c r="M241" s="19">
        <v>44137</v>
      </c>
      <c r="N241" s="27" t="s">
        <v>557</v>
      </c>
    </row>
    <row r="242" spans="1:14" x14ac:dyDescent="0.25">
      <c r="A242" s="38" t="str">
        <f>HYPERLINK("http://reports.ofsted.gov.uk/inspection-reports/find-inspection-report/provider/CARE/SC043972","Ofsted Social Care Provider Webpage")</f>
        <v>Ofsted Social Care Provider Webpage</v>
      </c>
      <c r="B242" s="3" t="s">
        <v>449</v>
      </c>
      <c r="C242" s="1" t="s">
        <v>34</v>
      </c>
      <c r="D242" s="19">
        <v>37802</v>
      </c>
      <c r="E242" s="1" t="s">
        <v>154</v>
      </c>
      <c r="F242" s="1" t="s">
        <v>155</v>
      </c>
      <c r="G242" s="1" t="s">
        <v>87</v>
      </c>
      <c r="H242" s="1" t="s">
        <v>87</v>
      </c>
      <c r="I242" s="1" t="s">
        <v>95</v>
      </c>
      <c r="J242" s="1" t="s">
        <v>450</v>
      </c>
      <c r="K242" s="1" t="s">
        <v>157</v>
      </c>
      <c r="L242" s="19">
        <v>44096</v>
      </c>
      <c r="M242" s="19">
        <v>44137</v>
      </c>
      <c r="N242" s="27" t="s">
        <v>557</v>
      </c>
    </row>
    <row r="243" spans="1:14" x14ac:dyDescent="0.25">
      <c r="A243" s="38" t="str">
        <f>HYPERLINK("http://reports.ofsted.gov.uk/inspection-reports/find-inspection-report/provider/CARE/SC006017","Ofsted Social Care Provider Webpage")</f>
        <v>Ofsted Social Care Provider Webpage</v>
      </c>
      <c r="B243" s="3" t="s">
        <v>452</v>
      </c>
      <c r="C243" s="1" t="s">
        <v>34</v>
      </c>
      <c r="D243" s="19">
        <v>37062</v>
      </c>
      <c r="E243" s="1" t="s">
        <v>154</v>
      </c>
      <c r="F243" s="1" t="s">
        <v>155</v>
      </c>
      <c r="G243" s="1" t="s">
        <v>87</v>
      </c>
      <c r="H243" s="1" t="s">
        <v>87</v>
      </c>
      <c r="I243" s="1" t="s">
        <v>93</v>
      </c>
      <c r="J243" s="1" t="s">
        <v>453</v>
      </c>
      <c r="K243" s="1" t="s">
        <v>157</v>
      </c>
      <c r="L243" s="19">
        <v>44096</v>
      </c>
      <c r="M243" s="19">
        <v>44138</v>
      </c>
      <c r="N243" s="27" t="s">
        <v>557</v>
      </c>
    </row>
    <row r="244" spans="1:14" x14ac:dyDescent="0.25">
      <c r="A244" s="38" t="str">
        <f>HYPERLINK("http://reports.ofsted.gov.uk/inspection-reports/find-inspection-report/provider/CARE/1273658","Ofsted Social Care Provider Webpage")</f>
        <v>Ofsted Social Care Provider Webpage</v>
      </c>
      <c r="B244" s="3">
        <v>1273658</v>
      </c>
      <c r="C244" s="1" t="s">
        <v>34</v>
      </c>
      <c r="D244" s="19">
        <v>43179</v>
      </c>
      <c r="E244" s="1" t="s">
        <v>154</v>
      </c>
      <c r="F244" s="1" t="s">
        <v>155</v>
      </c>
      <c r="G244" s="1" t="s">
        <v>128</v>
      </c>
      <c r="H244" s="1" t="s">
        <v>128</v>
      </c>
      <c r="I244" s="1" t="s">
        <v>129</v>
      </c>
      <c r="J244" s="1" t="s">
        <v>434</v>
      </c>
      <c r="K244" s="1" t="s">
        <v>168</v>
      </c>
      <c r="L244" s="19">
        <v>44096</v>
      </c>
      <c r="M244" s="19">
        <v>44137</v>
      </c>
      <c r="N244" s="27" t="s">
        <v>557</v>
      </c>
    </row>
    <row r="245" spans="1:14" x14ac:dyDescent="0.25">
      <c r="A245" s="38" t="str">
        <f>HYPERLINK("http://reports.ofsted.gov.uk/inspection-reports/find-inspection-report/provider/CARE/2580626","Ofsted Social Care Provider Webpage")</f>
        <v>Ofsted Social Care Provider Webpage</v>
      </c>
      <c r="B245" s="3">
        <v>2580626</v>
      </c>
      <c r="C245" s="1" t="s">
        <v>34</v>
      </c>
      <c r="D245" s="19">
        <v>43955</v>
      </c>
      <c r="E245" s="1" t="s">
        <v>154</v>
      </c>
      <c r="F245" s="1" t="s">
        <v>155</v>
      </c>
      <c r="G245" s="1" t="s">
        <v>87</v>
      </c>
      <c r="H245" s="1" t="s">
        <v>87</v>
      </c>
      <c r="I245" s="1" t="s">
        <v>93</v>
      </c>
      <c r="J245" s="1" t="s">
        <v>250</v>
      </c>
      <c r="K245" s="1" t="s">
        <v>157</v>
      </c>
      <c r="L245" s="19">
        <v>44096</v>
      </c>
      <c r="M245" s="19">
        <v>44131</v>
      </c>
      <c r="N245" s="27" t="s">
        <v>559</v>
      </c>
    </row>
    <row r="246" spans="1:14" x14ac:dyDescent="0.25">
      <c r="A246" s="38" t="str">
        <f>HYPERLINK("http://reports.ofsted.gov.uk/inspection-reports/find-inspection-report/provider/CARE/SC023637","Ofsted Social Care Provider Webpage")</f>
        <v>Ofsted Social Care Provider Webpage</v>
      </c>
      <c r="B246" s="3" t="s">
        <v>599</v>
      </c>
      <c r="C246" s="1" t="s">
        <v>34</v>
      </c>
      <c r="D246" s="19">
        <v>37091</v>
      </c>
      <c r="E246" s="1" t="s">
        <v>154</v>
      </c>
      <c r="F246" s="1" t="s">
        <v>155</v>
      </c>
      <c r="G246" s="1" t="s">
        <v>105</v>
      </c>
      <c r="H246" s="1" t="s">
        <v>105</v>
      </c>
      <c r="I246" s="1" t="s">
        <v>109</v>
      </c>
      <c r="J246" s="1" t="s">
        <v>600</v>
      </c>
      <c r="K246" s="1" t="s">
        <v>157</v>
      </c>
      <c r="L246" s="19">
        <v>44096</v>
      </c>
      <c r="M246" s="19">
        <v>44145</v>
      </c>
      <c r="N246" s="27" t="s">
        <v>557</v>
      </c>
    </row>
    <row r="247" spans="1:14" x14ac:dyDescent="0.25">
      <c r="A247" s="38" t="str">
        <f>HYPERLINK("http://reports.ofsted.gov.uk/inspection-reports/find-inspection-report/provider/CARE/SC454035","Ofsted Social Care Provider Webpage")</f>
        <v>Ofsted Social Care Provider Webpage</v>
      </c>
      <c r="B247" s="3" t="s">
        <v>655</v>
      </c>
      <c r="C247" s="1" t="s">
        <v>34</v>
      </c>
      <c r="D247" s="19">
        <v>41267</v>
      </c>
      <c r="E247" s="1" t="s">
        <v>154</v>
      </c>
      <c r="F247" s="1" t="s">
        <v>155</v>
      </c>
      <c r="G247" s="1" t="s">
        <v>87</v>
      </c>
      <c r="H247" s="1" t="s">
        <v>87</v>
      </c>
      <c r="I247" s="1" t="s">
        <v>563</v>
      </c>
      <c r="J247" s="1" t="s">
        <v>563</v>
      </c>
      <c r="K247" s="1" t="s">
        <v>157</v>
      </c>
      <c r="L247" s="19">
        <v>44096</v>
      </c>
      <c r="M247" s="19">
        <v>44147</v>
      </c>
      <c r="N247" s="27" t="s">
        <v>557</v>
      </c>
    </row>
    <row r="248" spans="1:14" x14ac:dyDescent="0.25">
      <c r="A248" s="38" t="str">
        <f>HYPERLINK("http://reports.ofsted.gov.uk/inspection-reports/find-inspection-report/provider/CARE/SC481439","Ofsted Social Care Provider Webpage")</f>
        <v>Ofsted Social Care Provider Webpage</v>
      </c>
      <c r="B248" s="3" t="s">
        <v>445</v>
      </c>
      <c r="C248" s="1" t="s">
        <v>34</v>
      </c>
      <c r="D248" s="19">
        <v>41907</v>
      </c>
      <c r="E248" s="1" t="s">
        <v>154</v>
      </c>
      <c r="F248" s="1" t="s">
        <v>155</v>
      </c>
      <c r="G248" s="1" t="s">
        <v>64</v>
      </c>
      <c r="H248" s="1" t="s">
        <v>164</v>
      </c>
      <c r="I248" s="1" t="s">
        <v>69</v>
      </c>
      <c r="J248" s="1" t="s">
        <v>446</v>
      </c>
      <c r="K248" s="1" t="s">
        <v>168</v>
      </c>
      <c r="L248" s="19">
        <v>44096</v>
      </c>
      <c r="M248" s="19">
        <v>44132</v>
      </c>
      <c r="N248" s="27" t="s">
        <v>557</v>
      </c>
    </row>
    <row r="249" spans="1:14" x14ac:dyDescent="0.25">
      <c r="A249" s="38" t="str">
        <f>HYPERLINK("http://reports.ofsted.gov.uk/inspection-reports/find-inspection-report/provider/CARE/SC059853","Ofsted Social Care Provider Webpage")</f>
        <v>Ofsted Social Care Provider Webpage</v>
      </c>
      <c r="B249" s="3" t="s">
        <v>447</v>
      </c>
      <c r="C249" s="1" t="s">
        <v>34</v>
      </c>
      <c r="D249" s="19">
        <v>38133</v>
      </c>
      <c r="E249" s="1" t="s">
        <v>154</v>
      </c>
      <c r="F249" s="1" t="s">
        <v>155</v>
      </c>
      <c r="G249" s="1" t="s">
        <v>87</v>
      </c>
      <c r="H249" s="1" t="s">
        <v>87</v>
      </c>
      <c r="I249" s="1" t="s">
        <v>89</v>
      </c>
      <c r="J249" s="1" t="s">
        <v>208</v>
      </c>
      <c r="K249" s="1" t="s">
        <v>172</v>
      </c>
      <c r="L249" s="19">
        <v>44096</v>
      </c>
      <c r="M249" s="19">
        <v>44137</v>
      </c>
      <c r="N249" s="27" t="s">
        <v>557</v>
      </c>
    </row>
    <row r="250" spans="1:14" x14ac:dyDescent="0.25">
      <c r="A250" s="38" t="str">
        <f>HYPERLINK("http://reports.ofsted.gov.uk/inspection-reports/find-inspection-report/provider/CARE/SC034741","Ofsted Social Care Provider Webpage")</f>
        <v>Ofsted Social Care Provider Webpage</v>
      </c>
      <c r="B250" s="3" t="s">
        <v>1122</v>
      </c>
      <c r="C250" s="1" t="s">
        <v>34</v>
      </c>
      <c r="D250" s="19">
        <v>37868</v>
      </c>
      <c r="E250" s="1" t="s">
        <v>215</v>
      </c>
      <c r="F250" s="1" t="s">
        <v>155</v>
      </c>
      <c r="G250" s="1" t="s">
        <v>64</v>
      </c>
      <c r="H250" s="1" t="s">
        <v>213</v>
      </c>
      <c r="I250" s="1" t="s">
        <v>70</v>
      </c>
      <c r="J250" s="1" t="s">
        <v>924</v>
      </c>
      <c r="K250" s="1" t="s">
        <v>172</v>
      </c>
      <c r="L250" s="19">
        <v>44096</v>
      </c>
      <c r="M250" s="19">
        <v>44174</v>
      </c>
      <c r="N250" s="27" t="s">
        <v>559</v>
      </c>
    </row>
    <row r="251" spans="1:14" x14ac:dyDescent="0.25">
      <c r="A251" s="38" t="str">
        <f>HYPERLINK("http://reports.ofsted.gov.uk/inspection-reports/find-inspection-report/provider/CARE/2548571","Ofsted Social Care Provider Webpage")</f>
        <v>Ofsted Social Care Provider Webpage</v>
      </c>
      <c r="B251" s="3">
        <v>2548571</v>
      </c>
      <c r="C251" s="1" t="s">
        <v>34</v>
      </c>
      <c r="D251" s="19">
        <v>43739</v>
      </c>
      <c r="E251" s="1" t="s">
        <v>154</v>
      </c>
      <c r="F251" s="1" t="s">
        <v>155</v>
      </c>
      <c r="G251" s="1" t="s">
        <v>128</v>
      </c>
      <c r="H251" s="1" t="s">
        <v>128</v>
      </c>
      <c r="I251" s="1" t="s">
        <v>140</v>
      </c>
      <c r="J251" s="1" t="s">
        <v>454</v>
      </c>
      <c r="K251" s="1" t="s">
        <v>157</v>
      </c>
      <c r="L251" s="19">
        <v>44096</v>
      </c>
      <c r="M251" s="19">
        <v>44126</v>
      </c>
      <c r="N251" s="27" t="s">
        <v>559</v>
      </c>
    </row>
    <row r="252" spans="1:14" x14ac:dyDescent="0.25">
      <c r="A252" s="38" t="str">
        <f>HYPERLINK("http://reports.ofsted.gov.uk/inspection-reports/find-inspection-report/provider/CARE/1248071","Ofsted Social Care Provider Webpage")</f>
        <v>Ofsted Social Care Provider Webpage</v>
      </c>
      <c r="B252" s="3">
        <v>1248071</v>
      </c>
      <c r="C252" s="1" t="s">
        <v>34</v>
      </c>
      <c r="D252" s="19">
        <v>42738</v>
      </c>
      <c r="E252" s="1" t="s">
        <v>154</v>
      </c>
      <c r="F252" s="1" t="s">
        <v>155</v>
      </c>
      <c r="G252" s="1" t="s">
        <v>114</v>
      </c>
      <c r="H252" s="1" t="s">
        <v>114</v>
      </c>
      <c r="I252" s="1" t="s">
        <v>122</v>
      </c>
      <c r="J252" s="1" t="s">
        <v>188</v>
      </c>
      <c r="K252" s="1" t="s">
        <v>157</v>
      </c>
      <c r="L252" s="19">
        <v>44096</v>
      </c>
      <c r="M252" s="19">
        <v>44125</v>
      </c>
      <c r="N252" s="27" t="s">
        <v>557</v>
      </c>
    </row>
    <row r="253" spans="1:14" x14ac:dyDescent="0.25">
      <c r="A253" s="38" t="str">
        <f>HYPERLINK("http://reports.ofsted.gov.uk/inspection-reports/find-inspection-report/provider/CARE/SC035364","Ofsted Social Care Provider Webpage")</f>
        <v>Ofsted Social Care Provider Webpage</v>
      </c>
      <c r="B253" s="3" t="s">
        <v>431</v>
      </c>
      <c r="C253" s="1" t="s">
        <v>34</v>
      </c>
      <c r="D253" s="19">
        <v>37630</v>
      </c>
      <c r="E253" s="1" t="s">
        <v>215</v>
      </c>
      <c r="F253" s="1" t="s">
        <v>155</v>
      </c>
      <c r="G253" s="1" t="s">
        <v>39</v>
      </c>
      <c r="H253" s="1" t="s">
        <v>39</v>
      </c>
      <c r="I253" s="1" t="s">
        <v>44</v>
      </c>
      <c r="J253" s="1" t="s">
        <v>242</v>
      </c>
      <c r="K253" s="1" t="s">
        <v>172</v>
      </c>
      <c r="L253" s="19">
        <v>44096</v>
      </c>
      <c r="M253" s="19">
        <v>44138</v>
      </c>
      <c r="N253" s="27" t="s">
        <v>559</v>
      </c>
    </row>
    <row r="254" spans="1:14" x14ac:dyDescent="0.25">
      <c r="A254" s="38" t="str">
        <f>HYPERLINK("http://reports.ofsted.gov.uk/inspection-reports/find-inspection-report/provider/CARE/1244350","Ofsted Social Care Provider Webpage")</f>
        <v>Ofsted Social Care Provider Webpage</v>
      </c>
      <c r="B254" s="3">
        <v>1244350</v>
      </c>
      <c r="C254" s="1" t="s">
        <v>34</v>
      </c>
      <c r="D254" s="19">
        <v>42698</v>
      </c>
      <c r="E254" s="1" t="s">
        <v>154</v>
      </c>
      <c r="F254" s="1" t="s">
        <v>155</v>
      </c>
      <c r="G254" s="1" t="s">
        <v>128</v>
      </c>
      <c r="H254" s="1" t="s">
        <v>128</v>
      </c>
      <c r="I254" s="1" t="s">
        <v>129</v>
      </c>
      <c r="J254" s="1" t="s">
        <v>451</v>
      </c>
      <c r="K254" s="1" t="s">
        <v>157</v>
      </c>
      <c r="L254" s="19">
        <v>44096</v>
      </c>
      <c r="M254" s="19">
        <v>44117</v>
      </c>
      <c r="N254" s="27" t="s">
        <v>557</v>
      </c>
    </row>
    <row r="255" spans="1:14" x14ac:dyDescent="0.25">
      <c r="A255" s="38" t="str">
        <f>HYPERLINK("http://reports.ofsted.gov.uk/inspection-reports/find-inspection-report/provider/CARE/SC044692","Ofsted Social Care Provider Webpage")</f>
        <v>Ofsted Social Care Provider Webpage</v>
      </c>
      <c r="B255" s="3" t="s">
        <v>428</v>
      </c>
      <c r="C255" s="1" t="s">
        <v>34</v>
      </c>
      <c r="D255" s="19">
        <v>38476</v>
      </c>
      <c r="E255" s="1" t="s">
        <v>154</v>
      </c>
      <c r="F255" s="1" t="s">
        <v>155</v>
      </c>
      <c r="G255" s="1" t="s">
        <v>39</v>
      </c>
      <c r="H255" s="1" t="s">
        <v>39</v>
      </c>
      <c r="I255" s="1" t="s">
        <v>46</v>
      </c>
      <c r="J255" s="1" t="s">
        <v>429</v>
      </c>
      <c r="K255" s="1" t="s">
        <v>172</v>
      </c>
      <c r="L255" s="19">
        <v>44096</v>
      </c>
      <c r="M255" s="19">
        <v>44123</v>
      </c>
      <c r="N255" s="27" t="s">
        <v>557</v>
      </c>
    </row>
    <row r="256" spans="1:14" x14ac:dyDescent="0.25">
      <c r="A256" s="38" t="str">
        <f>HYPERLINK("http://reports.ofsted.gov.uk/inspection-reports/find-inspection-report/provider/CARE/SC465120","Ofsted Social Care Provider Webpage")</f>
        <v>Ofsted Social Care Provider Webpage</v>
      </c>
      <c r="B256" s="3" t="s">
        <v>466</v>
      </c>
      <c r="C256" s="1" t="s">
        <v>34</v>
      </c>
      <c r="D256" s="19">
        <v>41725</v>
      </c>
      <c r="E256" s="1" t="s">
        <v>154</v>
      </c>
      <c r="F256" s="1" t="s">
        <v>155</v>
      </c>
      <c r="G256" s="1" t="s">
        <v>114</v>
      </c>
      <c r="H256" s="1" t="s">
        <v>114</v>
      </c>
      <c r="I256" s="1" t="s">
        <v>118</v>
      </c>
      <c r="J256" s="1" t="s">
        <v>413</v>
      </c>
      <c r="K256" s="1" t="s">
        <v>157</v>
      </c>
      <c r="L256" s="19">
        <v>44097</v>
      </c>
      <c r="M256" s="19">
        <v>44134</v>
      </c>
      <c r="N256" s="27" t="s">
        <v>557</v>
      </c>
    </row>
    <row r="257" spans="1:14" x14ac:dyDescent="0.25">
      <c r="A257" s="38" t="str">
        <f>HYPERLINK("http://reports.ofsted.gov.uk/inspection-reports/find-inspection-report/provider/CARE/2541440","Ofsted Social Care Provider Webpage")</f>
        <v>Ofsted Social Care Provider Webpage</v>
      </c>
      <c r="B257" s="3">
        <v>2541440</v>
      </c>
      <c r="C257" s="1" t="s">
        <v>34</v>
      </c>
      <c r="D257" s="19">
        <v>43871</v>
      </c>
      <c r="E257" s="1" t="s">
        <v>154</v>
      </c>
      <c r="F257" s="1" t="s">
        <v>155</v>
      </c>
      <c r="G257" s="1" t="s">
        <v>128</v>
      </c>
      <c r="H257" s="1" t="s">
        <v>128</v>
      </c>
      <c r="I257" s="1" t="s">
        <v>134</v>
      </c>
      <c r="J257" s="1" t="s">
        <v>467</v>
      </c>
      <c r="K257" s="1" t="s">
        <v>157</v>
      </c>
      <c r="L257" s="19">
        <v>44097</v>
      </c>
      <c r="M257" s="19">
        <v>44140</v>
      </c>
      <c r="N257" s="27" t="s">
        <v>557</v>
      </c>
    </row>
    <row r="258" spans="1:14" x14ac:dyDescent="0.25">
      <c r="A258" s="38" t="str">
        <f>HYPERLINK("http://reports.ofsted.gov.uk/inspection-reports/find-inspection-report/provider/CARE/SC392492","Ofsted Social Care Provider Webpage")</f>
        <v>Ofsted Social Care Provider Webpage</v>
      </c>
      <c r="B258" s="3" t="s">
        <v>460</v>
      </c>
      <c r="C258" s="1" t="s">
        <v>34</v>
      </c>
      <c r="D258" s="19">
        <v>39927</v>
      </c>
      <c r="E258" s="1" t="s">
        <v>154</v>
      </c>
      <c r="F258" s="1" t="s">
        <v>155</v>
      </c>
      <c r="G258" s="1" t="s">
        <v>128</v>
      </c>
      <c r="H258" s="1" t="s">
        <v>128</v>
      </c>
      <c r="I258" s="1" t="s">
        <v>129</v>
      </c>
      <c r="J258" s="1" t="s">
        <v>307</v>
      </c>
      <c r="K258" s="1" t="s">
        <v>157</v>
      </c>
      <c r="L258" s="19">
        <v>44097</v>
      </c>
      <c r="M258" s="19">
        <v>44126</v>
      </c>
      <c r="N258" s="27" t="s">
        <v>557</v>
      </c>
    </row>
    <row r="259" spans="1:14" x14ac:dyDescent="0.25">
      <c r="A259" s="38" t="str">
        <f>HYPERLINK("http://reports.ofsted.gov.uk/inspection-reports/find-inspection-report/provider/CARE/SC033127","Ofsted Social Care Provider Webpage")</f>
        <v>Ofsted Social Care Provider Webpage</v>
      </c>
      <c r="B259" s="3" t="s">
        <v>617</v>
      </c>
      <c r="C259" s="1" t="s">
        <v>34</v>
      </c>
      <c r="D259" s="19">
        <v>38006</v>
      </c>
      <c r="E259" s="1" t="s">
        <v>154</v>
      </c>
      <c r="F259" s="1" t="s">
        <v>155</v>
      </c>
      <c r="G259" s="1" t="s">
        <v>64</v>
      </c>
      <c r="H259" s="1" t="s">
        <v>164</v>
      </c>
      <c r="I259" s="1" t="s">
        <v>77</v>
      </c>
      <c r="J259" s="1" t="s">
        <v>229</v>
      </c>
      <c r="K259" s="1" t="s">
        <v>172</v>
      </c>
      <c r="L259" s="19">
        <v>44097</v>
      </c>
      <c r="M259" s="19">
        <v>44147</v>
      </c>
      <c r="N259" s="27" t="s">
        <v>557</v>
      </c>
    </row>
    <row r="260" spans="1:14" x14ac:dyDescent="0.25">
      <c r="A260" s="38" t="str">
        <f>HYPERLINK("http://reports.ofsted.gov.uk/inspection-reports/find-inspection-report/provider/CARE/SC429778","Ofsted Social Care Provider Webpage")</f>
        <v>Ofsted Social Care Provider Webpage</v>
      </c>
      <c r="B260" s="3" t="s">
        <v>659</v>
      </c>
      <c r="C260" s="1" t="s">
        <v>34</v>
      </c>
      <c r="D260" s="19">
        <v>40770</v>
      </c>
      <c r="E260" s="1" t="s">
        <v>154</v>
      </c>
      <c r="F260" s="1" t="s">
        <v>155</v>
      </c>
      <c r="G260" s="1" t="s">
        <v>64</v>
      </c>
      <c r="H260" s="1" t="s">
        <v>213</v>
      </c>
      <c r="I260" s="1" t="s">
        <v>84</v>
      </c>
      <c r="J260" s="1" t="s">
        <v>260</v>
      </c>
      <c r="K260" s="1" t="s">
        <v>157</v>
      </c>
      <c r="L260" s="19">
        <v>44097</v>
      </c>
      <c r="M260" s="19">
        <v>44144</v>
      </c>
      <c r="N260" s="27" t="s">
        <v>557</v>
      </c>
    </row>
    <row r="261" spans="1:14" x14ac:dyDescent="0.25">
      <c r="A261" s="38" t="str">
        <f>HYPERLINK("http://reports.ofsted.gov.uk/inspection-reports/find-inspection-report/provider/CARE/2586067","Ofsted Social Care Provider Webpage")</f>
        <v>Ofsted Social Care Provider Webpage</v>
      </c>
      <c r="B261" s="3">
        <v>2586067</v>
      </c>
      <c r="C261" s="1" t="s">
        <v>34</v>
      </c>
      <c r="D261" s="19">
        <v>43941</v>
      </c>
      <c r="E261" s="1" t="s">
        <v>154</v>
      </c>
      <c r="F261" s="1" t="s">
        <v>155</v>
      </c>
      <c r="G261" s="1" t="s">
        <v>128</v>
      </c>
      <c r="H261" s="1" t="s">
        <v>128</v>
      </c>
      <c r="I261" s="1" t="s">
        <v>138</v>
      </c>
      <c r="J261" s="1" t="s">
        <v>463</v>
      </c>
      <c r="K261" s="1" t="s">
        <v>157</v>
      </c>
      <c r="L261" s="19">
        <v>44097</v>
      </c>
      <c r="M261" s="19">
        <v>44126</v>
      </c>
      <c r="N261" s="27" t="s">
        <v>557</v>
      </c>
    </row>
    <row r="262" spans="1:14" x14ac:dyDescent="0.25">
      <c r="A262" s="38" t="str">
        <f>HYPERLINK("http://reports.ofsted.gov.uk/inspection-reports/find-inspection-report/provider/CARE/1271213","Ofsted Social Care Provider Webpage")</f>
        <v>Ofsted Social Care Provider Webpage</v>
      </c>
      <c r="B262" s="3">
        <v>1271213</v>
      </c>
      <c r="C262" s="1" t="s">
        <v>34</v>
      </c>
      <c r="D262" s="19">
        <v>43238</v>
      </c>
      <c r="E262" s="1" t="s">
        <v>154</v>
      </c>
      <c r="F262" s="1" t="s">
        <v>155</v>
      </c>
      <c r="G262" s="1" t="s">
        <v>87</v>
      </c>
      <c r="H262" s="1" t="s">
        <v>87</v>
      </c>
      <c r="I262" s="1" t="s">
        <v>93</v>
      </c>
      <c r="J262" s="1" t="s">
        <v>408</v>
      </c>
      <c r="K262" s="1" t="s">
        <v>157</v>
      </c>
      <c r="L262" s="19">
        <v>44097</v>
      </c>
      <c r="M262" s="19">
        <v>44152</v>
      </c>
      <c r="N262" s="27" t="s">
        <v>559</v>
      </c>
    </row>
    <row r="263" spans="1:14" x14ac:dyDescent="0.25">
      <c r="A263" s="38" t="str">
        <f>HYPERLINK("http://reports.ofsted.gov.uk/inspection-reports/find-inspection-report/provider/CARE/1277449","Ofsted Social Care Provider Webpage")</f>
        <v>Ofsted Social Care Provider Webpage</v>
      </c>
      <c r="B263" s="3">
        <v>1277449</v>
      </c>
      <c r="C263" s="1" t="s">
        <v>34</v>
      </c>
      <c r="D263" s="19">
        <v>43397</v>
      </c>
      <c r="E263" s="1" t="s">
        <v>321</v>
      </c>
      <c r="F263" s="1" t="s">
        <v>155</v>
      </c>
      <c r="G263" s="1" t="s">
        <v>128</v>
      </c>
      <c r="H263" s="1" t="s">
        <v>128</v>
      </c>
      <c r="I263" s="1" t="s">
        <v>139</v>
      </c>
      <c r="J263" s="1" t="s">
        <v>640</v>
      </c>
      <c r="K263" s="1" t="s">
        <v>157</v>
      </c>
      <c r="L263" s="19">
        <v>44097</v>
      </c>
      <c r="M263" s="19">
        <v>44151</v>
      </c>
      <c r="N263" s="27" t="s">
        <v>559</v>
      </c>
    </row>
    <row r="264" spans="1:14" x14ac:dyDescent="0.25">
      <c r="A264" s="38" t="str">
        <f>HYPERLINK("http://reports.ofsted.gov.uk/inspection-reports/find-inspection-report/provider/CARE/SC478315","Ofsted Social Care Provider Webpage")</f>
        <v>Ofsted Social Care Provider Webpage</v>
      </c>
      <c r="B264" s="3" t="s">
        <v>1130</v>
      </c>
      <c r="C264" s="1" t="s">
        <v>34</v>
      </c>
      <c r="D264" s="19">
        <v>41799</v>
      </c>
      <c r="E264" s="1" t="s">
        <v>154</v>
      </c>
      <c r="F264" s="1" t="s">
        <v>155</v>
      </c>
      <c r="G264" s="1" t="s">
        <v>105</v>
      </c>
      <c r="H264" s="1" t="s">
        <v>105</v>
      </c>
      <c r="I264" s="1" t="s">
        <v>108</v>
      </c>
      <c r="J264" s="1" t="s">
        <v>638</v>
      </c>
      <c r="K264" s="1" t="s">
        <v>157</v>
      </c>
      <c r="L264" s="19">
        <v>44097</v>
      </c>
      <c r="M264" s="19">
        <v>44173</v>
      </c>
      <c r="N264" s="27" t="s">
        <v>559</v>
      </c>
    </row>
    <row r="265" spans="1:14" x14ac:dyDescent="0.25">
      <c r="A265" s="38" t="str">
        <f>HYPERLINK("http://reports.ofsted.gov.uk/inspection-reports/find-inspection-report/provider/CARE/SC064858","Ofsted Social Care Provider Webpage")</f>
        <v>Ofsted Social Care Provider Webpage</v>
      </c>
      <c r="B265" s="3" t="s">
        <v>459</v>
      </c>
      <c r="C265" s="1" t="s">
        <v>34</v>
      </c>
      <c r="D265" s="19">
        <v>38527</v>
      </c>
      <c r="E265" s="1" t="s">
        <v>154</v>
      </c>
      <c r="F265" s="1" t="s">
        <v>155</v>
      </c>
      <c r="G265" s="1" t="s">
        <v>87</v>
      </c>
      <c r="H265" s="1" t="s">
        <v>87</v>
      </c>
      <c r="I265" s="1" t="s">
        <v>98</v>
      </c>
      <c r="J265" s="1" t="s">
        <v>370</v>
      </c>
      <c r="K265" s="1" t="s">
        <v>172</v>
      </c>
      <c r="L265" s="19">
        <v>44097</v>
      </c>
      <c r="M265" s="19">
        <v>44132</v>
      </c>
      <c r="N265" s="27" t="s">
        <v>557</v>
      </c>
    </row>
    <row r="266" spans="1:14" x14ac:dyDescent="0.25">
      <c r="A266" s="38" t="str">
        <f>HYPERLINK("http://reports.ofsted.gov.uk/inspection-reports/find-inspection-report/provider/CARE/2490994","Ofsted Social Care Provider Webpage")</f>
        <v>Ofsted Social Care Provider Webpage</v>
      </c>
      <c r="B266" s="3">
        <v>2490994</v>
      </c>
      <c r="C266" s="1" t="s">
        <v>34</v>
      </c>
      <c r="D266" s="19">
        <v>43509</v>
      </c>
      <c r="E266" s="1" t="s">
        <v>154</v>
      </c>
      <c r="F266" s="1" t="s">
        <v>155</v>
      </c>
      <c r="G266" s="1" t="s">
        <v>39</v>
      </c>
      <c r="H266" s="1" t="s">
        <v>39</v>
      </c>
      <c r="I266" s="1" t="s">
        <v>46</v>
      </c>
      <c r="J266" s="1" t="s">
        <v>272</v>
      </c>
      <c r="K266" s="1" t="s">
        <v>157</v>
      </c>
      <c r="L266" s="19">
        <v>44097</v>
      </c>
      <c r="M266" s="19">
        <v>44146</v>
      </c>
      <c r="N266" s="27" t="s">
        <v>557</v>
      </c>
    </row>
    <row r="267" spans="1:14" x14ac:dyDescent="0.25">
      <c r="A267" s="38" t="str">
        <f>HYPERLINK("http://reports.ofsted.gov.uk/inspection-reports/find-inspection-report/provider/CARE/1240883","Ofsted Social Care Provider Webpage")</f>
        <v>Ofsted Social Care Provider Webpage</v>
      </c>
      <c r="B267" s="3">
        <v>1240883</v>
      </c>
      <c r="C267" s="1" t="s">
        <v>34</v>
      </c>
      <c r="D267" s="19">
        <v>42600</v>
      </c>
      <c r="E267" s="1" t="s">
        <v>154</v>
      </c>
      <c r="F267" s="1" t="s">
        <v>155</v>
      </c>
      <c r="G267" s="1" t="s">
        <v>87</v>
      </c>
      <c r="H267" s="1" t="s">
        <v>87</v>
      </c>
      <c r="I267" s="1" t="s">
        <v>93</v>
      </c>
      <c r="J267" s="1" t="s">
        <v>398</v>
      </c>
      <c r="K267" s="1" t="s">
        <v>157</v>
      </c>
      <c r="L267" s="19">
        <v>44097</v>
      </c>
      <c r="M267" s="19">
        <v>44139</v>
      </c>
      <c r="N267" s="27" t="s">
        <v>557</v>
      </c>
    </row>
    <row r="268" spans="1:14" x14ac:dyDescent="0.25">
      <c r="A268" s="38" t="str">
        <f>HYPERLINK("http://reports.ofsted.gov.uk/inspection-reports/find-inspection-report/provider/CARE/SC456347","Ofsted Social Care Provider Webpage")</f>
        <v>Ofsted Social Care Provider Webpage</v>
      </c>
      <c r="B268" s="3" t="s">
        <v>458</v>
      </c>
      <c r="C268" s="1" t="s">
        <v>34</v>
      </c>
      <c r="D268" s="19">
        <v>41332</v>
      </c>
      <c r="E268" s="1" t="s">
        <v>154</v>
      </c>
      <c r="F268" s="1" t="s">
        <v>155</v>
      </c>
      <c r="G268" s="1" t="s">
        <v>39</v>
      </c>
      <c r="H268" s="1" t="s">
        <v>39</v>
      </c>
      <c r="I268" s="1" t="s">
        <v>43</v>
      </c>
      <c r="J268" s="1" t="s">
        <v>300</v>
      </c>
      <c r="K268" s="1" t="s">
        <v>157</v>
      </c>
      <c r="L268" s="19">
        <v>44097</v>
      </c>
      <c r="M268" s="19">
        <v>44123</v>
      </c>
      <c r="N268" s="27" t="s">
        <v>557</v>
      </c>
    </row>
    <row r="269" spans="1:14" x14ac:dyDescent="0.25">
      <c r="A269" s="38" t="str">
        <f>HYPERLINK("http://reports.ofsted.gov.uk/inspection-reports/find-inspection-report/provider/CARE/SC409851","Ofsted Social Care Provider Webpage")</f>
        <v>Ofsted Social Care Provider Webpage</v>
      </c>
      <c r="B269" s="3" t="s">
        <v>464</v>
      </c>
      <c r="C269" s="1" t="s">
        <v>34</v>
      </c>
      <c r="D269" s="19">
        <v>40336</v>
      </c>
      <c r="E269" s="1" t="s">
        <v>154</v>
      </c>
      <c r="F269" s="1" t="s">
        <v>155</v>
      </c>
      <c r="G269" s="1" t="s">
        <v>57</v>
      </c>
      <c r="H269" s="1" t="s">
        <v>57</v>
      </c>
      <c r="I269" s="1" t="s">
        <v>60</v>
      </c>
      <c r="J269" s="1" t="s">
        <v>465</v>
      </c>
      <c r="K269" s="1" t="s">
        <v>157</v>
      </c>
      <c r="L269" s="19">
        <v>44097</v>
      </c>
      <c r="M269" s="19">
        <v>44127</v>
      </c>
      <c r="N269" s="27" t="s">
        <v>557</v>
      </c>
    </row>
    <row r="270" spans="1:14" x14ac:dyDescent="0.25">
      <c r="A270" s="38" t="str">
        <f>HYPERLINK("http://reports.ofsted.gov.uk/inspection-reports/find-inspection-report/provider/CARE/SC461450","Ofsted Social Care Provider Webpage")</f>
        <v>Ofsted Social Care Provider Webpage</v>
      </c>
      <c r="B270" s="3" t="s">
        <v>461</v>
      </c>
      <c r="C270" s="1" t="s">
        <v>34</v>
      </c>
      <c r="D270" s="19">
        <v>41411</v>
      </c>
      <c r="E270" s="1" t="s">
        <v>154</v>
      </c>
      <c r="F270" s="1" t="s">
        <v>155</v>
      </c>
      <c r="G270" s="1" t="s">
        <v>64</v>
      </c>
      <c r="H270" s="1" t="s">
        <v>164</v>
      </c>
      <c r="I270" s="1" t="s">
        <v>73</v>
      </c>
      <c r="J270" s="1" t="s">
        <v>462</v>
      </c>
      <c r="K270" s="1" t="s">
        <v>157</v>
      </c>
      <c r="L270" s="19">
        <v>44097</v>
      </c>
      <c r="M270" s="19">
        <v>44130</v>
      </c>
      <c r="N270" s="27" t="s">
        <v>557</v>
      </c>
    </row>
    <row r="271" spans="1:14" x14ac:dyDescent="0.25">
      <c r="A271" s="38" t="str">
        <f>HYPERLINK("http://reports.ofsted.gov.uk/inspection-reports/find-inspection-report/provider/CARE/SC012597","Ofsted Social Care Provider Webpage")</f>
        <v>Ofsted Social Care Provider Webpage</v>
      </c>
      <c r="B271" s="3" t="s">
        <v>1131</v>
      </c>
      <c r="C271" s="1" t="s">
        <v>35</v>
      </c>
      <c r="D271" s="19">
        <v>37301</v>
      </c>
      <c r="E271" s="1" t="s">
        <v>154</v>
      </c>
      <c r="F271" s="1" t="s">
        <v>1132</v>
      </c>
      <c r="G271" s="1" t="s">
        <v>105</v>
      </c>
      <c r="H271" s="1" t="s">
        <v>105</v>
      </c>
      <c r="I271" s="1" t="s">
        <v>700</v>
      </c>
      <c r="J271" s="1" t="s">
        <v>700</v>
      </c>
      <c r="K271" s="1" t="s">
        <v>168</v>
      </c>
      <c r="L271" s="19">
        <v>44098</v>
      </c>
      <c r="M271" s="19">
        <v>44151</v>
      </c>
      <c r="N271" s="27" t="s">
        <v>557</v>
      </c>
    </row>
    <row r="272" spans="1:14" x14ac:dyDescent="0.25">
      <c r="A272" s="38" t="str">
        <f>HYPERLINK("http://reports.ofsted.gov.uk/inspection-reports/find-inspection-report/provider/CARE/SC474782","Ofsted Social Care Provider Webpage")</f>
        <v>Ofsted Social Care Provider Webpage</v>
      </c>
      <c r="B272" s="3" t="s">
        <v>631</v>
      </c>
      <c r="C272" s="1" t="s">
        <v>34</v>
      </c>
      <c r="D272" s="19">
        <v>41675</v>
      </c>
      <c r="E272" s="1" t="s">
        <v>154</v>
      </c>
      <c r="F272" s="1" t="s">
        <v>155</v>
      </c>
      <c r="G272" s="1" t="s">
        <v>128</v>
      </c>
      <c r="H272" s="1" t="s">
        <v>128</v>
      </c>
      <c r="I272" s="1" t="s">
        <v>134</v>
      </c>
      <c r="J272" s="1" t="s">
        <v>632</v>
      </c>
      <c r="K272" s="1" t="s">
        <v>157</v>
      </c>
      <c r="L272" s="19">
        <v>44098</v>
      </c>
      <c r="M272" s="19">
        <v>44147</v>
      </c>
      <c r="N272" s="27" t="s">
        <v>557</v>
      </c>
    </row>
    <row r="273" spans="1:14" x14ac:dyDescent="0.25">
      <c r="A273" s="38" t="str">
        <f>HYPERLINK("http://reports.ofsted.gov.uk/inspection-reports/find-inspection-report/provider/CARE/SC386810","Ofsted Social Care Provider Webpage")</f>
        <v>Ofsted Social Care Provider Webpage</v>
      </c>
      <c r="B273" s="3" t="s">
        <v>470</v>
      </c>
      <c r="C273" s="1" t="s">
        <v>34</v>
      </c>
      <c r="D273" s="19">
        <v>39826</v>
      </c>
      <c r="E273" s="1" t="s">
        <v>154</v>
      </c>
      <c r="F273" s="1" t="s">
        <v>155</v>
      </c>
      <c r="G273" s="1" t="s">
        <v>87</v>
      </c>
      <c r="H273" s="1" t="s">
        <v>87</v>
      </c>
      <c r="I273" s="1" t="s">
        <v>99</v>
      </c>
      <c r="J273" s="1" t="s">
        <v>199</v>
      </c>
      <c r="K273" s="1" t="s">
        <v>157</v>
      </c>
      <c r="L273" s="19">
        <v>44098</v>
      </c>
      <c r="M273" s="19">
        <v>44134</v>
      </c>
      <c r="N273" s="27" t="s">
        <v>557</v>
      </c>
    </row>
    <row r="274" spans="1:14" x14ac:dyDescent="0.25">
      <c r="A274" s="38" t="str">
        <f>HYPERLINK("http://reports.ofsted.gov.uk/inspection-reports/find-inspection-report/provider/CARE/SC057718","Ofsted Social Care Provider Webpage")</f>
        <v>Ofsted Social Care Provider Webpage</v>
      </c>
      <c r="B274" s="3" t="s">
        <v>566</v>
      </c>
      <c r="C274" s="1" t="s">
        <v>34</v>
      </c>
      <c r="D274" s="19">
        <v>38152</v>
      </c>
      <c r="E274" s="1" t="s">
        <v>154</v>
      </c>
      <c r="F274" s="1" t="s">
        <v>155</v>
      </c>
      <c r="G274" s="1" t="s">
        <v>87</v>
      </c>
      <c r="H274" s="1" t="s">
        <v>87</v>
      </c>
      <c r="I274" s="1" t="s">
        <v>89</v>
      </c>
      <c r="J274" s="1" t="s">
        <v>567</v>
      </c>
      <c r="K274" s="1" t="s">
        <v>168</v>
      </c>
      <c r="L274" s="19">
        <v>44098</v>
      </c>
      <c r="M274" s="19">
        <v>44147</v>
      </c>
      <c r="N274" s="27" t="s">
        <v>557</v>
      </c>
    </row>
    <row r="275" spans="1:14" x14ac:dyDescent="0.25">
      <c r="A275" s="38" t="str">
        <f>HYPERLINK("http://reports.ofsted.gov.uk/inspection-reports/find-inspection-report/provider/CARE/SC003895","Ofsted Social Care Provider Webpage")</f>
        <v>Ofsted Social Care Provider Webpage</v>
      </c>
      <c r="B275" s="3" t="s">
        <v>634</v>
      </c>
      <c r="C275" s="1" t="s">
        <v>35</v>
      </c>
      <c r="D275" s="19">
        <v>37300</v>
      </c>
      <c r="E275" s="1" t="s">
        <v>154</v>
      </c>
      <c r="F275" s="1" t="s">
        <v>635</v>
      </c>
      <c r="G275" s="1" t="s">
        <v>114</v>
      </c>
      <c r="H275" s="1" t="s">
        <v>114</v>
      </c>
      <c r="I275" s="1" t="s">
        <v>118</v>
      </c>
      <c r="J275" s="1" t="s">
        <v>636</v>
      </c>
      <c r="K275" s="1" t="s">
        <v>172</v>
      </c>
      <c r="L275" s="19">
        <v>44098</v>
      </c>
      <c r="M275" s="19">
        <v>44144</v>
      </c>
      <c r="N275" s="27" t="s">
        <v>557</v>
      </c>
    </row>
    <row r="276" spans="1:14" x14ac:dyDescent="0.25">
      <c r="A276" s="38" t="str">
        <f>HYPERLINK("http://reports.ofsted.gov.uk/inspection-reports/find-inspection-report/provider/CARE/SC033014","Ofsted Social Care Provider Webpage")</f>
        <v>Ofsted Social Care Provider Webpage</v>
      </c>
      <c r="B276" s="3" t="s">
        <v>468</v>
      </c>
      <c r="C276" s="1" t="s">
        <v>35</v>
      </c>
      <c r="D276" s="19">
        <v>37447</v>
      </c>
      <c r="E276" s="1" t="s">
        <v>154</v>
      </c>
      <c r="F276" s="1" t="s">
        <v>469</v>
      </c>
      <c r="G276" s="1" t="s">
        <v>114</v>
      </c>
      <c r="H276" s="1" t="s">
        <v>114</v>
      </c>
      <c r="I276" s="1" t="s">
        <v>123</v>
      </c>
      <c r="J276" s="1" t="s">
        <v>298</v>
      </c>
      <c r="K276" s="1" t="s">
        <v>157</v>
      </c>
      <c r="L276" s="19">
        <v>44098</v>
      </c>
      <c r="M276" s="19">
        <v>44120</v>
      </c>
      <c r="N276" s="27" t="s">
        <v>557</v>
      </c>
    </row>
    <row r="277" spans="1:14" x14ac:dyDescent="0.25">
      <c r="A277" s="38" t="str">
        <f>HYPERLINK("http://reports.ofsted.gov.uk/inspection-reports/find-inspection-report/provider/CARE/2519260","Ofsted Social Care Provider Webpage")</f>
        <v>Ofsted Social Care Provider Webpage</v>
      </c>
      <c r="B277" s="3">
        <v>2519260</v>
      </c>
      <c r="C277" s="1" t="s">
        <v>34</v>
      </c>
      <c r="D277" s="19">
        <v>43600</v>
      </c>
      <c r="E277" s="1" t="s">
        <v>154</v>
      </c>
      <c r="F277" s="1" t="s">
        <v>155</v>
      </c>
      <c r="G277" s="1" t="s">
        <v>114</v>
      </c>
      <c r="H277" s="1" t="s">
        <v>114</v>
      </c>
      <c r="I277" s="1" t="s">
        <v>127</v>
      </c>
      <c r="J277" s="1" t="s">
        <v>477</v>
      </c>
      <c r="K277" s="1" t="s">
        <v>157</v>
      </c>
      <c r="L277" s="19">
        <v>44102</v>
      </c>
      <c r="M277" s="19">
        <v>44141</v>
      </c>
      <c r="N277" s="27" t="s">
        <v>557</v>
      </c>
    </row>
    <row r="278" spans="1:14" x14ac:dyDescent="0.25">
      <c r="A278" s="38" t="str">
        <f>HYPERLINK("http://reports.ofsted.gov.uk/inspection-reports/find-inspection-report/provider/CARE/SC419229","Ofsted Social Care Provider Webpage")</f>
        <v>Ofsted Social Care Provider Webpage</v>
      </c>
      <c r="B278" s="3" t="s">
        <v>474</v>
      </c>
      <c r="C278" s="1" t="s">
        <v>34</v>
      </c>
      <c r="D278" s="19">
        <v>40484</v>
      </c>
      <c r="E278" s="1" t="s">
        <v>154</v>
      </c>
      <c r="F278" s="1" t="s">
        <v>155</v>
      </c>
      <c r="G278" s="1" t="s">
        <v>128</v>
      </c>
      <c r="H278" s="1" t="s">
        <v>128</v>
      </c>
      <c r="I278" s="1" t="s">
        <v>129</v>
      </c>
      <c r="J278" s="1" t="s">
        <v>475</v>
      </c>
      <c r="K278" s="1" t="s">
        <v>157</v>
      </c>
      <c r="L278" s="19">
        <v>44102</v>
      </c>
      <c r="M278" s="19">
        <v>44127</v>
      </c>
      <c r="N278" s="27" t="s">
        <v>557</v>
      </c>
    </row>
    <row r="279" spans="1:14" x14ac:dyDescent="0.25">
      <c r="A279" s="38" t="str">
        <f>HYPERLINK("http://reports.ofsted.gov.uk/inspection-reports/find-inspection-report/provider/CARE/SC412476","Ofsted Social Care Provider Webpage")</f>
        <v>Ofsted Social Care Provider Webpage</v>
      </c>
      <c r="B279" s="3" t="s">
        <v>604</v>
      </c>
      <c r="C279" s="1" t="s">
        <v>34</v>
      </c>
      <c r="D279" s="19">
        <v>40424</v>
      </c>
      <c r="E279" s="1" t="s">
        <v>154</v>
      </c>
      <c r="F279" s="1" t="s">
        <v>155</v>
      </c>
      <c r="G279" s="1" t="s">
        <v>105</v>
      </c>
      <c r="H279" s="1" t="s">
        <v>105</v>
      </c>
      <c r="I279" s="1" t="s">
        <v>108</v>
      </c>
      <c r="J279" s="1" t="s">
        <v>289</v>
      </c>
      <c r="K279" s="1" t="s">
        <v>157</v>
      </c>
      <c r="L279" s="19">
        <v>44102</v>
      </c>
      <c r="M279" s="19">
        <v>44147</v>
      </c>
      <c r="N279" s="27" t="s">
        <v>557</v>
      </c>
    </row>
    <row r="280" spans="1:14" x14ac:dyDescent="0.25">
      <c r="A280" s="38" t="str">
        <f>HYPERLINK("http://reports.ofsted.gov.uk/inspection-reports/find-inspection-report/provider/CARE/2494881","Ofsted Social Care Provider Webpage")</f>
        <v>Ofsted Social Care Provider Webpage</v>
      </c>
      <c r="B280" s="3">
        <v>2494881</v>
      </c>
      <c r="C280" s="1" t="s">
        <v>34</v>
      </c>
      <c r="D280" s="19">
        <v>43476</v>
      </c>
      <c r="E280" s="1" t="s">
        <v>154</v>
      </c>
      <c r="F280" s="1" t="s">
        <v>155</v>
      </c>
      <c r="G280" s="1" t="s">
        <v>128</v>
      </c>
      <c r="H280" s="1" t="s">
        <v>128</v>
      </c>
      <c r="I280" s="1" t="s">
        <v>139</v>
      </c>
      <c r="J280" s="1" t="s">
        <v>476</v>
      </c>
      <c r="K280" s="1" t="s">
        <v>157</v>
      </c>
      <c r="L280" s="19">
        <v>44102</v>
      </c>
      <c r="M280" s="19">
        <v>44132</v>
      </c>
      <c r="N280" s="27" t="s">
        <v>559</v>
      </c>
    </row>
    <row r="281" spans="1:14" x14ac:dyDescent="0.25">
      <c r="A281" s="38" t="str">
        <f>HYPERLINK("http://reports.ofsted.gov.uk/inspection-reports/find-inspection-report/provider/CARE/SC461781","Ofsted Social Care Provider Webpage")</f>
        <v>Ofsted Social Care Provider Webpage</v>
      </c>
      <c r="B281" s="3" t="s">
        <v>560</v>
      </c>
      <c r="C281" s="1" t="s">
        <v>34</v>
      </c>
      <c r="D281" s="19">
        <v>41415</v>
      </c>
      <c r="E281" s="1" t="s">
        <v>154</v>
      </c>
      <c r="F281" s="1" t="s">
        <v>155</v>
      </c>
      <c r="G281" s="1" t="s">
        <v>105</v>
      </c>
      <c r="H281" s="1" t="s">
        <v>105</v>
      </c>
      <c r="I281" s="1" t="s">
        <v>108</v>
      </c>
      <c r="J281" s="1" t="s">
        <v>187</v>
      </c>
      <c r="K281" s="1" t="s">
        <v>157</v>
      </c>
      <c r="L281" s="19">
        <v>44102</v>
      </c>
      <c r="M281" s="19">
        <v>44144</v>
      </c>
      <c r="N281" s="27" t="s">
        <v>557</v>
      </c>
    </row>
    <row r="282" spans="1:14" x14ac:dyDescent="0.25">
      <c r="A282" s="38" t="str">
        <f>HYPERLINK("http://reports.ofsted.gov.uk/inspection-reports/find-inspection-report/provider/CARE/SC390156","Ofsted Social Care Provider Webpage")</f>
        <v>Ofsted Social Care Provider Webpage</v>
      </c>
      <c r="B282" s="3" t="s">
        <v>471</v>
      </c>
      <c r="C282" s="1" t="s">
        <v>34</v>
      </c>
      <c r="D282" s="19">
        <v>39994</v>
      </c>
      <c r="E282" s="1" t="s">
        <v>154</v>
      </c>
      <c r="F282" s="1" t="s">
        <v>155</v>
      </c>
      <c r="G282" s="1" t="s">
        <v>105</v>
      </c>
      <c r="H282" s="1" t="s">
        <v>105</v>
      </c>
      <c r="I282" s="1" t="s">
        <v>109</v>
      </c>
      <c r="J282" s="1" t="s">
        <v>472</v>
      </c>
      <c r="K282" s="1" t="s">
        <v>157</v>
      </c>
      <c r="L282" s="19">
        <v>44102</v>
      </c>
      <c r="M282" s="19">
        <v>44138</v>
      </c>
      <c r="N282" s="27" t="s">
        <v>557</v>
      </c>
    </row>
    <row r="283" spans="1:14" x14ac:dyDescent="0.25">
      <c r="A283" s="38" t="str">
        <f>HYPERLINK("http://reports.ofsted.gov.uk/inspection-reports/find-inspection-report/provider/CARE/2490729","Ofsted Social Care Provider Webpage")</f>
        <v>Ofsted Social Care Provider Webpage</v>
      </c>
      <c r="B283" s="3">
        <v>2490729</v>
      </c>
      <c r="C283" s="1" t="s">
        <v>34</v>
      </c>
      <c r="D283" s="19">
        <v>43627</v>
      </c>
      <c r="E283" s="1" t="s">
        <v>154</v>
      </c>
      <c r="F283" s="1" t="s">
        <v>155</v>
      </c>
      <c r="G283" s="1" t="s">
        <v>128</v>
      </c>
      <c r="H283" s="1" t="s">
        <v>128</v>
      </c>
      <c r="I283" s="1" t="s">
        <v>134</v>
      </c>
      <c r="J283" s="1" t="s">
        <v>228</v>
      </c>
      <c r="K283" s="1" t="s">
        <v>157</v>
      </c>
      <c r="L283" s="19">
        <v>44102</v>
      </c>
      <c r="M283" s="19">
        <v>44144</v>
      </c>
      <c r="N283" s="27" t="s">
        <v>557</v>
      </c>
    </row>
    <row r="284" spans="1:14" x14ac:dyDescent="0.25">
      <c r="A284" s="38" t="str">
        <f>HYPERLINK("http://reports.ofsted.gov.uk/inspection-reports/find-inspection-report/provider/CARE/SC430002","Ofsted Social Care Provider Webpage")</f>
        <v>Ofsted Social Care Provider Webpage</v>
      </c>
      <c r="B284" s="3" t="s">
        <v>584</v>
      </c>
      <c r="C284" s="1" t="s">
        <v>34</v>
      </c>
      <c r="D284" s="19">
        <v>40715</v>
      </c>
      <c r="E284" s="1" t="s">
        <v>154</v>
      </c>
      <c r="F284" s="1" t="s">
        <v>155</v>
      </c>
      <c r="G284" s="1" t="s">
        <v>64</v>
      </c>
      <c r="H284" s="1" t="s">
        <v>164</v>
      </c>
      <c r="I284" s="1" t="s">
        <v>79</v>
      </c>
      <c r="J284" s="1" t="s">
        <v>217</v>
      </c>
      <c r="K284" s="1" t="s">
        <v>157</v>
      </c>
      <c r="L284" s="19">
        <v>44102</v>
      </c>
      <c r="M284" s="19">
        <v>44147</v>
      </c>
      <c r="N284" s="27" t="s">
        <v>559</v>
      </c>
    </row>
    <row r="285" spans="1:14" x14ac:dyDescent="0.25">
      <c r="A285" s="38" t="str">
        <f>HYPERLINK("http://reports.ofsted.gov.uk/inspection-reports/find-inspection-report/provider/CARE/SC035500","Ofsted Social Care Provider Webpage")</f>
        <v>Ofsted Social Care Provider Webpage</v>
      </c>
      <c r="B285" s="3" t="s">
        <v>1175</v>
      </c>
      <c r="C285" s="1" t="s">
        <v>37</v>
      </c>
      <c r="D285" s="19">
        <v>37636</v>
      </c>
      <c r="E285" s="1" t="s">
        <v>154</v>
      </c>
      <c r="F285" s="1" t="s">
        <v>155</v>
      </c>
      <c r="G285" s="1" t="s">
        <v>114</v>
      </c>
      <c r="H285" s="1" t="s">
        <v>114</v>
      </c>
      <c r="I285" s="1" t="s">
        <v>124</v>
      </c>
      <c r="J285" s="1" t="s">
        <v>1176</v>
      </c>
      <c r="K285" s="1" t="s">
        <v>172</v>
      </c>
      <c r="L285" s="19">
        <v>44102</v>
      </c>
      <c r="M285" s="19">
        <v>44152</v>
      </c>
      <c r="N285" s="27" t="s">
        <v>557</v>
      </c>
    </row>
    <row r="286" spans="1:14" x14ac:dyDescent="0.25">
      <c r="A286" s="38" t="str">
        <f>HYPERLINK("http://reports.ofsted.gov.uk/inspection-reports/find-inspection-report/provider/CARE/SC456846","Ofsted Social Care Provider Webpage")</f>
        <v>Ofsted Social Care Provider Webpage</v>
      </c>
      <c r="B286" s="3" t="s">
        <v>473</v>
      </c>
      <c r="C286" s="1" t="s">
        <v>34</v>
      </c>
      <c r="D286" s="19">
        <v>41330</v>
      </c>
      <c r="E286" s="1" t="s">
        <v>154</v>
      </c>
      <c r="F286" s="1" t="s">
        <v>155</v>
      </c>
      <c r="G286" s="1" t="s">
        <v>48</v>
      </c>
      <c r="H286" s="1" t="s">
        <v>48</v>
      </c>
      <c r="I286" s="1" t="s">
        <v>49</v>
      </c>
      <c r="J286" s="1" t="s">
        <v>341</v>
      </c>
      <c r="K286" s="1" t="s">
        <v>157</v>
      </c>
      <c r="L286" s="19">
        <v>44102</v>
      </c>
      <c r="M286" s="19">
        <v>44120</v>
      </c>
      <c r="N286" s="27" t="s">
        <v>557</v>
      </c>
    </row>
    <row r="287" spans="1:14" x14ac:dyDescent="0.25">
      <c r="A287" s="38" t="str">
        <f>HYPERLINK("http://reports.ofsted.gov.uk/inspection-reports/find-inspection-report/provider/CARE/SC008268","Ofsted Social Care Provider Webpage")</f>
        <v>Ofsted Social Care Provider Webpage</v>
      </c>
      <c r="B287" s="3" t="s">
        <v>1177</v>
      </c>
      <c r="C287" s="1" t="s">
        <v>34</v>
      </c>
      <c r="D287" s="19">
        <v>36861</v>
      </c>
      <c r="E287" s="1" t="s">
        <v>154</v>
      </c>
      <c r="F287" s="1" t="s">
        <v>155</v>
      </c>
      <c r="G287" s="1" t="s">
        <v>128</v>
      </c>
      <c r="H287" s="1" t="s">
        <v>128</v>
      </c>
      <c r="I287" s="1" t="s">
        <v>135</v>
      </c>
      <c r="J287" s="1" t="s">
        <v>934</v>
      </c>
      <c r="K287" s="1" t="s">
        <v>157</v>
      </c>
      <c r="L287" s="19">
        <v>44102</v>
      </c>
      <c r="M287" s="19">
        <v>44151</v>
      </c>
      <c r="N287" s="27" t="s">
        <v>557</v>
      </c>
    </row>
    <row r="288" spans="1:14" x14ac:dyDescent="0.25">
      <c r="A288" s="38" t="str">
        <f>HYPERLINK("http://reports.ofsted.gov.uk/inspection-reports/find-inspection-report/provider/CARE/1257740","Ofsted Social Care Provider Webpage")</f>
        <v>Ofsted Social Care Provider Webpage</v>
      </c>
      <c r="B288" s="3">
        <v>1257740</v>
      </c>
      <c r="C288" s="1" t="s">
        <v>34</v>
      </c>
      <c r="D288" s="19">
        <v>42947</v>
      </c>
      <c r="E288" s="1" t="s">
        <v>154</v>
      </c>
      <c r="F288" s="1" t="s">
        <v>155</v>
      </c>
      <c r="G288" s="1" t="s">
        <v>128</v>
      </c>
      <c r="H288" s="1" t="s">
        <v>128</v>
      </c>
      <c r="I288" s="1" t="s">
        <v>134</v>
      </c>
      <c r="J288" s="1" t="s">
        <v>467</v>
      </c>
      <c r="K288" s="1" t="s">
        <v>157</v>
      </c>
      <c r="L288" s="19">
        <v>44102</v>
      </c>
      <c r="M288" s="19">
        <v>44148</v>
      </c>
      <c r="N288" s="27" t="s">
        <v>557</v>
      </c>
    </row>
    <row r="289" spans="1:14" x14ac:dyDescent="0.25">
      <c r="A289" s="38" t="str">
        <f>HYPERLINK("http://reports.ofsted.gov.uk/inspection-reports/find-inspection-report/provider/CARE/1257796","Ofsted Social Care Provider Webpage")</f>
        <v>Ofsted Social Care Provider Webpage</v>
      </c>
      <c r="B289" s="3">
        <v>1257796</v>
      </c>
      <c r="C289" s="1" t="s">
        <v>34</v>
      </c>
      <c r="D289" s="19">
        <v>42886</v>
      </c>
      <c r="E289" s="1" t="s">
        <v>154</v>
      </c>
      <c r="F289" s="1" t="s">
        <v>155</v>
      </c>
      <c r="G289" s="1" t="s">
        <v>48</v>
      </c>
      <c r="H289" s="1" t="s">
        <v>48</v>
      </c>
      <c r="I289" s="1" t="s">
        <v>49</v>
      </c>
      <c r="J289" s="1" t="s">
        <v>341</v>
      </c>
      <c r="K289" s="1" t="s">
        <v>157</v>
      </c>
      <c r="L289" s="19">
        <v>44102</v>
      </c>
      <c r="M289" s="19">
        <v>44123</v>
      </c>
      <c r="N289" s="27" t="s">
        <v>557</v>
      </c>
    </row>
    <row r="290" spans="1:14" x14ac:dyDescent="0.25">
      <c r="A290" s="38" t="str">
        <f>HYPERLINK("http://reports.ofsted.gov.uk/inspection-reports/find-inspection-report/provider/CARE/SC481209","Ofsted Social Care Provider Webpage")</f>
        <v>Ofsted Social Care Provider Webpage</v>
      </c>
      <c r="B290" s="3" t="s">
        <v>485</v>
      </c>
      <c r="C290" s="1" t="s">
        <v>34</v>
      </c>
      <c r="D290" s="19">
        <v>41955</v>
      </c>
      <c r="E290" s="1" t="s">
        <v>154</v>
      </c>
      <c r="F290" s="1" t="s">
        <v>155</v>
      </c>
      <c r="G290" s="1" t="s">
        <v>128</v>
      </c>
      <c r="H290" s="1" t="s">
        <v>128</v>
      </c>
      <c r="I290" s="1" t="s">
        <v>131</v>
      </c>
      <c r="J290" s="1" t="s">
        <v>486</v>
      </c>
      <c r="K290" s="1" t="s">
        <v>157</v>
      </c>
      <c r="L290" s="19">
        <v>44103</v>
      </c>
      <c r="M290" s="19">
        <v>44133</v>
      </c>
      <c r="N290" s="27" t="s">
        <v>557</v>
      </c>
    </row>
    <row r="291" spans="1:14" x14ac:dyDescent="0.25">
      <c r="A291" s="38" t="str">
        <f>HYPERLINK("http://reports.ofsted.gov.uk/inspection-reports/find-inspection-report/provider/CARE/2571902","Ofsted Social Care Provider Webpage")</f>
        <v>Ofsted Social Care Provider Webpage</v>
      </c>
      <c r="B291" s="3">
        <v>2571902</v>
      </c>
      <c r="C291" s="1" t="s">
        <v>34</v>
      </c>
      <c r="D291" s="19">
        <v>43914</v>
      </c>
      <c r="E291" s="1" t="s">
        <v>154</v>
      </c>
      <c r="F291" s="1" t="s">
        <v>155</v>
      </c>
      <c r="G291" s="1" t="s">
        <v>64</v>
      </c>
      <c r="H291" s="1" t="s">
        <v>213</v>
      </c>
      <c r="I291" s="1" t="s">
        <v>70</v>
      </c>
      <c r="J291" s="1" t="s">
        <v>269</v>
      </c>
      <c r="K291" s="1" t="s">
        <v>157</v>
      </c>
      <c r="L291" s="19">
        <v>44103</v>
      </c>
      <c r="M291" s="19">
        <v>44147</v>
      </c>
      <c r="N291" s="27" t="s">
        <v>557</v>
      </c>
    </row>
    <row r="292" spans="1:14" x14ac:dyDescent="0.25">
      <c r="A292" s="38" t="str">
        <f>HYPERLINK("http://reports.ofsted.gov.uk/inspection-reports/find-inspection-report/provider/CARE/SC037181","Ofsted Social Care Provider Webpage")</f>
        <v>Ofsted Social Care Provider Webpage</v>
      </c>
      <c r="B292" s="3" t="s">
        <v>569</v>
      </c>
      <c r="C292" s="1" t="s">
        <v>34</v>
      </c>
      <c r="D292" s="19">
        <v>37568</v>
      </c>
      <c r="E292" s="1" t="s">
        <v>154</v>
      </c>
      <c r="F292" s="1" t="s">
        <v>155</v>
      </c>
      <c r="G292" s="1" t="s">
        <v>87</v>
      </c>
      <c r="H292" s="1" t="s">
        <v>87</v>
      </c>
      <c r="I292" s="1" t="s">
        <v>570</v>
      </c>
      <c r="J292" s="1" t="s">
        <v>571</v>
      </c>
      <c r="K292" s="1" t="s">
        <v>157</v>
      </c>
      <c r="L292" s="19">
        <v>44103</v>
      </c>
      <c r="M292" s="19">
        <v>44147</v>
      </c>
      <c r="N292" s="27" t="s">
        <v>557</v>
      </c>
    </row>
    <row r="293" spans="1:14" x14ac:dyDescent="0.25">
      <c r="A293" s="38" t="str">
        <f>HYPERLINK("http://reports.ofsted.gov.uk/inspection-reports/find-inspection-report/provider/CARE/SC456850","Ofsted Social Care Provider Webpage")</f>
        <v>Ofsted Social Care Provider Webpage</v>
      </c>
      <c r="B293" s="3" t="s">
        <v>495</v>
      </c>
      <c r="C293" s="1" t="s">
        <v>34</v>
      </c>
      <c r="D293" s="19">
        <v>41320</v>
      </c>
      <c r="E293" s="1" t="s">
        <v>154</v>
      </c>
      <c r="F293" s="1" t="s">
        <v>155</v>
      </c>
      <c r="G293" s="1" t="s">
        <v>87</v>
      </c>
      <c r="H293" s="1" t="s">
        <v>87</v>
      </c>
      <c r="I293" s="1" t="s">
        <v>97</v>
      </c>
      <c r="J293" s="1" t="s">
        <v>97</v>
      </c>
      <c r="K293" s="1" t="s">
        <v>157</v>
      </c>
      <c r="L293" s="19">
        <v>44103</v>
      </c>
      <c r="M293" s="19">
        <v>44130</v>
      </c>
      <c r="N293" s="27" t="s">
        <v>557</v>
      </c>
    </row>
    <row r="294" spans="1:14" x14ac:dyDescent="0.25">
      <c r="A294" s="38" t="str">
        <f>HYPERLINK("http://reports.ofsted.gov.uk/inspection-reports/find-inspection-report/provider/CARE/SC467115","Ofsted Social Care Provider Webpage")</f>
        <v>Ofsted Social Care Provider Webpage</v>
      </c>
      <c r="B294" s="3" t="s">
        <v>478</v>
      </c>
      <c r="C294" s="1" t="s">
        <v>34</v>
      </c>
      <c r="D294" s="19">
        <v>41513</v>
      </c>
      <c r="E294" s="1" t="s">
        <v>154</v>
      </c>
      <c r="F294" s="1" t="s">
        <v>155</v>
      </c>
      <c r="G294" s="1" t="s">
        <v>114</v>
      </c>
      <c r="H294" s="1" t="s">
        <v>114</v>
      </c>
      <c r="I294" s="1" t="s">
        <v>123</v>
      </c>
      <c r="J294" s="1" t="s">
        <v>201</v>
      </c>
      <c r="K294" s="1" t="s">
        <v>157</v>
      </c>
      <c r="L294" s="19">
        <v>44103</v>
      </c>
      <c r="M294" s="19">
        <v>44133</v>
      </c>
      <c r="N294" s="27" t="s">
        <v>557</v>
      </c>
    </row>
    <row r="295" spans="1:14" x14ac:dyDescent="0.25">
      <c r="A295" s="38" t="str">
        <f>HYPERLINK("http://reports.ofsted.gov.uk/inspection-reports/find-inspection-report/provider/CARE/SC476289","Ofsted Social Care Provider Webpage")</f>
        <v>Ofsted Social Care Provider Webpage</v>
      </c>
      <c r="B295" s="3" t="s">
        <v>483</v>
      </c>
      <c r="C295" s="1" t="s">
        <v>34</v>
      </c>
      <c r="D295" s="19">
        <v>42019</v>
      </c>
      <c r="E295" s="1" t="s">
        <v>154</v>
      </c>
      <c r="F295" s="1" t="s">
        <v>155</v>
      </c>
      <c r="G295" s="1" t="s">
        <v>39</v>
      </c>
      <c r="H295" s="1" t="s">
        <v>39</v>
      </c>
      <c r="I295" s="1" t="s">
        <v>41</v>
      </c>
      <c r="J295" s="1" t="s">
        <v>484</v>
      </c>
      <c r="K295" s="1" t="s">
        <v>157</v>
      </c>
      <c r="L295" s="19">
        <v>44103</v>
      </c>
      <c r="M295" s="19">
        <v>44132</v>
      </c>
      <c r="N295" s="27" t="s">
        <v>557</v>
      </c>
    </row>
    <row r="296" spans="1:14" x14ac:dyDescent="0.25">
      <c r="A296" s="38" t="str">
        <f>HYPERLINK("http://reports.ofsted.gov.uk/inspection-reports/find-inspection-report/provider/CARE/2495375","Ofsted Social Care Provider Webpage")</f>
        <v>Ofsted Social Care Provider Webpage</v>
      </c>
      <c r="B296" s="3">
        <v>2495375</v>
      </c>
      <c r="C296" s="1" t="s">
        <v>34</v>
      </c>
      <c r="D296" s="19">
        <v>43423</v>
      </c>
      <c r="E296" s="1" t="s">
        <v>154</v>
      </c>
      <c r="F296" s="1" t="s">
        <v>155</v>
      </c>
      <c r="G296" s="1" t="s">
        <v>57</v>
      </c>
      <c r="H296" s="1" t="s">
        <v>57</v>
      </c>
      <c r="I296" s="1" t="s">
        <v>63</v>
      </c>
      <c r="J296" s="1" t="s">
        <v>479</v>
      </c>
      <c r="K296" s="1" t="s">
        <v>168</v>
      </c>
      <c r="L296" s="19">
        <v>44103</v>
      </c>
      <c r="M296" s="19">
        <v>44134</v>
      </c>
      <c r="N296" s="27" t="s">
        <v>557</v>
      </c>
    </row>
    <row r="297" spans="1:14" x14ac:dyDescent="0.25">
      <c r="A297" s="38" t="str">
        <f>HYPERLINK("http://reports.ofsted.gov.uk/inspection-reports/find-inspection-report/provider/CARE/SC439282","Ofsted Social Care Provider Webpage")</f>
        <v>Ofsted Social Care Provider Webpage</v>
      </c>
      <c r="B297" s="3" t="s">
        <v>1191</v>
      </c>
      <c r="C297" s="1" t="s">
        <v>34</v>
      </c>
      <c r="D297" s="19">
        <v>40959</v>
      </c>
      <c r="E297" s="1" t="s">
        <v>154</v>
      </c>
      <c r="F297" s="1" t="s">
        <v>155</v>
      </c>
      <c r="G297" s="1" t="s">
        <v>105</v>
      </c>
      <c r="H297" s="1" t="s">
        <v>105</v>
      </c>
      <c r="I297" s="1" t="s">
        <v>109</v>
      </c>
      <c r="J297" s="1" t="s">
        <v>1192</v>
      </c>
      <c r="K297" s="1" t="s">
        <v>172</v>
      </c>
      <c r="L297" s="19">
        <v>44103</v>
      </c>
      <c r="M297" s="19">
        <v>44160</v>
      </c>
      <c r="N297" s="27" t="s">
        <v>557</v>
      </c>
    </row>
    <row r="298" spans="1:14" x14ac:dyDescent="0.25">
      <c r="A298" s="38" t="str">
        <f>HYPERLINK("http://reports.ofsted.gov.uk/inspection-reports/find-inspection-report/provider/CARE/SC391708","Ofsted Social Care Provider Webpage")</f>
        <v>Ofsted Social Care Provider Webpage</v>
      </c>
      <c r="B298" s="3" t="s">
        <v>492</v>
      </c>
      <c r="C298" s="1" t="s">
        <v>34</v>
      </c>
      <c r="D298" s="19">
        <v>39932</v>
      </c>
      <c r="E298" s="1" t="s">
        <v>154</v>
      </c>
      <c r="F298" s="1" t="s">
        <v>155</v>
      </c>
      <c r="G298" s="1" t="s">
        <v>114</v>
      </c>
      <c r="H298" s="1" t="s">
        <v>114</v>
      </c>
      <c r="I298" s="1" t="s">
        <v>115</v>
      </c>
      <c r="J298" s="1" t="s">
        <v>493</v>
      </c>
      <c r="K298" s="1" t="s">
        <v>157</v>
      </c>
      <c r="L298" s="19">
        <v>44103</v>
      </c>
      <c r="M298" s="19">
        <v>44138</v>
      </c>
      <c r="N298" s="27" t="s">
        <v>557</v>
      </c>
    </row>
    <row r="299" spans="1:14" x14ac:dyDescent="0.25">
      <c r="A299" s="38" t="str">
        <f>HYPERLINK("http://reports.ofsted.gov.uk/inspection-reports/find-inspection-report/provider/CARE/SC398391","Ofsted Social Care Provider Webpage")</f>
        <v>Ofsted Social Care Provider Webpage</v>
      </c>
      <c r="B299" s="3" t="s">
        <v>480</v>
      </c>
      <c r="C299" s="1" t="s">
        <v>34</v>
      </c>
      <c r="D299" s="19">
        <v>40015</v>
      </c>
      <c r="E299" s="1" t="s">
        <v>154</v>
      </c>
      <c r="F299" s="1" t="s">
        <v>155</v>
      </c>
      <c r="G299" s="1" t="s">
        <v>128</v>
      </c>
      <c r="H299" s="1" t="s">
        <v>128</v>
      </c>
      <c r="I299" s="1" t="s">
        <v>133</v>
      </c>
      <c r="J299" s="1" t="s">
        <v>354</v>
      </c>
      <c r="K299" s="1" t="s">
        <v>157</v>
      </c>
      <c r="L299" s="19">
        <v>44103</v>
      </c>
      <c r="M299" s="19">
        <v>44131</v>
      </c>
      <c r="N299" s="27" t="s">
        <v>557</v>
      </c>
    </row>
    <row r="300" spans="1:14" x14ac:dyDescent="0.25">
      <c r="A300" s="38" t="str">
        <f>HYPERLINK("http://reports.ofsted.gov.uk/inspection-reports/find-inspection-report/provider/CARE/SC440309","Ofsted Social Care Provider Webpage")</f>
        <v>Ofsted Social Care Provider Webpage</v>
      </c>
      <c r="B300" s="3" t="s">
        <v>487</v>
      </c>
      <c r="C300" s="1" t="s">
        <v>34</v>
      </c>
      <c r="D300" s="19">
        <v>40912</v>
      </c>
      <c r="E300" s="1" t="s">
        <v>154</v>
      </c>
      <c r="F300" s="1" t="s">
        <v>155</v>
      </c>
      <c r="G300" s="1" t="s">
        <v>87</v>
      </c>
      <c r="H300" s="1" t="s">
        <v>87</v>
      </c>
      <c r="I300" s="1" t="s">
        <v>93</v>
      </c>
      <c r="J300" s="1" t="s">
        <v>488</v>
      </c>
      <c r="K300" s="1" t="s">
        <v>172</v>
      </c>
      <c r="L300" s="19">
        <v>44103</v>
      </c>
      <c r="M300" s="19">
        <v>44139</v>
      </c>
      <c r="N300" s="27" t="s">
        <v>557</v>
      </c>
    </row>
    <row r="301" spans="1:14" x14ac:dyDescent="0.25">
      <c r="A301" s="38" t="str">
        <f>HYPERLINK("http://reports.ofsted.gov.uk/inspection-reports/find-inspection-report/provider/CARE/SC035241","Ofsted Social Care Provider Webpage")</f>
        <v>Ofsted Social Care Provider Webpage</v>
      </c>
      <c r="B301" s="3" t="s">
        <v>481</v>
      </c>
      <c r="C301" t="s">
        <v>36</v>
      </c>
      <c r="D301" s="19">
        <v>37785</v>
      </c>
      <c r="E301" t="s">
        <v>154</v>
      </c>
      <c r="F301" t="s">
        <v>155</v>
      </c>
      <c r="G301" t="s">
        <v>64</v>
      </c>
      <c r="H301" t="s">
        <v>164</v>
      </c>
      <c r="I301" t="s">
        <v>69</v>
      </c>
      <c r="J301" t="s">
        <v>482</v>
      </c>
      <c r="K301" t="s">
        <v>157</v>
      </c>
      <c r="L301" s="19">
        <v>44103</v>
      </c>
      <c r="M301" s="19">
        <v>44141</v>
      </c>
      <c r="N301" s="27" t="s">
        <v>557</v>
      </c>
    </row>
    <row r="302" spans="1:14" x14ac:dyDescent="0.25">
      <c r="A302" s="38" t="str">
        <f>HYPERLINK("http://reports.ofsted.gov.uk/inspection-reports/find-inspection-report/provider/CARE/1241970","Ofsted Social Care Provider Webpage")</f>
        <v>Ofsted Social Care Provider Webpage</v>
      </c>
      <c r="B302" s="3">
        <v>1241970</v>
      </c>
      <c r="C302" t="s">
        <v>34</v>
      </c>
      <c r="D302" s="19">
        <v>42744</v>
      </c>
      <c r="E302" t="s">
        <v>154</v>
      </c>
      <c r="F302" t="s">
        <v>155</v>
      </c>
      <c r="G302" t="s">
        <v>87</v>
      </c>
      <c r="H302" t="s">
        <v>87</v>
      </c>
      <c r="I302" t="s">
        <v>92</v>
      </c>
      <c r="J302" t="s">
        <v>262</v>
      </c>
      <c r="K302" t="s">
        <v>157</v>
      </c>
      <c r="L302" s="19">
        <v>44103</v>
      </c>
      <c r="M302" s="19">
        <v>44152</v>
      </c>
      <c r="N302" s="27" t="s">
        <v>557</v>
      </c>
    </row>
    <row r="303" spans="1:14" x14ac:dyDescent="0.25">
      <c r="A303" s="38" t="str">
        <f>HYPERLINK("http://reports.ofsted.gov.uk/inspection-reports/find-inspection-report/provider/CARE/SC467155","Ofsted Social Care Provider Webpage")</f>
        <v>Ofsted Social Care Provider Webpage</v>
      </c>
      <c r="B303" s="3" t="s">
        <v>649</v>
      </c>
      <c r="C303" t="s">
        <v>34</v>
      </c>
      <c r="D303" s="19">
        <v>41646</v>
      </c>
      <c r="E303" t="s">
        <v>154</v>
      </c>
      <c r="F303" t="s">
        <v>155</v>
      </c>
      <c r="G303" t="s">
        <v>105</v>
      </c>
      <c r="H303" t="s">
        <v>105</v>
      </c>
      <c r="I303" t="s">
        <v>108</v>
      </c>
      <c r="J303" t="s">
        <v>206</v>
      </c>
      <c r="K303" t="s">
        <v>157</v>
      </c>
      <c r="L303" s="19">
        <v>44103</v>
      </c>
      <c r="M303" s="19">
        <v>44145</v>
      </c>
      <c r="N303" s="27" t="s">
        <v>557</v>
      </c>
    </row>
    <row r="304" spans="1:14" x14ac:dyDescent="0.25">
      <c r="A304" s="38" t="str">
        <f>HYPERLINK("http://reports.ofsted.gov.uk/inspection-reports/find-inspection-report/provider/CARE/SC404994","Ofsted Social Care Provider Webpage")</f>
        <v>Ofsted Social Care Provider Webpage</v>
      </c>
      <c r="B304" s="3" t="s">
        <v>491</v>
      </c>
      <c r="C304" t="s">
        <v>34</v>
      </c>
      <c r="D304" s="19">
        <v>40396</v>
      </c>
      <c r="E304" t="s">
        <v>154</v>
      </c>
      <c r="F304" t="s">
        <v>155</v>
      </c>
      <c r="G304" t="s">
        <v>128</v>
      </c>
      <c r="H304" t="s">
        <v>128</v>
      </c>
      <c r="I304" t="s">
        <v>132</v>
      </c>
      <c r="J304" t="s">
        <v>430</v>
      </c>
      <c r="K304" t="s">
        <v>168</v>
      </c>
      <c r="L304" s="19">
        <v>44103</v>
      </c>
      <c r="M304" s="19">
        <v>44138</v>
      </c>
      <c r="N304" s="27" t="s">
        <v>559</v>
      </c>
    </row>
    <row r="305" spans="1:14" x14ac:dyDescent="0.25">
      <c r="A305" s="38" t="str">
        <f>HYPERLINK("http://reports.ofsted.gov.uk/inspection-reports/find-inspection-report/provider/CARE/SC065684","Ofsted Social Care Provider Webpage")</f>
        <v>Ofsted Social Care Provider Webpage</v>
      </c>
      <c r="B305" s="3" t="s">
        <v>1193</v>
      </c>
      <c r="C305" t="s">
        <v>34</v>
      </c>
      <c r="D305" s="19">
        <v>38700</v>
      </c>
      <c r="E305" t="s">
        <v>154</v>
      </c>
      <c r="F305" t="s">
        <v>155</v>
      </c>
      <c r="G305" t="s">
        <v>105</v>
      </c>
      <c r="H305" t="s">
        <v>105</v>
      </c>
      <c r="I305" t="s">
        <v>109</v>
      </c>
      <c r="J305" t="s">
        <v>1067</v>
      </c>
      <c r="K305" t="s">
        <v>157</v>
      </c>
      <c r="L305" s="19">
        <v>44103</v>
      </c>
      <c r="M305" s="19">
        <v>44154</v>
      </c>
      <c r="N305" s="27" t="s">
        <v>557</v>
      </c>
    </row>
    <row r="306" spans="1:14" x14ac:dyDescent="0.25">
      <c r="A306" s="38" t="str">
        <f>HYPERLINK("http://reports.ofsted.gov.uk/inspection-reports/find-inspection-report/provider/CARE/SC066651","Ofsted Social Care Provider Webpage")</f>
        <v>Ofsted Social Care Provider Webpage</v>
      </c>
      <c r="B306" s="3" t="s">
        <v>607</v>
      </c>
      <c r="C306" t="s">
        <v>34</v>
      </c>
      <c r="D306" s="19">
        <v>38806</v>
      </c>
      <c r="E306" t="s">
        <v>154</v>
      </c>
      <c r="F306" t="s">
        <v>155</v>
      </c>
      <c r="G306" t="s">
        <v>64</v>
      </c>
      <c r="H306" t="s">
        <v>164</v>
      </c>
      <c r="I306" t="s">
        <v>83</v>
      </c>
      <c r="J306" t="s">
        <v>419</v>
      </c>
      <c r="K306" t="s">
        <v>172</v>
      </c>
      <c r="L306" s="19">
        <v>44103</v>
      </c>
      <c r="M306" s="19">
        <v>44147</v>
      </c>
      <c r="N306" s="27" t="s">
        <v>557</v>
      </c>
    </row>
    <row r="307" spans="1:14" x14ac:dyDescent="0.25">
      <c r="A307" s="38" t="str">
        <f>HYPERLINK("http://reports.ofsted.gov.uk/inspection-reports/find-inspection-report/provider/CARE/SC033387","Ofsted Social Care Provider Webpage")</f>
        <v>Ofsted Social Care Provider Webpage</v>
      </c>
      <c r="B307" s="3" t="s">
        <v>489</v>
      </c>
      <c r="C307" t="s">
        <v>34</v>
      </c>
      <c r="D307" s="19">
        <v>37895</v>
      </c>
      <c r="E307" t="s">
        <v>154</v>
      </c>
      <c r="F307" t="s">
        <v>155</v>
      </c>
      <c r="G307" t="s">
        <v>64</v>
      </c>
      <c r="H307" t="s">
        <v>164</v>
      </c>
      <c r="I307" t="s">
        <v>73</v>
      </c>
      <c r="J307" t="s">
        <v>435</v>
      </c>
      <c r="K307" t="s">
        <v>172</v>
      </c>
      <c r="L307" s="19">
        <v>44103</v>
      </c>
      <c r="M307" s="19">
        <v>44139</v>
      </c>
      <c r="N307" s="27" t="s">
        <v>557</v>
      </c>
    </row>
    <row r="308" spans="1:14" x14ac:dyDescent="0.25">
      <c r="A308" s="38" t="str">
        <f>HYPERLINK("http://reports.ofsted.gov.uk/inspection-reports/find-inspection-report/provider/CARE/1271383","Ofsted Social Care Provider Webpage")</f>
        <v>Ofsted Social Care Provider Webpage</v>
      </c>
      <c r="B308" s="3">
        <v>1271383</v>
      </c>
      <c r="C308" t="s">
        <v>34</v>
      </c>
      <c r="D308" s="19">
        <v>43220</v>
      </c>
      <c r="E308" t="s">
        <v>154</v>
      </c>
      <c r="F308" t="s">
        <v>155</v>
      </c>
      <c r="G308" t="s">
        <v>39</v>
      </c>
      <c r="H308" t="s">
        <v>39</v>
      </c>
      <c r="I308" t="s">
        <v>45</v>
      </c>
      <c r="J308" t="s">
        <v>490</v>
      </c>
      <c r="K308" t="s">
        <v>157</v>
      </c>
      <c r="L308" s="19">
        <v>44103</v>
      </c>
      <c r="M308" s="19">
        <v>44132</v>
      </c>
      <c r="N308" s="27" t="s">
        <v>557</v>
      </c>
    </row>
    <row r="309" spans="1:14" x14ac:dyDescent="0.25">
      <c r="A309" s="38" t="str">
        <f>HYPERLINK("http://reports.ofsted.gov.uk/inspection-reports/find-inspection-report/provider/CARE/SC063767","Ofsted Social Care Provider Webpage")</f>
        <v>Ofsted Social Care Provider Webpage</v>
      </c>
      <c r="B309" s="3" t="s">
        <v>494</v>
      </c>
      <c r="C309" t="s">
        <v>34</v>
      </c>
      <c r="D309" s="19">
        <v>38525</v>
      </c>
      <c r="E309" t="s">
        <v>154</v>
      </c>
      <c r="F309" t="s">
        <v>155</v>
      </c>
      <c r="G309" t="s">
        <v>105</v>
      </c>
      <c r="H309" t="s">
        <v>105</v>
      </c>
      <c r="I309" t="s">
        <v>108</v>
      </c>
      <c r="J309" t="s">
        <v>187</v>
      </c>
      <c r="K309" t="s">
        <v>157</v>
      </c>
      <c r="L309" s="19">
        <v>44103</v>
      </c>
      <c r="M309" s="19">
        <v>44131</v>
      </c>
      <c r="N309" s="27" t="s">
        <v>557</v>
      </c>
    </row>
    <row r="310" spans="1:14" x14ac:dyDescent="0.25">
      <c r="A310" s="38" t="str">
        <f>HYPERLINK("http://reports.ofsted.gov.uk/inspection-reports/find-inspection-report/provider/CARE/2546960","Ofsted Social Care Provider Webpage")</f>
        <v>Ofsted Social Care Provider Webpage</v>
      </c>
      <c r="B310" s="3">
        <v>2546960</v>
      </c>
      <c r="C310" t="s">
        <v>34</v>
      </c>
      <c r="D310" s="19">
        <v>43691</v>
      </c>
      <c r="E310" t="s">
        <v>154</v>
      </c>
      <c r="F310" t="s">
        <v>155</v>
      </c>
      <c r="G310" t="s">
        <v>114</v>
      </c>
      <c r="H310" t="s">
        <v>114</v>
      </c>
      <c r="I310" t="s">
        <v>118</v>
      </c>
      <c r="J310" t="s">
        <v>427</v>
      </c>
      <c r="K310" t="s">
        <v>157</v>
      </c>
      <c r="L310" s="19">
        <v>44103</v>
      </c>
      <c r="M310" s="19">
        <v>44152</v>
      </c>
      <c r="N310" s="27" t="s">
        <v>557</v>
      </c>
    </row>
    <row r="311" spans="1:14" x14ac:dyDescent="0.25">
      <c r="A311" s="38" t="str">
        <f>HYPERLINK("http://reports.ofsted.gov.uk/inspection-reports/find-inspection-report/provider/CARE/2548528","Ofsted Social Care Provider Webpage")</f>
        <v>Ofsted Social Care Provider Webpage</v>
      </c>
      <c r="B311" s="3">
        <v>2548528</v>
      </c>
      <c r="C311" t="s">
        <v>34</v>
      </c>
      <c r="D311" s="19">
        <v>43689</v>
      </c>
      <c r="E311" t="s">
        <v>154</v>
      </c>
      <c r="F311" t="s">
        <v>155</v>
      </c>
      <c r="G311" t="s">
        <v>87</v>
      </c>
      <c r="H311" t="s">
        <v>87</v>
      </c>
      <c r="I311" t="s">
        <v>97</v>
      </c>
      <c r="J311" t="s">
        <v>97</v>
      </c>
      <c r="K311" t="s">
        <v>157</v>
      </c>
      <c r="L311" s="19">
        <v>44103</v>
      </c>
      <c r="M311" s="19">
        <v>44137</v>
      </c>
      <c r="N311" s="27" t="s">
        <v>557</v>
      </c>
    </row>
    <row r="312" spans="1:14" x14ac:dyDescent="0.25">
      <c r="A312" s="38" t="str">
        <f>HYPERLINK("http://reports.ofsted.gov.uk/inspection-reports/find-inspection-report/provider/CARE/2530801","Ofsted Social Care Provider Webpage")</f>
        <v>Ofsted Social Care Provider Webpage</v>
      </c>
      <c r="B312" s="3">
        <v>2530801</v>
      </c>
      <c r="C312" t="s">
        <v>34</v>
      </c>
      <c r="D312" s="19">
        <v>43641</v>
      </c>
      <c r="E312" t="s">
        <v>154</v>
      </c>
      <c r="F312" t="s">
        <v>155</v>
      </c>
      <c r="G312" t="s">
        <v>114</v>
      </c>
      <c r="H312" t="s">
        <v>114</v>
      </c>
      <c r="I312" t="s">
        <v>123</v>
      </c>
      <c r="J312" t="s">
        <v>201</v>
      </c>
      <c r="K312" t="s">
        <v>157</v>
      </c>
      <c r="L312" s="19">
        <v>44103</v>
      </c>
      <c r="M312" s="19">
        <v>44141</v>
      </c>
      <c r="N312" s="27" t="s">
        <v>557</v>
      </c>
    </row>
    <row r="313" spans="1:14" x14ac:dyDescent="0.25">
      <c r="A313" s="38" t="str">
        <f>HYPERLINK("http://reports.ofsted.gov.uk/inspection-reports/find-inspection-report/provider/CARE/SC014513","Ofsted Social Care Provider Webpage")</f>
        <v>Ofsted Social Care Provider Webpage</v>
      </c>
      <c r="B313" s="3" t="s">
        <v>590</v>
      </c>
      <c r="C313" t="s">
        <v>35</v>
      </c>
      <c r="D313" s="19">
        <v>37301</v>
      </c>
      <c r="E313" t="s">
        <v>154</v>
      </c>
      <c r="F313" t="s">
        <v>591</v>
      </c>
      <c r="G313" t="s">
        <v>105</v>
      </c>
      <c r="H313" t="s">
        <v>105</v>
      </c>
      <c r="I313" t="s">
        <v>113</v>
      </c>
      <c r="J313" t="s">
        <v>360</v>
      </c>
      <c r="K313" t="s">
        <v>168</v>
      </c>
      <c r="L313" s="19">
        <v>44103</v>
      </c>
      <c r="M313" s="19">
        <v>44146</v>
      </c>
      <c r="N313" s="27" t="s">
        <v>557</v>
      </c>
    </row>
    <row r="314" spans="1:14" x14ac:dyDescent="0.25">
      <c r="A314" s="38" t="str">
        <f>HYPERLINK("http://reports.ofsted.gov.uk/inspection-reports/find-inspection-report/provider/CARE/SC039248","Ofsted Social Care Provider Webpage")</f>
        <v>Ofsted Social Care Provider Webpage</v>
      </c>
      <c r="B314" s="3" t="s">
        <v>1194</v>
      </c>
      <c r="C314" t="s">
        <v>34</v>
      </c>
      <c r="D314" s="19">
        <v>37945</v>
      </c>
      <c r="E314" t="s">
        <v>154</v>
      </c>
      <c r="F314" t="s">
        <v>155</v>
      </c>
      <c r="G314" t="s">
        <v>87</v>
      </c>
      <c r="H314" t="s">
        <v>87</v>
      </c>
      <c r="I314" t="s">
        <v>93</v>
      </c>
      <c r="J314" t="s">
        <v>453</v>
      </c>
      <c r="K314" t="s">
        <v>172</v>
      </c>
      <c r="L314" s="19">
        <v>44103</v>
      </c>
      <c r="M314" s="19">
        <v>44174</v>
      </c>
      <c r="N314" s="27" t="s">
        <v>557</v>
      </c>
    </row>
    <row r="315" spans="1:14" x14ac:dyDescent="0.25">
      <c r="A315" s="38" t="str">
        <f>HYPERLINK("http://reports.ofsted.gov.uk/inspection-reports/find-inspection-report/provider/CARE/SC038012","Ofsted Social Care Provider Webpage")</f>
        <v>Ofsted Social Care Provider Webpage</v>
      </c>
      <c r="B315" s="3" t="s">
        <v>1195</v>
      </c>
      <c r="C315" t="s">
        <v>581</v>
      </c>
      <c r="D315" s="19">
        <v>37984</v>
      </c>
      <c r="E315" t="s">
        <v>154</v>
      </c>
      <c r="F315" t="s">
        <v>1196</v>
      </c>
      <c r="G315" t="s">
        <v>114</v>
      </c>
      <c r="H315" t="s">
        <v>114</v>
      </c>
      <c r="I315" t="s">
        <v>122</v>
      </c>
      <c r="J315" t="s">
        <v>1088</v>
      </c>
      <c r="K315" t="s">
        <v>157</v>
      </c>
      <c r="L315" s="19">
        <v>44103</v>
      </c>
      <c r="M315" s="19">
        <v>44174</v>
      </c>
      <c r="N315" s="27" t="s">
        <v>559</v>
      </c>
    </row>
    <row r="316" spans="1:14" x14ac:dyDescent="0.25">
      <c r="A316" s="38" t="str">
        <f>HYPERLINK("http://reports.ofsted.gov.uk/inspection-reports/find-inspection-report/provider/CARE/2505172","Ofsted Social Care Provider Webpage")</f>
        <v>Ofsted Social Care Provider Webpage</v>
      </c>
      <c r="B316" s="3">
        <v>2505172</v>
      </c>
      <c r="C316" t="s">
        <v>34</v>
      </c>
      <c r="D316" s="19">
        <v>43564</v>
      </c>
      <c r="E316" t="s">
        <v>154</v>
      </c>
      <c r="F316" t="s">
        <v>155</v>
      </c>
      <c r="G316" t="s">
        <v>57</v>
      </c>
      <c r="H316" t="s">
        <v>57</v>
      </c>
      <c r="I316" t="s">
        <v>629</v>
      </c>
      <c r="J316" t="s">
        <v>630</v>
      </c>
      <c r="K316" t="s">
        <v>157</v>
      </c>
      <c r="L316" s="19">
        <v>44103</v>
      </c>
      <c r="M316" s="19">
        <v>44147</v>
      </c>
      <c r="N316" s="27" t="s">
        <v>557</v>
      </c>
    </row>
    <row r="317" spans="1:14" x14ac:dyDescent="0.25">
      <c r="A317" s="38" t="str">
        <f>HYPERLINK("http://reports.ofsted.gov.uk/inspection-reports/find-inspection-report/provider/CARE/1276421","Ofsted Social Care Provider Webpage")</f>
        <v>Ofsted Social Care Provider Webpage</v>
      </c>
      <c r="B317" s="3">
        <v>1276421</v>
      </c>
      <c r="C317" t="s">
        <v>34</v>
      </c>
      <c r="D317" s="19">
        <v>43328</v>
      </c>
      <c r="E317" t="s">
        <v>154</v>
      </c>
      <c r="F317" t="s">
        <v>155</v>
      </c>
      <c r="G317" t="s">
        <v>64</v>
      </c>
      <c r="H317" t="s">
        <v>213</v>
      </c>
      <c r="I317" t="s">
        <v>70</v>
      </c>
      <c r="J317" t="s">
        <v>496</v>
      </c>
      <c r="K317" t="s">
        <v>157</v>
      </c>
      <c r="L317" s="19">
        <v>44103</v>
      </c>
      <c r="M317" s="19">
        <v>44141</v>
      </c>
      <c r="N317" s="27" t="s">
        <v>557</v>
      </c>
    </row>
    <row r="318" spans="1:14" x14ac:dyDescent="0.25">
      <c r="A318" s="38" t="str">
        <f>HYPERLINK("http://reports.ofsted.gov.uk/inspection-reports/find-inspection-report/provider/CARE/SC061439","Ofsted Social Care Provider Webpage")</f>
        <v>Ofsted Social Care Provider Webpage</v>
      </c>
      <c r="B318" s="3" t="s">
        <v>1203</v>
      </c>
      <c r="C318" t="s">
        <v>34</v>
      </c>
      <c r="D318" s="19">
        <v>38296</v>
      </c>
      <c r="E318" t="s">
        <v>154</v>
      </c>
      <c r="F318" t="s">
        <v>155</v>
      </c>
      <c r="G318" t="s">
        <v>64</v>
      </c>
      <c r="H318" t="s">
        <v>213</v>
      </c>
      <c r="I318" t="s">
        <v>68</v>
      </c>
      <c r="J318" t="s">
        <v>68</v>
      </c>
      <c r="K318" t="s">
        <v>157</v>
      </c>
      <c r="L318" s="19">
        <v>44104</v>
      </c>
      <c r="M318" s="19">
        <v>44153</v>
      </c>
      <c r="N318" s="27" t="s">
        <v>557</v>
      </c>
    </row>
    <row r="319" spans="1:14" x14ac:dyDescent="0.25">
      <c r="A319" s="38" t="str">
        <f>HYPERLINK("http://reports.ofsted.gov.uk/inspection-reports/find-inspection-report/provider/CARE/SC477031","Ofsted Social Care Provider Webpage")</f>
        <v>Ofsted Social Care Provider Webpage</v>
      </c>
      <c r="B319" s="3" t="s">
        <v>650</v>
      </c>
      <c r="C319" t="s">
        <v>34</v>
      </c>
      <c r="D319" s="19">
        <v>41814</v>
      </c>
      <c r="E319" t="s">
        <v>154</v>
      </c>
      <c r="F319" t="s">
        <v>155</v>
      </c>
      <c r="G319" t="s">
        <v>64</v>
      </c>
      <c r="H319" t="s">
        <v>213</v>
      </c>
      <c r="I319" t="s">
        <v>84</v>
      </c>
      <c r="J319" t="s">
        <v>260</v>
      </c>
      <c r="K319" t="s">
        <v>157</v>
      </c>
      <c r="L319" s="19">
        <v>44104</v>
      </c>
      <c r="M319" s="19">
        <v>44144</v>
      </c>
      <c r="N319" s="27" t="s">
        <v>557</v>
      </c>
    </row>
    <row r="320" spans="1:14" x14ac:dyDescent="0.25">
      <c r="A320" s="38" t="str">
        <f>HYPERLINK("http://reports.ofsted.gov.uk/inspection-reports/find-inspection-report/provider/CARE/2516984","Ofsted Social Care Provider Webpage")</f>
        <v>Ofsted Social Care Provider Webpage</v>
      </c>
      <c r="B320" s="3">
        <v>2516984</v>
      </c>
      <c r="C320" t="s">
        <v>34</v>
      </c>
      <c r="D320" s="19">
        <v>43621</v>
      </c>
      <c r="E320" t="s">
        <v>154</v>
      </c>
      <c r="F320" t="s">
        <v>155</v>
      </c>
      <c r="G320" t="s">
        <v>128</v>
      </c>
      <c r="H320" t="s">
        <v>128</v>
      </c>
      <c r="I320" t="s">
        <v>140</v>
      </c>
      <c r="J320" t="s">
        <v>256</v>
      </c>
      <c r="K320" t="s">
        <v>524</v>
      </c>
      <c r="L320" s="19">
        <v>44104</v>
      </c>
      <c r="M320" s="19">
        <v>44144</v>
      </c>
      <c r="N320" s="27" t="s">
        <v>557</v>
      </c>
    </row>
    <row r="321" spans="1:14" x14ac:dyDescent="0.25">
      <c r="A321" s="38" t="str">
        <f>HYPERLINK("http://reports.ofsted.gov.uk/inspection-reports/find-inspection-report/provider/CARE/SC456942","Ofsted Social Care Provider Webpage")</f>
        <v>Ofsted Social Care Provider Webpage</v>
      </c>
      <c r="B321" s="3" t="s">
        <v>608</v>
      </c>
      <c r="C321" t="s">
        <v>34</v>
      </c>
      <c r="D321" s="19">
        <v>41320</v>
      </c>
      <c r="E321" t="s">
        <v>154</v>
      </c>
      <c r="F321" t="s">
        <v>155</v>
      </c>
      <c r="G321" t="s">
        <v>87</v>
      </c>
      <c r="H321" t="s">
        <v>87</v>
      </c>
      <c r="I321" t="s">
        <v>102</v>
      </c>
      <c r="J321" t="s">
        <v>510</v>
      </c>
      <c r="K321" t="s">
        <v>157</v>
      </c>
      <c r="L321" s="19">
        <v>44104</v>
      </c>
      <c r="M321" s="19">
        <v>44144</v>
      </c>
      <c r="N321" s="27" t="s">
        <v>557</v>
      </c>
    </row>
    <row r="322" spans="1:14" x14ac:dyDescent="0.25">
      <c r="A322" s="38" t="str">
        <f>HYPERLINK("http://reports.ofsted.gov.uk/inspection-reports/find-inspection-report/provider/CARE/SC006011","Ofsted Social Care Provider Webpage")</f>
        <v>Ofsted Social Care Provider Webpage</v>
      </c>
      <c r="B322" s="3" t="s">
        <v>1204</v>
      </c>
      <c r="C322" t="s">
        <v>34</v>
      </c>
      <c r="D322" s="19">
        <v>37062</v>
      </c>
      <c r="E322" t="s">
        <v>154</v>
      </c>
      <c r="F322" t="s">
        <v>155</v>
      </c>
      <c r="G322" t="s">
        <v>87</v>
      </c>
      <c r="H322" t="s">
        <v>87</v>
      </c>
      <c r="I322" t="s">
        <v>93</v>
      </c>
      <c r="J322" t="s">
        <v>453</v>
      </c>
      <c r="K322" t="s">
        <v>157</v>
      </c>
      <c r="L322" s="19">
        <v>44104</v>
      </c>
      <c r="M322" s="19">
        <v>44154</v>
      </c>
      <c r="N322" s="27" t="s">
        <v>557</v>
      </c>
    </row>
    <row r="323" spans="1:14" x14ac:dyDescent="0.25">
      <c r="A323" s="38" t="str">
        <f>HYPERLINK("http://reports.ofsted.gov.uk/inspection-reports/find-inspection-report/provider/CARE/1236916","Ofsted Social Care Provider Webpage")</f>
        <v>Ofsted Social Care Provider Webpage</v>
      </c>
      <c r="B323" s="3">
        <v>1236916</v>
      </c>
      <c r="C323" t="s">
        <v>34</v>
      </c>
      <c r="D323" s="19">
        <v>42544</v>
      </c>
      <c r="E323" t="s">
        <v>154</v>
      </c>
      <c r="F323" t="s">
        <v>155</v>
      </c>
      <c r="G323" t="s">
        <v>114</v>
      </c>
      <c r="H323" t="s">
        <v>114</v>
      </c>
      <c r="I323" t="s">
        <v>121</v>
      </c>
      <c r="J323" t="s">
        <v>503</v>
      </c>
      <c r="K323" t="s">
        <v>157</v>
      </c>
      <c r="L323" s="19">
        <v>44104</v>
      </c>
      <c r="M323" s="19">
        <v>44138</v>
      </c>
      <c r="N323" s="27" t="s">
        <v>557</v>
      </c>
    </row>
    <row r="324" spans="1:14" x14ac:dyDescent="0.25">
      <c r="A324" s="38" t="str">
        <f>HYPERLINK("http://reports.ofsted.gov.uk/inspection-reports/find-inspection-report/provider/CARE/2509473","Ofsted Social Care Provider Webpage")</f>
        <v>Ofsted Social Care Provider Webpage</v>
      </c>
      <c r="B324" s="3">
        <v>2509473</v>
      </c>
      <c r="C324" t="s">
        <v>34</v>
      </c>
      <c r="D324" s="19">
        <v>43508</v>
      </c>
      <c r="E324" t="s">
        <v>154</v>
      </c>
      <c r="F324" t="s">
        <v>155</v>
      </c>
      <c r="G324" t="s">
        <v>105</v>
      </c>
      <c r="H324" t="s">
        <v>105</v>
      </c>
      <c r="I324" t="s">
        <v>109</v>
      </c>
      <c r="J324" t="s">
        <v>322</v>
      </c>
      <c r="K324" t="s">
        <v>157</v>
      </c>
      <c r="L324" s="19">
        <v>44104</v>
      </c>
      <c r="M324" s="19">
        <v>44158</v>
      </c>
      <c r="N324" s="27" t="s">
        <v>557</v>
      </c>
    </row>
    <row r="325" spans="1:14" x14ac:dyDescent="0.25">
      <c r="A325" s="38" t="str">
        <f>HYPERLINK("http://reports.ofsted.gov.uk/inspection-reports/find-inspection-report/provider/CARE/2516658","Ofsted Social Care Provider Webpage")</f>
        <v>Ofsted Social Care Provider Webpage</v>
      </c>
      <c r="B325" s="3">
        <v>2516658</v>
      </c>
      <c r="C325" t="s">
        <v>34</v>
      </c>
      <c r="D325" s="19">
        <v>43707</v>
      </c>
      <c r="E325" t="s">
        <v>154</v>
      </c>
      <c r="F325" t="s">
        <v>155</v>
      </c>
      <c r="G325" t="s">
        <v>64</v>
      </c>
      <c r="H325" t="s">
        <v>164</v>
      </c>
      <c r="I325" t="s">
        <v>65</v>
      </c>
      <c r="J325" t="s">
        <v>375</v>
      </c>
      <c r="K325" t="s">
        <v>157</v>
      </c>
      <c r="L325" s="19">
        <v>44104</v>
      </c>
      <c r="M325" s="19">
        <v>44148</v>
      </c>
      <c r="N325" s="27" t="s">
        <v>557</v>
      </c>
    </row>
    <row r="326" spans="1:14" x14ac:dyDescent="0.25">
      <c r="A326" s="38" t="str">
        <f>HYPERLINK("http://reports.ofsted.gov.uk/inspection-reports/find-inspection-report/provider/CARE/SC036240","Ofsted Social Care Provider Webpage")</f>
        <v>Ofsted Social Care Provider Webpage</v>
      </c>
      <c r="B326" s="3" t="s">
        <v>508</v>
      </c>
      <c r="C326" t="s">
        <v>34</v>
      </c>
      <c r="D326" s="19">
        <v>37938</v>
      </c>
      <c r="E326" t="s">
        <v>154</v>
      </c>
      <c r="F326" t="s">
        <v>155</v>
      </c>
      <c r="G326" t="s">
        <v>39</v>
      </c>
      <c r="H326" t="s">
        <v>39</v>
      </c>
      <c r="I326" t="s">
        <v>40</v>
      </c>
      <c r="J326" t="s">
        <v>402</v>
      </c>
      <c r="K326" t="s">
        <v>172</v>
      </c>
      <c r="L326" s="19">
        <v>44104</v>
      </c>
      <c r="M326" s="19">
        <v>44137</v>
      </c>
      <c r="N326" s="27" t="s">
        <v>557</v>
      </c>
    </row>
    <row r="327" spans="1:14" x14ac:dyDescent="0.25">
      <c r="A327" s="38" t="str">
        <f>HYPERLINK("http://reports.ofsted.gov.uk/inspection-reports/find-inspection-report/provider/CARE/2534102","Ofsted Social Care Provider Webpage")</f>
        <v>Ofsted Social Care Provider Webpage</v>
      </c>
      <c r="B327" s="3">
        <v>2534102</v>
      </c>
      <c r="C327" t="s">
        <v>34</v>
      </c>
      <c r="D327" s="19">
        <v>43678</v>
      </c>
      <c r="E327" t="s">
        <v>154</v>
      </c>
      <c r="F327" t="s">
        <v>155</v>
      </c>
      <c r="G327" t="s">
        <v>64</v>
      </c>
      <c r="H327" t="s">
        <v>213</v>
      </c>
      <c r="I327" t="s">
        <v>70</v>
      </c>
      <c r="J327" t="s">
        <v>619</v>
      </c>
      <c r="K327" t="s">
        <v>157</v>
      </c>
      <c r="L327" s="19">
        <v>44104</v>
      </c>
      <c r="M327" s="19">
        <v>44144</v>
      </c>
      <c r="N327" s="27" t="s">
        <v>557</v>
      </c>
    </row>
    <row r="328" spans="1:14" x14ac:dyDescent="0.25">
      <c r="A328" s="38" t="str">
        <f>HYPERLINK("http://reports.ofsted.gov.uk/inspection-reports/find-inspection-report/provider/CARE/2575372","Ofsted Social Care Provider Webpage")</f>
        <v>Ofsted Social Care Provider Webpage</v>
      </c>
      <c r="B328" s="3">
        <v>2575372</v>
      </c>
      <c r="C328" t="s">
        <v>34</v>
      </c>
      <c r="D328" s="19">
        <v>43994</v>
      </c>
      <c r="E328" t="s">
        <v>154</v>
      </c>
      <c r="F328" t="s">
        <v>155</v>
      </c>
      <c r="G328" t="s">
        <v>48</v>
      </c>
      <c r="H328" t="s">
        <v>48</v>
      </c>
      <c r="I328" t="s">
        <v>51</v>
      </c>
      <c r="J328" t="s">
        <v>507</v>
      </c>
      <c r="K328" t="s">
        <v>157</v>
      </c>
      <c r="L328" s="19">
        <v>44104</v>
      </c>
      <c r="M328" s="19">
        <v>44133</v>
      </c>
      <c r="N328" s="27" t="s">
        <v>559</v>
      </c>
    </row>
    <row r="329" spans="1:14" x14ac:dyDescent="0.25">
      <c r="A329" s="38" t="str">
        <f>HYPERLINK("http://reports.ofsted.gov.uk/inspection-reports/find-inspection-report/provider/CARE/2503142","Ofsted Social Care Provider Webpage")</f>
        <v>Ofsted Social Care Provider Webpage</v>
      </c>
      <c r="B329" s="3">
        <v>2503142</v>
      </c>
      <c r="C329" t="s">
        <v>34</v>
      </c>
      <c r="D329" s="19">
        <v>43565</v>
      </c>
      <c r="E329" t="s">
        <v>154</v>
      </c>
      <c r="F329" t="s">
        <v>155</v>
      </c>
      <c r="G329" t="s">
        <v>57</v>
      </c>
      <c r="H329" t="s">
        <v>57</v>
      </c>
      <c r="I329" t="s">
        <v>611</v>
      </c>
      <c r="J329" t="s">
        <v>651</v>
      </c>
      <c r="K329" t="s">
        <v>157</v>
      </c>
      <c r="L329" s="19">
        <v>44104</v>
      </c>
      <c r="M329" s="19">
        <v>44148</v>
      </c>
      <c r="N329" s="27" t="s">
        <v>557</v>
      </c>
    </row>
    <row r="330" spans="1:14" x14ac:dyDescent="0.25">
      <c r="A330" s="38" t="str">
        <f>HYPERLINK("http://reports.ofsted.gov.uk/inspection-reports/find-inspection-report/provider/CARE/2509269","Ofsted Social Care Provider Webpage")</f>
        <v>Ofsted Social Care Provider Webpage</v>
      </c>
      <c r="B330" s="3">
        <v>2509269</v>
      </c>
      <c r="C330" t="s">
        <v>34</v>
      </c>
      <c r="D330" s="19">
        <v>43496</v>
      </c>
      <c r="E330" t="s">
        <v>154</v>
      </c>
      <c r="F330" t="s">
        <v>155</v>
      </c>
      <c r="G330" t="s">
        <v>87</v>
      </c>
      <c r="H330" t="s">
        <v>87</v>
      </c>
      <c r="I330" t="s">
        <v>93</v>
      </c>
      <c r="J330" t="s">
        <v>623</v>
      </c>
      <c r="K330" t="s">
        <v>157</v>
      </c>
      <c r="L330" s="19">
        <v>44104</v>
      </c>
      <c r="M330" s="19">
        <v>44152</v>
      </c>
      <c r="N330" s="27" t="s">
        <v>557</v>
      </c>
    </row>
    <row r="331" spans="1:14" x14ac:dyDescent="0.25">
      <c r="A331" s="38" t="str">
        <f>HYPERLINK("http://reports.ofsted.gov.uk/inspection-reports/find-inspection-report/provider/CARE/SC063110","Ofsted Social Care Provider Webpage")</f>
        <v>Ofsted Social Care Provider Webpage</v>
      </c>
      <c r="B331" s="3" t="s">
        <v>502</v>
      </c>
      <c r="C331" t="s">
        <v>34</v>
      </c>
      <c r="D331" s="19">
        <v>38419</v>
      </c>
      <c r="E331" t="s">
        <v>154</v>
      </c>
      <c r="F331" t="s">
        <v>155</v>
      </c>
      <c r="G331" t="s">
        <v>48</v>
      </c>
      <c r="H331" t="s">
        <v>48</v>
      </c>
      <c r="I331" t="s">
        <v>56</v>
      </c>
      <c r="J331" t="s">
        <v>236</v>
      </c>
      <c r="K331" t="s">
        <v>172</v>
      </c>
      <c r="L331" s="19">
        <v>44104</v>
      </c>
      <c r="M331" s="19">
        <v>44134</v>
      </c>
      <c r="N331" s="27" t="s">
        <v>559</v>
      </c>
    </row>
    <row r="332" spans="1:14" x14ac:dyDescent="0.25">
      <c r="A332" s="38" t="str">
        <f>HYPERLINK("http://reports.ofsted.gov.uk/inspection-reports/find-inspection-report/provider/CARE/SC425418","Ofsted Social Care Provider Webpage")</f>
        <v>Ofsted Social Care Provider Webpage</v>
      </c>
      <c r="B332" s="3" t="s">
        <v>497</v>
      </c>
      <c r="C332" t="s">
        <v>34</v>
      </c>
      <c r="D332" s="19">
        <v>40592</v>
      </c>
      <c r="E332" t="s">
        <v>154</v>
      </c>
      <c r="F332" t="s">
        <v>155</v>
      </c>
      <c r="G332" t="s">
        <v>48</v>
      </c>
      <c r="H332" t="s">
        <v>48</v>
      </c>
      <c r="I332" t="s">
        <v>52</v>
      </c>
      <c r="J332" t="s">
        <v>498</v>
      </c>
      <c r="K332" t="s">
        <v>157</v>
      </c>
      <c r="L332" s="19">
        <v>44104</v>
      </c>
      <c r="M332" s="19">
        <v>44134</v>
      </c>
      <c r="N332" s="27" t="s">
        <v>557</v>
      </c>
    </row>
    <row r="333" spans="1:14" x14ac:dyDescent="0.25">
      <c r="A333" s="38" t="str">
        <f>HYPERLINK("http://reports.ofsted.gov.uk/inspection-reports/find-inspection-report/provider/CARE/2514770","Ofsted Social Care Provider Webpage")</f>
        <v>Ofsted Social Care Provider Webpage</v>
      </c>
      <c r="B333" s="3">
        <v>2514770</v>
      </c>
      <c r="C333" t="s">
        <v>34</v>
      </c>
      <c r="D333" s="19">
        <v>43572</v>
      </c>
      <c r="E333" t="s">
        <v>154</v>
      </c>
      <c r="F333" t="s">
        <v>155</v>
      </c>
      <c r="G333" t="s">
        <v>64</v>
      </c>
      <c r="H333" t="s">
        <v>164</v>
      </c>
      <c r="I333" t="s">
        <v>67</v>
      </c>
      <c r="J333" t="s">
        <v>182</v>
      </c>
      <c r="K333" t="s">
        <v>157</v>
      </c>
      <c r="L333" s="19">
        <v>44104</v>
      </c>
      <c r="M333" s="19">
        <v>44147</v>
      </c>
      <c r="N333" s="27" t="s">
        <v>557</v>
      </c>
    </row>
    <row r="334" spans="1:14" x14ac:dyDescent="0.25">
      <c r="A334" s="38" t="str">
        <f>HYPERLINK("http://reports.ofsted.gov.uk/inspection-reports/find-inspection-report/provider/CARE/2504494","Ofsted Social Care Provider Webpage")</f>
        <v>Ofsted Social Care Provider Webpage</v>
      </c>
      <c r="B334" s="3">
        <v>2504494</v>
      </c>
      <c r="C334" t="s">
        <v>34</v>
      </c>
      <c r="D334" s="19">
        <v>43516</v>
      </c>
      <c r="E334" t="s">
        <v>154</v>
      </c>
      <c r="F334" t="s">
        <v>155</v>
      </c>
      <c r="G334" t="s">
        <v>39</v>
      </c>
      <c r="H334" t="s">
        <v>39</v>
      </c>
      <c r="I334" t="s">
        <v>42</v>
      </c>
      <c r="J334" t="s">
        <v>499</v>
      </c>
      <c r="K334" t="s">
        <v>157</v>
      </c>
      <c r="L334" s="19">
        <v>44104</v>
      </c>
      <c r="M334" s="19">
        <v>44131</v>
      </c>
      <c r="N334" s="27" t="s">
        <v>557</v>
      </c>
    </row>
    <row r="335" spans="1:14" x14ac:dyDescent="0.25">
      <c r="A335" s="38" t="str">
        <f>HYPERLINK("http://reports.ofsted.gov.uk/inspection-reports/find-inspection-report/provider/CARE/SC034083","Ofsted Social Care Provider Webpage")</f>
        <v>Ofsted Social Care Provider Webpage</v>
      </c>
      <c r="B335" s="3" t="s">
        <v>645</v>
      </c>
      <c r="C335" t="s">
        <v>34</v>
      </c>
      <c r="D335" s="19">
        <v>37824</v>
      </c>
      <c r="E335" t="s">
        <v>154</v>
      </c>
      <c r="F335" t="s">
        <v>155</v>
      </c>
      <c r="G335" t="s">
        <v>87</v>
      </c>
      <c r="H335" t="s">
        <v>87</v>
      </c>
      <c r="I335" t="s">
        <v>92</v>
      </c>
      <c r="J335" t="s">
        <v>646</v>
      </c>
      <c r="K335" t="s">
        <v>172</v>
      </c>
      <c r="L335" s="19">
        <v>44104</v>
      </c>
      <c r="M335" s="19">
        <v>44144</v>
      </c>
      <c r="N335" s="27" t="s">
        <v>557</v>
      </c>
    </row>
    <row r="336" spans="1:14" x14ac:dyDescent="0.25">
      <c r="A336" s="38" t="str">
        <f>HYPERLINK("http://reports.ofsted.gov.uk/inspection-reports/find-inspection-report/provider/CARE/SC036726","Ofsted Social Care Provider Webpage")</f>
        <v>Ofsted Social Care Provider Webpage</v>
      </c>
      <c r="B336" s="3" t="s">
        <v>500</v>
      </c>
      <c r="C336" t="s">
        <v>34</v>
      </c>
      <c r="D336" s="19">
        <v>37942</v>
      </c>
      <c r="E336" t="s">
        <v>154</v>
      </c>
      <c r="F336" t="s">
        <v>155</v>
      </c>
      <c r="G336" t="s">
        <v>39</v>
      </c>
      <c r="H336" t="s">
        <v>39</v>
      </c>
      <c r="I336" t="s">
        <v>46</v>
      </c>
      <c r="J336" t="s">
        <v>501</v>
      </c>
      <c r="K336" t="s">
        <v>172</v>
      </c>
      <c r="L336" s="19">
        <v>44104</v>
      </c>
      <c r="M336" s="19">
        <v>44134</v>
      </c>
      <c r="N336" s="27" t="s">
        <v>557</v>
      </c>
    </row>
    <row r="337" spans="1:14" x14ac:dyDescent="0.25">
      <c r="A337" s="38" t="str">
        <f>HYPERLINK("http://reports.ofsted.gov.uk/inspection-reports/find-inspection-report/provider/CARE/SC444411","Ofsted Social Care Provider Webpage")</f>
        <v>Ofsted Social Care Provider Webpage</v>
      </c>
      <c r="B337" s="3" t="s">
        <v>1205</v>
      </c>
      <c r="C337" t="s">
        <v>34</v>
      </c>
      <c r="D337" s="19">
        <v>41096</v>
      </c>
      <c r="E337" t="s">
        <v>154</v>
      </c>
      <c r="F337" t="s">
        <v>155</v>
      </c>
      <c r="G337" t="s">
        <v>87</v>
      </c>
      <c r="H337" t="s">
        <v>87</v>
      </c>
      <c r="I337" t="s">
        <v>94</v>
      </c>
      <c r="J337" t="s">
        <v>811</v>
      </c>
      <c r="K337" t="s">
        <v>168</v>
      </c>
      <c r="L337" s="19">
        <v>44104</v>
      </c>
      <c r="M337" s="19">
        <v>44153</v>
      </c>
      <c r="N337" s="27" t="s">
        <v>559</v>
      </c>
    </row>
    <row r="338" spans="1:14" x14ac:dyDescent="0.25">
      <c r="A338" s="38" t="str">
        <f>HYPERLINK("http://reports.ofsted.gov.uk/inspection-reports/find-inspection-report/provider/CARE/SC022223","Ofsted Social Care Provider Webpage")</f>
        <v>Ofsted Social Care Provider Webpage</v>
      </c>
      <c r="B338" s="3" t="s">
        <v>504</v>
      </c>
      <c r="C338" t="s">
        <v>35</v>
      </c>
      <c r="D338" s="19">
        <v>37305</v>
      </c>
      <c r="E338" t="s">
        <v>154</v>
      </c>
      <c r="F338" t="s">
        <v>505</v>
      </c>
      <c r="G338" t="s">
        <v>114</v>
      </c>
      <c r="H338" t="s">
        <v>114</v>
      </c>
      <c r="I338" t="s">
        <v>118</v>
      </c>
      <c r="J338" t="s">
        <v>506</v>
      </c>
      <c r="K338" t="s">
        <v>168</v>
      </c>
      <c r="L338" s="19">
        <v>44104</v>
      </c>
      <c r="M338" s="19">
        <v>44141</v>
      </c>
      <c r="N338" s="27" t="s">
        <v>557</v>
      </c>
    </row>
    <row r="339" spans="1:14" x14ac:dyDescent="0.25">
      <c r="A339" s="38" t="str">
        <f>HYPERLINK("http://reports.ofsted.gov.uk/inspection-reports/find-inspection-report/provider/CARE/1255147","Ofsted Social Care Provider Webpage")</f>
        <v>Ofsted Social Care Provider Webpage</v>
      </c>
      <c r="B339" s="3">
        <v>1255147</v>
      </c>
      <c r="C339" t="s">
        <v>34</v>
      </c>
      <c r="D339" s="19">
        <v>42915</v>
      </c>
      <c r="E339" t="s">
        <v>154</v>
      </c>
      <c r="F339" t="s">
        <v>155</v>
      </c>
      <c r="G339" t="s">
        <v>128</v>
      </c>
      <c r="H339" t="s">
        <v>128</v>
      </c>
      <c r="I339" t="s">
        <v>133</v>
      </c>
      <c r="J339" t="s">
        <v>412</v>
      </c>
      <c r="K339" t="s">
        <v>157</v>
      </c>
      <c r="L339" s="19">
        <v>44104</v>
      </c>
      <c r="M339" s="19">
        <v>44137</v>
      </c>
      <c r="N339" s="27" t="s">
        <v>557</v>
      </c>
    </row>
    <row r="340" spans="1:14" x14ac:dyDescent="0.25">
      <c r="A340" s="38" t="str">
        <f>HYPERLINK("http://reports.ofsted.gov.uk/inspection-reports/find-inspection-report/provider/CARE/2585927","Ofsted Social Care Provider Webpage")</f>
        <v>Ofsted Social Care Provider Webpage</v>
      </c>
      <c r="B340" s="3">
        <v>2585927</v>
      </c>
      <c r="C340" t="s">
        <v>34</v>
      </c>
      <c r="D340" s="19">
        <v>43978</v>
      </c>
      <c r="E340" t="s">
        <v>215</v>
      </c>
      <c r="F340" t="s">
        <v>155</v>
      </c>
      <c r="G340" t="s">
        <v>39</v>
      </c>
      <c r="H340" t="s">
        <v>39</v>
      </c>
      <c r="I340" t="s">
        <v>45</v>
      </c>
      <c r="J340" t="s">
        <v>490</v>
      </c>
      <c r="K340" t="s">
        <v>157</v>
      </c>
      <c r="L340" s="19">
        <v>44104</v>
      </c>
      <c r="M340" s="19">
        <v>44137</v>
      </c>
      <c r="N340" s="27" t="s">
        <v>559</v>
      </c>
    </row>
    <row r="341" spans="1:14" x14ac:dyDescent="0.25">
      <c r="A341" s="38" t="str">
        <f>HYPERLINK("http://reports.ofsted.gov.uk/inspection-reports/find-inspection-report/provider/CARE/SC485423","Ofsted Social Care Provider Webpage")</f>
        <v>Ofsted Social Care Provider Webpage</v>
      </c>
      <c r="B341" s="3" t="s">
        <v>637</v>
      </c>
      <c r="C341" t="s">
        <v>34</v>
      </c>
      <c r="D341" s="19">
        <v>42090</v>
      </c>
      <c r="E341" t="s">
        <v>154</v>
      </c>
      <c r="F341" t="s">
        <v>155</v>
      </c>
      <c r="G341" t="s">
        <v>105</v>
      </c>
      <c r="H341" t="s">
        <v>105</v>
      </c>
      <c r="I341" t="s">
        <v>108</v>
      </c>
      <c r="J341" t="s">
        <v>638</v>
      </c>
      <c r="K341" t="s">
        <v>157</v>
      </c>
      <c r="L341" s="19">
        <v>44104</v>
      </c>
      <c r="M341" s="19">
        <v>44147</v>
      </c>
      <c r="N341" s="27" t="s">
        <v>557</v>
      </c>
    </row>
    <row r="342" spans="1:14" x14ac:dyDescent="0.25">
      <c r="A342" s="38" t="str">
        <f>HYPERLINK("http://reports.ofsted.gov.uk/inspection-reports/find-inspection-report/provider/CARE/SC003897","Ofsted Social Care Provider Webpage")</f>
        <v>Ofsted Social Care Provider Webpage</v>
      </c>
      <c r="B342" s="3" t="s">
        <v>746</v>
      </c>
      <c r="C342" t="s">
        <v>34</v>
      </c>
      <c r="D342" s="19">
        <v>37300</v>
      </c>
      <c r="E342" t="s">
        <v>154</v>
      </c>
      <c r="F342" t="s">
        <v>155</v>
      </c>
      <c r="G342" t="s">
        <v>114</v>
      </c>
      <c r="H342" t="s">
        <v>114</v>
      </c>
      <c r="I342" t="s">
        <v>118</v>
      </c>
      <c r="J342" t="s">
        <v>636</v>
      </c>
      <c r="K342" t="s">
        <v>157</v>
      </c>
      <c r="L342" s="19">
        <v>44105</v>
      </c>
      <c r="M342" s="19">
        <v>44151</v>
      </c>
      <c r="N342" s="27" t="s">
        <v>557</v>
      </c>
    </row>
    <row r="343" spans="1:14" x14ac:dyDescent="0.25">
      <c r="A343" s="38" t="str">
        <f>HYPERLINK("http://reports.ofsted.gov.uk/inspection-reports/find-inspection-report/provider/CARE/2571031","Ofsted Social Care Provider Webpage")</f>
        <v>Ofsted Social Care Provider Webpage</v>
      </c>
      <c r="B343" s="3">
        <v>2571031</v>
      </c>
      <c r="C343" t="s">
        <v>34</v>
      </c>
      <c r="D343" s="19">
        <v>43978</v>
      </c>
      <c r="E343" t="s">
        <v>154</v>
      </c>
      <c r="F343" t="s">
        <v>155</v>
      </c>
      <c r="G343" t="s">
        <v>87</v>
      </c>
      <c r="H343" t="s">
        <v>87</v>
      </c>
      <c r="I343" t="s">
        <v>95</v>
      </c>
      <c r="J343" t="s">
        <v>450</v>
      </c>
      <c r="K343" t="s">
        <v>157</v>
      </c>
      <c r="L343" s="19">
        <v>44105</v>
      </c>
      <c r="M343" s="19">
        <v>44147</v>
      </c>
      <c r="N343" s="27" t="s">
        <v>557</v>
      </c>
    </row>
    <row r="344" spans="1:14" x14ac:dyDescent="0.25">
      <c r="A344" s="38" t="str">
        <f>HYPERLINK("http://reports.ofsted.gov.uk/inspection-reports/find-inspection-report/provider/CARE/1250194","Ofsted Social Care Provider Webpage")</f>
        <v>Ofsted Social Care Provider Webpage</v>
      </c>
      <c r="B344" s="3">
        <v>1250194</v>
      </c>
      <c r="C344" t="s">
        <v>34</v>
      </c>
      <c r="D344" s="19">
        <v>42921</v>
      </c>
      <c r="E344" t="s">
        <v>154</v>
      </c>
      <c r="F344" t="s">
        <v>155</v>
      </c>
      <c r="G344" t="s">
        <v>105</v>
      </c>
      <c r="H344" t="s">
        <v>105</v>
      </c>
      <c r="I344" t="s">
        <v>113</v>
      </c>
      <c r="J344" t="s">
        <v>747</v>
      </c>
      <c r="K344" t="s">
        <v>157</v>
      </c>
      <c r="L344" s="19">
        <v>44105</v>
      </c>
      <c r="M344" s="19">
        <v>44179</v>
      </c>
      <c r="N344" s="27" t="s">
        <v>557</v>
      </c>
    </row>
    <row r="345" spans="1:14" x14ac:dyDescent="0.25">
      <c r="A345" s="38" t="str">
        <f>HYPERLINK("http://reports.ofsted.gov.uk/inspection-reports/find-inspection-report/provider/CARE/SC013143","Ofsted Social Care Provider Webpage")</f>
        <v>Ofsted Social Care Provider Webpage</v>
      </c>
      <c r="B345" s="3" t="s">
        <v>748</v>
      </c>
      <c r="C345" t="s">
        <v>34</v>
      </c>
      <c r="D345" s="19">
        <v>36892</v>
      </c>
      <c r="E345" t="s">
        <v>154</v>
      </c>
      <c r="F345" t="s">
        <v>155</v>
      </c>
      <c r="G345" t="s">
        <v>105</v>
      </c>
      <c r="H345" t="s">
        <v>105</v>
      </c>
      <c r="I345" t="s">
        <v>110</v>
      </c>
      <c r="J345" t="s">
        <v>280</v>
      </c>
      <c r="K345" t="s">
        <v>168</v>
      </c>
      <c r="L345" s="19">
        <v>44105</v>
      </c>
      <c r="M345" s="19">
        <v>44159</v>
      </c>
      <c r="N345" s="27" t="s">
        <v>557</v>
      </c>
    </row>
    <row r="346" spans="1:14" x14ac:dyDescent="0.25">
      <c r="A346" s="38" t="str">
        <f>HYPERLINK("http://reports.ofsted.gov.uk/inspection-reports/find-inspection-report/provider/CARE/2495504","Ofsted Social Care Provider Webpage")</f>
        <v>Ofsted Social Care Provider Webpage</v>
      </c>
      <c r="B346" s="3">
        <v>2495504</v>
      </c>
      <c r="C346" t="s">
        <v>34</v>
      </c>
      <c r="D346" s="19">
        <v>43382</v>
      </c>
      <c r="E346" t="s">
        <v>154</v>
      </c>
      <c r="F346" t="s">
        <v>155</v>
      </c>
      <c r="G346" t="s">
        <v>39</v>
      </c>
      <c r="H346" t="s">
        <v>39</v>
      </c>
      <c r="I346" t="s">
        <v>41</v>
      </c>
      <c r="J346" t="s">
        <v>484</v>
      </c>
      <c r="K346" t="s">
        <v>157</v>
      </c>
      <c r="L346" s="19">
        <v>44105</v>
      </c>
      <c r="M346" s="19">
        <v>44140</v>
      </c>
      <c r="N346" s="27" t="s">
        <v>557</v>
      </c>
    </row>
    <row r="347" spans="1:14" x14ac:dyDescent="0.25">
      <c r="A347" s="38" t="str">
        <f>HYPERLINK("http://reports.ofsted.gov.uk/inspection-reports/find-inspection-report/provider/CARE/SC386502","Ofsted Social Care Provider Webpage")</f>
        <v>Ofsted Social Care Provider Webpage</v>
      </c>
      <c r="B347" s="3" t="s">
        <v>509</v>
      </c>
      <c r="C347" t="s">
        <v>34</v>
      </c>
      <c r="D347" s="19">
        <v>39805</v>
      </c>
      <c r="E347" t="s">
        <v>154</v>
      </c>
      <c r="F347" t="s">
        <v>155</v>
      </c>
      <c r="G347" t="s">
        <v>87</v>
      </c>
      <c r="H347" t="s">
        <v>87</v>
      </c>
      <c r="I347" t="s">
        <v>102</v>
      </c>
      <c r="J347" t="s">
        <v>510</v>
      </c>
      <c r="K347" t="s">
        <v>157</v>
      </c>
      <c r="L347" s="19">
        <v>44105</v>
      </c>
      <c r="M347" s="19">
        <v>44130</v>
      </c>
      <c r="N347" s="27" t="s">
        <v>557</v>
      </c>
    </row>
    <row r="348" spans="1:14" x14ac:dyDescent="0.25">
      <c r="A348" s="38" t="str">
        <f>HYPERLINK("http://reports.ofsted.gov.uk/inspection-reports/find-inspection-report/provider/CARE/SC405713","Ofsted Social Care Provider Webpage")</f>
        <v>Ofsted Social Care Provider Webpage</v>
      </c>
      <c r="B348" s="3" t="s">
        <v>512</v>
      </c>
      <c r="C348" t="s">
        <v>34</v>
      </c>
      <c r="D348" s="19">
        <v>40189</v>
      </c>
      <c r="E348" t="s">
        <v>154</v>
      </c>
      <c r="F348" t="s">
        <v>155</v>
      </c>
      <c r="G348" t="s">
        <v>128</v>
      </c>
      <c r="H348" t="s">
        <v>128</v>
      </c>
      <c r="I348" t="s">
        <v>132</v>
      </c>
      <c r="J348" t="s">
        <v>339</v>
      </c>
      <c r="K348" t="s">
        <v>157</v>
      </c>
      <c r="L348" s="19">
        <v>44109</v>
      </c>
      <c r="M348" s="19">
        <v>44139</v>
      </c>
      <c r="N348" s="27" t="s">
        <v>557</v>
      </c>
    </row>
    <row r="349" spans="1:14" x14ac:dyDescent="0.25">
      <c r="A349" s="38" t="str">
        <f>HYPERLINK("http://reports.ofsted.gov.uk/inspection-reports/find-inspection-report/provider/CARE/2503076","Ofsted Social Care Provider Webpage")</f>
        <v>Ofsted Social Care Provider Webpage</v>
      </c>
      <c r="B349" s="3">
        <v>2503076</v>
      </c>
      <c r="C349" t="s">
        <v>34</v>
      </c>
      <c r="D349" s="19">
        <v>43513</v>
      </c>
      <c r="E349" t="s">
        <v>154</v>
      </c>
      <c r="F349" t="s">
        <v>155</v>
      </c>
      <c r="G349" t="s">
        <v>128</v>
      </c>
      <c r="H349" t="s">
        <v>128</v>
      </c>
      <c r="I349" t="s">
        <v>134</v>
      </c>
      <c r="J349" t="s">
        <v>448</v>
      </c>
      <c r="K349" t="s">
        <v>157</v>
      </c>
      <c r="L349" s="19">
        <v>44109</v>
      </c>
      <c r="M349" s="19">
        <v>44140</v>
      </c>
      <c r="N349" s="27" t="s">
        <v>557</v>
      </c>
    </row>
    <row r="350" spans="1:14" x14ac:dyDescent="0.25">
      <c r="A350" s="38" t="str">
        <f>HYPERLINK("http://reports.ofsted.gov.uk/inspection-reports/find-inspection-report/provider/CARE/SC390167","Ofsted Social Care Provider Webpage")</f>
        <v>Ofsted Social Care Provider Webpage</v>
      </c>
      <c r="B350" s="3" t="s">
        <v>849</v>
      </c>
      <c r="C350" t="s">
        <v>34</v>
      </c>
      <c r="D350" s="19">
        <v>40309</v>
      </c>
      <c r="E350" t="s">
        <v>154</v>
      </c>
      <c r="F350" t="s">
        <v>155</v>
      </c>
      <c r="G350" t="s">
        <v>105</v>
      </c>
      <c r="H350" t="s">
        <v>105</v>
      </c>
      <c r="I350" t="s">
        <v>109</v>
      </c>
      <c r="J350" t="s">
        <v>472</v>
      </c>
      <c r="K350" t="s">
        <v>157</v>
      </c>
      <c r="L350" s="19">
        <v>44109</v>
      </c>
      <c r="M350" s="19">
        <v>44158</v>
      </c>
      <c r="N350" s="27" t="s">
        <v>557</v>
      </c>
    </row>
    <row r="351" spans="1:14" x14ac:dyDescent="0.25">
      <c r="A351" s="38" t="str">
        <f>HYPERLINK("http://reports.ofsted.gov.uk/inspection-reports/find-inspection-report/provider/CARE/SC030677","Ofsted Social Care Provider Webpage")</f>
        <v>Ofsted Social Care Provider Webpage</v>
      </c>
      <c r="B351" s="3" t="s">
        <v>850</v>
      </c>
      <c r="C351" t="s">
        <v>34</v>
      </c>
      <c r="D351" s="19">
        <v>38302</v>
      </c>
      <c r="E351" t="s">
        <v>154</v>
      </c>
      <c r="F351" t="s">
        <v>155</v>
      </c>
      <c r="G351" t="s">
        <v>105</v>
      </c>
      <c r="H351" t="s">
        <v>105</v>
      </c>
      <c r="I351" t="s">
        <v>706</v>
      </c>
      <c r="J351" t="s">
        <v>771</v>
      </c>
      <c r="K351" t="s">
        <v>172</v>
      </c>
      <c r="L351" s="19">
        <v>44109</v>
      </c>
      <c r="M351" s="19">
        <v>44161</v>
      </c>
      <c r="N351" s="27" t="s">
        <v>559</v>
      </c>
    </row>
    <row r="352" spans="1:14" x14ac:dyDescent="0.25">
      <c r="A352" s="38" t="str">
        <f>HYPERLINK("http://reports.ofsted.gov.uk/inspection-reports/find-inspection-report/provider/CARE/1280210","Ofsted Social Care Provider Webpage")</f>
        <v>Ofsted Social Care Provider Webpage</v>
      </c>
      <c r="B352" s="3">
        <v>1280210</v>
      </c>
      <c r="C352" t="s">
        <v>34</v>
      </c>
      <c r="D352" s="19">
        <v>43314</v>
      </c>
      <c r="E352" t="s">
        <v>154</v>
      </c>
      <c r="F352" t="s">
        <v>155</v>
      </c>
      <c r="G352" t="s">
        <v>128</v>
      </c>
      <c r="H352" t="s">
        <v>128</v>
      </c>
      <c r="I352" t="s">
        <v>134</v>
      </c>
      <c r="J352" t="s">
        <v>323</v>
      </c>
      <c r="K352" t="s">
        <v>157</v>
      </c>
      <c r="L352" s="19">
        <v>44109</v>
      </c>
      <c r="M352" s="19">
        <v>44153</v>
      </c>
      <c r="N352" s="27" t="s">
        <v>557</v>
      </c>
    </row>
    <row r="353" spans="1:14" x14ac:dyDescent="0.25">
      <c r="A353" s="38" t="str">
        <f>HYPERLINK("http://reports.ofsted.gov.uk/inspection-reports/find-inspection-report/provider/CARE/1224093","Ofsted Social Care Provider Webpage")</f>
        <v>Ofsted Social Care Provider Webpage</v>
      </c>
      <c r="B353" s="3">
        <v>1224093</v>
      </c>
      <c r="C353" t="s">
        <v>34</v>
      </c>
      <c r="D353" s="19">
        <v>42312</v>
      </c>
      <c r="E353" t="s">
        <v>154</v>
      </c>
      <c r="F353" t="s">
        <v>155</v>
      </c>
      <c r="G353" t="s">
        <v>48</v>
      </c>
      <c r="H353" t="s">
        <v>48</v>
      </c>
      <c r="I353" t="s">
        <v>52</v>
      </c>
      <c r="J353" t="s">
        <v>511</v>
      </c>
      <c r="K353" t="s">
        <v>157</v>
      </c>
      <c r="L353" s="19">
        <v>44109</v>
      </c>
      <c r="M353" s="19">
        <v>44134</v>
      </c>
      <c r="N353" s="27" t="s">
        <v>557</v>
      </c>
    </row>
    <row r="354" spans="1:14" x14ac:dyDescent="0.25">
      <c r="A354" s="38" t="str">
        <f>HYPERLINK("http://reports.ofsted.gov.uk/inspection-reports/find-inspection-report/provider/CARE/SC068991","Ofsted Social Care Provider Webpage")</f>
        <v>Ofsted Social Care Provider Webpage</v>
      </c>
      <c r="B354" s="3" t="s">
        <v>514</v>
      </c>
      <c r="C354" t="s">
        <v>34</v>
      </c>
      <c r="D354" s="19">
        <v>39097</v>
      </c>
      <c r="E354" t="s">
        <v>154</v>
      </c>
      <c r="F354" t="s">
        <v>155</v>
      </c>
      <c r="G354" t="s">
        <v>48</v>
      </c>
      <c r="H354" t="s">
        <v>48</v>
      </c>
      <c r="I354" t="s">
        <v>49</v>
      </c>
      <c r="J354" t="s">
        <v>341</v>
      </c>
      <c r="K354" t="s">
        <v>157</v>
      </c>
      <c r="L354" s="19">
        <v>44109</v>
      </c>
      <c r="M354" s="19">
        <v>44134</v>
      </c>
      <c r="N354" s="27" t="s">
        <v>557</v>
      </c>
    </row>
    <row r="355" spans="1:14" x14ac:dyDescent="0.25">
      <c r="A355" s="38" t="str">
        <f>HYPERLINK("http://reports.ofsted.gov.uk/inspection-reports/find-inspection-report/provider/CARE/SC063794","Ofsted Social Care Provider Webpage")</f>
        <v>Ofsted Social Care Provider Webpage</v>
      </c>
      <c r="B355" s="3" t="s">
        <v>513</v>
      </c>
      <c r="C355" t="s">
        <v>34</v>
      </c>
      <c r="D355" s="19">
        <v>38483</v>
      </c>
      <c r="E355" t="s">
        <v>154</v>
      </c>
      <c r="F355" t="s">
        <v>155</v>
      </c>
      <c r="G355" t="s">
        <v>128</v>
      </c>
      <c r="H355" t="s">
        <v>128</v>
      </c>
      <c r="I355" t="s">
        <v>134</v>
      </c>
      <c r="J355" t="s">
        <v>378</v>
      </c>
      <c r="K355" t="s">
        <v>157</v>
      </c>
      <c r="L355" s="19">
        <v>44109</v>
      </c>
      <c r="M355" s="19">
        <v>44130</v>
      </c>
      <c r="N355" s="27" t="s">
        <v>557</v>
      </c>
    </row>
    <row r="356" spans="1:14" x14ac:dyDescent="0.25">
      <c r="A356" s="38" t="str">
        <f>HYPERLINK("http://reports.ofsted.gov.uk/inspection-reports/find-inspection-report/provider/CARE/SC413078","Ofsted Social Care Provider Webpage")</f>
        <v>Ofsted Social Care Provider Webpage</v>
      </c>
      <c r="B356" s="3" t="s">
        <v>595</v>
      </c>
      <c r="C356" t="s">
        <v>34</v>
      </c>
      <c r="D356" s="19">
        <v>40387</v>
      </c>
      <c r="E356" t="s">
        <v>154</v>
      </c>
      <c r="F356" t="s">
        <v>155</v>
      </c>
      <c r="G356" t="s">
        <v>39</v>
      </c>
      <c r="H356" t="s">
        <v>39</v>
      </c>
      <c r="I356" t="s">
        <v>46</v>
      </c>
      <c r="J356" t="s">
        <v>596</v>
      </c>
      <c r="K356" t="s">
        <v>157</v>
      </c>
      <c r="L356" s="19">
        <v>44109</v>
      </c>
      <c r="M356" s="19">
        <v>44146</v>
      </c>
      <c r="N356" s="27" t="s">
        <v>557</v>
      </c>
    </row>
    <row r="357" spans="1:14" x14ac:dyDescent="0.25">
      <c r="A357" s="38" t="str">
        <f>HYPERLINK("http://reports.ofsted.gov.uk/inspection-reports/find-inspection-report/provider/CARE/SC426530","Ofsted Social Care Provider Webpage")</f>
        <v>Ofsted Social Care Provider Webpage</v>
      </c>
      <c r="B357" s="3" t="s">
        <v>851</v>
      </c>
      <c r="C357" t="s">
        <v>34</v>
      </c>
      <c r="D357" s="19">
        <v>40791</v>
      </c>
      <c r="E357" t="s">
        <v>154</v>
      </c>
      <c r="F357" t="s">
        <v>155</v>
      </c>
      <c r="G357" t="s">
        <v>105</v>
      </c>
      <c r="H357" t="s">
        <v>105</v>
      </c>
      <c r="I357" t="s">
        <v>112</v>
      </c>
      <c r="J357" t="s">
        <v>392</v>
      </c>
      <c r="K357" t="s">
        <v>157</v>
      </c>
      <c r="L357" s="19">
        <v>44109</v>
      </c>
      <c r="M357" s="19">
        <v>44159</v>
      </c>
      <c r="N357" s="27" t="s">
        <v>559</v>
      </c>
    </row>
    <row r="358" spans="1:14" x14ac:dyDescent="0.25">
      <c r="A358" s="38" t="str">
        <f>HYPERLINK("http://reports.ofsted.gov.uk/inspection-reports/find-inspection-report/provider/CARE/1271581","Ofsted Social Care Provider Webpage")</f>
        <v>Ofsted Social Care Provider Webpage</v>
      </c>
      <c r="B358" s="3">
        <v>1271581</v>
      </c>
      <c r="C358" t="s">
        <v>34</v>
      </c>
      <c r="D358" s="19">
        <v>43194</v>
      </c>
      <c r="E358" t="s">
        <v>154</v>
      </c>
      <c r="F358" t="s">
        <v>155</v>
      </c>
      <c r="G358" t="s">
        <v>87</v>
      </c>
      <c r="H358" t="s">
        <v>87</v>
      </c>
      <c r="I358" t="s">
        <v>89</v>
      </c>
      <c r="J358" t="s">
        <v>276</v>
      </c>
      <c r="K358" t="s">
        <v>157</v>
      </c>
      <c r="L358" s="19">
        <v>44109</v>
      </c>
      <c r="M358" s="19">
        <v>44138</v>
      </c>
      <c r="N358" s="27" t="s">
        <v>557</v>
      </c>
    </row>
    <row r="359" spans="1:14" x14ac:dyDescent="0.25">
      <c r="A359" s="38" t="str">
        <f>HYPERLINK("http://reports.ofsted.gov.uk/inspection-reports/find-inspection-report/provider/CARE/SC013884","Ofsted Social Care Provider Webpage")</f>
        <v>Ofsted Social Care Provider Webpage</v>
      </c>
      <c r="B359" s="3" t="s">
        <v>852</v>
      </c>
      <c r="C359" t="s">
        <v>35</v>
      </c>
      <c r="D359" s="19">
        <v>37301</v>
      </c>
      <c r="E359" t="s">
        <v>154</v>
      </c>
      <c r="F359" t="s">
        <v>853</v>
      </c>
      <c r="G359" t="s">
        <v>105</v>
      </c>
      <c r="H359" t="s">
        <v>105</v>
      </c>
      <c r="I359" t="s">
        <v>112</v>
      </c>
      <c r="J359" t="s">
        <v>854</v>
      </c>
      <c r="K359" t="s">
        <v>518</v>
      </c>
      <c r="L359" s="19">
        <v>44109</v>
      </c>
      <c r="M359" s="19">
        <v>44168</v>
      </c>
      <c r="N359" s="27" t="s">
        <v>557</v>
      </c>
    </row>
    <row r="360" spans="1:14" x14ac:dyDescent="0.25">
      <c r="A360" s="38" t="str">
        <f>HYPERLINK("http://reports.ofsted.gov.uk/inspection-reports/find-inspection-report/provider/CARE/SC359836","Ofsted Social Care Provider Webpage")</f>
        <v>Ofsted Social Care Provider Webpage</v>
      </c>
      <c r="B360" s="3" t="s">
        <v>621</v>
      </c>
      <c r="C360" t="s">
        <v>34</v>
      </c>
      <c r="D360" s="19">
        <v>39330</v>
      </c>
      <c r="E360" t="s">
        <v>154</v>
      </c>
      <c r="F360" t="s">
        <v>155</v>
      </c>
      <c r="G360" t="s">
        <v>87</v>
      </c>
      <c r="H360" t="s">
        <v>87</v>
      </c>
      <c r="I360" t="s">
        <v>93</v>
      </c>
      <c r="J360" t="s">
        <v>398</v>
      </c>
      <c r="K360" t="s">
        <v>172</v>
      </c>
      <c r="L360" s="19">
        <v>44110</v>
      </c>
      <c r="M360" s="19">
        <v>44145</v>
      </c>
      <c r="N360" s="27" t="s">
        <v>557</v>
      </c>
    </row>
    <row r="361" spans="1:14" x14ac:dyDescent="0.25">
      <c r="A361" s="38" t="str">
        <f>HYPERLINK("http://reports.ofsted.gov.uk/inspection-reports/find-inspection-report/provider/CARE/SC409738","Ofsted Social Care Provider Webpage")</f>
        <v>Ofsted Social Care Provider Webpage</v>
      </c>
      <c r="B361" s="3" t="s">
        <v>653</v>
      </c>
      <c r="C361" t="s">
        <v>34</v>
      </c>
      <c r="D361" s="19">
        <v>40350</v>
      </c>
      <c r="E361" t="s">
        <v>154</v>
      </c>
      <c r="F361" t="s">
        <v>155</v>
      </c>
      <c r="G361" t="s">
        <v>87</v>
      </c>
      <c r="H361" t="s">
        <v>87</v>
      </c>
      <c r="I361" t="s">
        <v>563</v>
      </c>
      <c r="J361" t="s">
        <v>563</v>
      </c>
      <c r="K361" t="s">
        <v>168</v>
      </c>
      <c r="L361" s="19">
        <v>44110</v>
      </c>
      <c r="M361" s="19">
        <v>44148</v>
      </c>
      <c r="N361" s="27" t="s">
        <v>557</v>
      </c>
    </row>
    <row r="362" spans="1:14" x14ac:dyDescent="0.25">
      <c r="A362" s="38" t="str">
        <f>HYPERLINK("http://reports.ofsted.gov.uk/inspection-reports/find-inspection-report/provider/CARE/SC065535","Ofsted Social Care Provider Webpage")</f>
        <v>Ofsted Social Care Provider Webpage</v>
      </c>
      <c r="B362" s="3" t="s">
        <v>855</v>
      </c>
      <c r="C362" t="s">
        <v>34</v>
      </c>
      <c r="D362" s="19">
        <v>38625</v>
      </c>
      <c r="E362" t="s">
        <v>154</v>
      </c>
      <c r="F362" t="s">
        <v>155</v>
      </c>
      <c r="G362" t="s">
        <v>57</v>
      </c>
      <c r="H362" t="s">
        <v>57</v>
      </c>
      <c r="I362" t="s">
        <v>682</v>
      </c>
      <c r="J362" t="s">
        <v>856</v>
      </c>
      <c r="K362" t="s">
        <v>157</v>
      </c>
      <c r="L362" s="19">
        <v>44110</v>
      </c>
      <c r="M362" s="19">
        <v>44151</v>
      </c>
      <c r="N362" s="27" t="s">
        <v>557</v>
      </c>
    </row>
    <row r="363" spans="1:14" x14ac:dyDescent="0.25">
      <c r="A363" s="38" t="str">
        <f>HYPERLINK("http://reports.ofsted.gov.uk/inspection-reports/find-inspection-report/provider/CARE/SC060811","Ofsted Social Care Provider Webpage")</f>
        <v>Ofsted Social Care Provider Webpage</v>
      </c>
      <c r="B363" s="3" t="s">
        <v>857</v>
      </c>
      <c r="C363" t="s">
        <v>34</v>
      </c>
      <c r="D363" s="19">
        <v>38244</v>
      </c>
      <c r="E363" t="s">
        <v>154</v>
      </c>
      <c r="F363" t="s">
        <v>155</v>
      </c>
      <c r="G363" t="s">
        <v>64</v>
      </c>
      <c r="H363" t="s">
        <v>164</v>
      </c>
      <c r="I363" t="s">
        <v>86</v>
      </c>
      <c r="J363" t="s">
        <v>169</v>
      </c>
      <c r="K363" t="s">
        <v>157</v>
      </c>
      <c r="L363" s="19">
        <v>44110</v>
      </c>
      <c r="M363" s="19">
        <v>44152</v>
      </c>
      <c r="N363" s="27" t="s">
        <v>557</v>
      </c>
    </row>
    <row r="364" spans="1:14" x14ac:dyDescent="0.25">
      <c r="A364" s="38" t="str">
        <f>HYPERLINK("http://reports.ofsted.gov.uk/inspection-reports/find-inspection-report/provider/CARE/1240936","Ofsted Social Care Provider Webpage")</f>
        <v>Ofsted Social Care Provider Webpage</v>
      </c>
      <c r="B364" s="3">
        <v>1240936</v>
      </c>
      <c r="C364" t="s">
        <v>34</v>
      </c>
      <c r="D364" s="19">
        <v>42688</v>
      </c>
      <c r="E364" t="s">
        <v>154</v>
      </c>
      <c r="F364" t="s">
        <v>155</v>
      </c>
      <c r="G364" t="s">
        <v>128</v>
      </c>
      <c r="H364" t="s">
        <v>128</v>
      </c>
      <c r="I364" t="s">
        <v>129</v>
      </c>
      <c r="J364" t="s">
        <v>307</v>
      </c>
      <c r="K364" t="s">
        <v>157</v>
      </c>
      <c r="L364" s="19">
        <v>44110</v>
      </c>
      <c r="M364" s="19">
        <v>44131</v>
      </c>
      <c r="N364" s="27" t="s">
        <v>557</v>
      </c>
    </row>
    <row r="365" spans="1:14" x14ac:dyDescent="0.25">
      <c r="A365" s="38" t="str">
        <f>HYPERLINK("http://reports.ofsted.gov.uk/inspection-reports/find-inspection-report/provider/CARE/SC424141","Ofsted Social Care Provider Webpage")</f>
        <v>Ofsted Social Care Provider Webpage</v>
      </c>
      <c r="B365" s="3" t="s">
        <v>858</v>
      </c>
      <c r="C365" t="s">
        <v>34</v>
      </c>
      <c r="D365" s="19">
        <v>40612</v>
      </c>
      <c r="E365" t="s">
        <v>154</v>
      </c>
      <c r="F365" t="s">
        <v>155</v>
      </c>
      <c r="G365" t="s">
        <v>64</v>
      </c>
      <c r="H365" t="s">
        <v>164</v>
      </c>
      <c r="I365" t="s">
        <v>66</v>
      </c>
      <c r="J365" t="s">
        <v>283</v>
      </c>
      <c r="K365" t="s">
        <v>157</v>
      </c>
      <c r="L365" s="19">
        <v>44110</v>
      </c>
      <c r="M365" s="19">
        <v>44153</v>
      </c>
      <c r="N365" s="27" t="s">
        <v>559</v>
      </c>
    </row>
    <row r="366" spans="1:14" x14ac:dyDescent="0.25">
      <c r="A366" s="38" t="str">
        <f>HYPERLINK("http://reports.ofsted.gov.uk/inspection-reports/find-inspection-report/provider/CARE/SC488290","Ofsted Social Care Provider Webpage")</f>
        <v>Ofsted Social Care Provider Webpage</v>
      </c>
      <c r="B366" s="3" t="s">
        <v>580</v>
      </c>
      <c r="C366" t="s">
        <v>581</v>
      </c>
      <c r="D366" s="19">
        <v>42192</v>
      </c>
      <c r="E366" t="s">
        <v>154</v>
      </c>
      <c r="F366" t="s">
        <v>582</v>
      </c>
      <c r="G366" t="s">
        <v>87</v>
      </c>
      <c r="H366" t="s">
        <v>87</v>
      </c>
      <c r="I366" t="s">
        <v>93</v>
      </c>
      <c r="J366" t="s">
        <v>179</v>
      </c>
      <c r="K366" t="s">
        <v>157</v>
      </c>
      <c r="L366" s="19">
        <v>44110</v>
      </c>
      <c r="M366" s="19">
        <v>44146</v>
      </c>
      <c r="N366" s="27" t="s">
        <v>557</v>
      </c>
    </row>
    <row r="367" spans="1:14" x14ac:dyDescent="0.25">
      <c r="A367" s="38" t="str">
        <f>HYPERLINK("http://reports.ofsted.gov.uk/inspection-reports/find-inspection-report/provider/CARE/SC366343","Ofsted Social Care Provider Webpage")</f>
        <v>Ofsted Social Care Provider Webpage</v>
      </c>
      <c r="B367" s="3" t="s">
        <v>859</v>
      </c>
      <c r="C367" t="s">
        <v>34</v>
      </c>
      <c r="D367" s="19">
        <v>39484</v>
      </c>
      <c r="E367" t="s">
        <v>154</v>
      </c>
      <c r="F367" t="s">
        <v>155</v>
      </c>
      <c r="G367" t="s">
        <v>87</v>
      </c>
      <c r="H367" t="s">
        <v>87</v>
      </c>
      <c r="I367" t="s">
        <v>697</v>
      </c>
      <c r="J367" t="s">
        <v>860</v>
      </c>
      <c r="K367" t="s">
        <v>157</v>
      </c>
      <c r="L367" s="19">
        <v>44110</v>
      </c>
      <c r="M367" s="19">
        <v>44154</v>
      </c>
      <c r="N367" s="27" t="s">
        <v>557</v>
      </c>
    </row>
    <row r="368" spans="1:14" x14ac:dyDescent="0.25">
      <c r="A368" s="38" t="str">
        <f>HYPERLINK("http://reports.ofsted.gov.uk/inspection-reports/find-inspection-report/provider/CARE/SC024594","Ofsted Social Care Provider Webpage")</f>
        <v>Ofsted Social Care Provider Webpage</v>
      </c>
      <c r="B368" s="3" t="s">
        <v>613</v>
      </c>
      <c r="C368" t="s">
        <v>35</v>
      </c>
      <c r="D368" s="19">
        <v>37305</v>
      </c>
      <c r="E368" t="s">
        <v>154</v>
      </c>
      <c r="F368" t="s">
        <v>614</v>
      </c>
      <c r="G368" t="s">
        <v>48</v>
      </c>
      <c r="H368" t="s">
        <v>48</v>
      </c>
      <c r="I368" t="s">
        <v>56</v>
      </c>
      <c r="J368" t="s">
        <v>615</v>
      </c>
      <c r="K368" t="s">
        <v>172</v>
      </c>
      <c r="L368" s="19">
        <v>44110</v>
      </c>
      <c r="M368" s="19">
        <v>44144</v>
      </c>
      <c r="N368" s="27" t="s">
        <v>557</v>
      </c>
    </row>
    <row r="369" spans="1:14" x14ac:dyDescent="0.25">
      <c r="A369" s="38" t="str">
        <f>HYPERLINK("http://reports.ofsted.gov.uk/inspection-reports/find-inspection-report/provider/CARE/SC050390","Ofsted Social Care Provider Webpage")</f>
        <v>Ofsted Social Care Provider Webpage</v>
      </c>
      <c r="B369" s="3" t="s">
        <v>861</v>
      </c>
      <c r="C369" t="s">
        <v>35</v>
      </c>
      <c r="D369" s="19">
        <v>37824</v>
      </c>
      <c r="E369" t="s">
        <v>154</v>
      </c>
      <c r="F369" t="s">
        <v>862</v>
      </c>
      <c r="G369" t="s">
        <v>105</v>
      </c>
      <c r="H369" t="s">
        <v>105</v>
      </c>
      <c r="I369" t="s">
        <v>107</v>
      </c>
      <c r="J369" t="s">
        <v>783</v>
      </c>
      <c r="K369" t="s">
        <v>168</v>
      </c>
      <c r="L369" s="19">
        <v>44110</v>
      </c>
      <c r="M369" s="19">
        <v>44175</v>
      </c>
      <c r="N369" s="27" t="s">
        <v>557</v>
      </c>
    </row>
    <row r="370" spans="1:14" x14ac:dyDescent="0.25">
      <c r="A370" s="38" t="str">
        <f>HYPERLINK("http://reports.ofsted.gov.uk/inspection-reports/find-inspection-report/provider/CARE/SC356604","Ofsted Social Care Provider Webpage")</f>
        <v>Ofsted Social Care Provider Webpage</v>
      </c>
      <c r="B370" s="3" t="s">
        <v>863</v>
      </c>
      <c r="C370" t="s">
        <v>34</v>
      </c>
      <c r="D370" s="19">
        <v>39329</v>
      </c>
      <c r="E370" t="s">
        <v>154</v>
      </c>
      <c r="F370" t="s">
        <v>155</v>
      </c>
      <c r="G370" t="s">
        <v>64</v>
      </c>
      <c r="H370" t="s">
        <v>164</v>
      </c>
      <c r="I370" t="s">
        <v>65</v>
      </c>
      <c r="J370" t="s">
        <v>864</v>
      </c>
      <c r="K370" t="s">
        <v>157</v>
      </c>
      <c r="L370" s="19">
        <v>44110</v>
      </c>
      <c r="M370" s="19">
        <v>44155</v>
      </c>
      <c r="N370" s="27" t="s">
        <v>557</v>
      </c>
    </row>
    <row r="371" spans="1:14" x14ac:dyDescent="0.25">
      <c r="A371" s="38" t="str">
        <f>HYPERLINK("http://reports.ofsted.gov.uk/inspection-reports/find-inspection-report/provider/CARE/2525774","Ofsted Social Care Provider Webpage")</f>
        <v>Ofsted Social Care Provider Webpage</v>
      </c>
      <c r="B371" s="3">
        <v>2525774</v>
      </c>
      <c r="C371" t="s">
        <v>34</v>
      </c>
      <c r="D371" s="19">
        <v>43613</v>
      </c>
      <c r="E371" t="s">
        <v>154</v>
      </c>
      <c r="F371" t="s">
        <v>155</v>
      </c>
      <c r="G371" t="s">
        <v>87</v>
      </c>
      <c r="H371" t="s">
        <v>87</v>
      </c>
      <c r="I371" t="s">
        <v>96</v>
      </c>
      <c r="J371" t="s">
        <v>160</v>
      </c>
      <c r="K371" t="s">
        <v>157</v>
      </c>
      <c r="L371" s="19">
        <v>44110</v>
      </c>
      <c r="M371" s="19">
        <v>44148</v>
      </c>
      <c r="N371" s="27" t="s">
        <v>557</v>
      </c>
    </row>
    <row r="372" spans="1:14" x14ac:dyDescent="0.25">
      <c r="A372" s="38" t="str">
        <f>HYPERLINK("http://reports.ofsted.gov.uk/inspection-reports/find-inspection-report/provider/CARE/SC432404","Ofsted Social Care Provider Webpage")</f>
        <v>Ofsted Social Care Provider Webpage</v>
      </c>
      <c r="B372" s="3" t="s">
        <v>522</v>
      </c>
      <c r="C372" t="s">
        <v>34</v>
      </c>
      <c r="D372" s="19">
        <v>40794</v>
      </c>
      <c r="E372" t="s">
        <v>154</v>
      </c>
      <c r="F372" t="s">
        <v>155</v>
      </c>
      <c r="G372" t="s">
        <v>114</v>
      </c>
      <c r="H372" t="s">
        <v>114</v>
      </c>
      <c r="I372" t="s">
        <v>117</v>
      </c>
      <c r="J372" t="s">
        <v>523</v>
      </c>
      <c r="K372" t="s">
        <v>524</v>
      </c>
      <c r="L372" s="19">
        <v>44110</v>
      </c>
      <c r="M372" s="19">
        <v>44137</v>
      </c>
      <c r="N372" s="27" t="s">
        <v>557</v>
      </c>
    </row>
    <row r="373" spans="1:14" x14ac:dyDescent="0.25">
      <c r="A373" s="38" t="str">
        <f>HYPERLINK("http://reports.ofsted.gov.uk/inspection-reports/find-inspection-report/provider/CARE/SC482668","Ofsted Social Care Provider Webpage")</f>
        <v>Ofsted Social Care Provider Webpage</v>
      </c>
      <c r="B373" s="3" t="s">
        <v>626</v>
      </c>
      <c r="C373" t="s">
        <v>34</v>
      </c>
      <c r="D373" s="19">
        <v>42060</v>
      </c>
      <c r="E373" t="s">
        <v>154</v>
      </c>
      <c r="F373" t="s">
        <v>155</v>
      </c>
      <c r="G373" t="s">
        <v>128</v>
      </c>
      <c r="H373" t="s">
        <v>128</v>
      </c>
      <c r="I373" t="s">
        <v>627</v>
      </c>
      <c r="J373" t="s">
        <v>628</v>
      </c>
      <c r="K373" t="s">
        <v>157</v>
      </c>
      <c r="L373" s="19">
        <v>44110</v>
      </c>
      <c r="M373" s="19">
        <v>44148</v>
      </c>
      <c r="N373" s="27" t="s">
        <v>557</v>
      </c>
    </row>
    <row r="374" spans="1:14" x14ac:dyDescent="0.25">
      <c r="A374" s="38" t="str">
        <f>HYPERLINK("http://reports.ofsted.gov.uk/inspection-reports/find-inspection-report/provider/CARE/SC483688","Ofsted Social Care Provider Webpage")</f>
        <v>Ofsted Social Care Provider Webpage</v>
      </c>
      <c r="B374" s="3" t="s">
        <v>622</v>
      </c>
      <c r="C374" t="s">
        <v>34</v>
      </c>
      <c r="D374" s="19">
        <v>41976</v>
      </c>
      <c r="E374" t="s">
        <v>154</v>
      </c>
      <c r="F374" t="s">
        <v>155</v>
      </c>
      <c r="G374" t="s">
        <v>87</v>
      </c>
      <c r="H374" t="s">
        <v>87</v>
      </c>
      <c r="I374" t="s">
        <v>93</v>
      </c>
      <c r="J374" t="s">
        <v>623</v>
      </c>
      <c r="K374" t="s">
        <v>157</v>
      </c>
      <c r="L374" s="19">
        <v>44110</v>
      </c>
      <c r="M374" s="19">
        <v>44146</v>
      </c>
      <c r="N374" s="27" t="s">
        <v>557</v>
      </c>
    </row>
    <row r="375" spans="1:14" x14ac:dyDescent="0.25">
      <c r="A375" s="38" t="str">
        <f>HYPERLINK("http://reports.ofsted.gov.uk/inspection-reports/find-inspection-report/provider/CARE/SC060354","Ofsted Social Care Provider Webpage")</f>
        <v>Ofsted Social Care Provider Webpage</v>
      </c>
      <c r="B375" s="3" t="s">
        <v>515</v>
      </c>
      <c r="C375" t="s">
        <v>33</v>
      </c>
      <c r="D375" s="19">
        <v>38041</v>
      </c>
      <c r="E375" t="s">
        <v>154</v>
      </c>
      <c r="F375" t="s">
        <v>516</v>
      </c>
      <c r="G375" t="s">
        <v>105</v>
      </c>
      <c r="H375" t="s">
        <v>105</v>
      </c>
      <c r="I375" t="s">
        <v>109</v>
      </c>
      <c r="J375" t="s">
        <v>517</v>
      </c>
      <c r="K375" t="s">
        <v>518</v>
      </c>
      <c r="L375" s="19">
        <v>44110</v>
      </c>
      <c r="M375" s="19">
        <v>44141</v>
      </c>
      <c r="N375" s="27" t="s">
        <v>557</v>
      </c>
    </row>
    <row r="376" spans="1:14" x14ac:dyDescent="0.25">
      <c r="A376" s="38" t="str">
        <f>HYPERLINK("http://reports.ofsted.gov.uk/inspection-reports/find-inspection-report/provider/CARE/SC066115","Ofsted Social Care Provider Webpage")</f>
        <v>Ofsted Social Care Provider Webpage</v>
      </c>
      <c r="B376" s="3" t="s">
        <v>605</v>
      </c>
      <c r="C376" t="s">
        <v>34</v>
      </c>
      <c r="D376" s="19">
        <v>38868</v>
      </c>
      <c r="E376" t="s">
        <v>154</v>
      </c>
      <c r="F376" t="s">
        <v>155</v>
      </c>
      <c r="G376" t="s">
        <v>87</v>
      </c>
      <c r="H376" t="s">
        <v>87</v>
      </c>
      <c r="I376" t="s">
        <v>93</v>
      </c>
      <c r="J376" t="s">
        <v>179</v>
      </c>
      <c r="K376" t="s">
        <v>157</v>
      </c>
      <c r="L376" s="19">
        <v>44110</v>
      </c>
      <c r="M376" s="19">
        <v>44144</v>
      </c>
      <c r="N376" s="27" t="s">
        <v>557</v>
      </c>
    </row>
    <row r="377" spans="1:14" x14ac:dyDescent="0.25">
      <c r="A377" s="38" t="str">
        <f>HYPERLINK("http://reports.ofsted.gov.uk/inspection-reports/find-inspection-report/provider/CARE/SC479632","Ofsted Social Care Provider Webpage")</f>
        <v>Ofsted Social Care Provider Webpage</v>
      </c>
      <c r="B377" s="3" t="s">
        <v>865</v>
      </c>
      <c r="C377" t="s">
        <v>34</v>
      </c>
      <c r="D377" s="19">
        <v>41857</v>
      </c>
      <c r="E377" t="s">
        <v>154</v>
      </c>
      <c r="F377" t="s">
        <v>155</v>
      </c>
      <c r="G377" t="s">
        <v>87</v>
      </c>
      <c r="H377" t="s">
        <v>87</v>
      </c>
      <c r="I377" t="s">
        <v>92</v>
      </c>
      <c r="J377" t="s">
        <v>866</v>
      </c>
      <c r="K377" t="s">
        <v>157</v>
      </c>
      <c r="L377" s="19">
        <v>44110</v>
      </c>
      <c r="M377" s="19">
        <v>44153</v>
      </c>
      <c r="N377" s="27" t="s">
        <v>557</v>
      </c>
    </row>
    <row r="378" spans="1:14" x14ac:dyDescent="0.25">
      <c r="A378" s="38" t="str">
        <f>HYPERLINK("http://reports.ofsted.gov.uk/inspection-reports/find-inspection-report/provider/CARE/SC023651","Ofsted Social Care Provider Webpage")</f>
        <v>Ofsted Social Care Provider Webpage</v>
      </c>
      <c r="B378" s="3" t="s">
        <v>867</v>
      </c>
      <c r="C378" t="s">
        <v>34</v>
      </c>
      <c r="D378" s="19">
        <v>34684</v>
      </c>
      <c r="E378" t="s">
        <v>154</v>
      </c>
      <c r="F378" t="s">
        <v>155</v>
      </c>
      <c r="G378" t="s">
        <v>105</v>
      </c>
      <c r="H378" t="s">
        <v>105</v>
      </c>
      <c r="I378" t="s">
        <v>109</v>
      </c>
      <c r="J378" t="s">
        <v>588</v>
      </c>
      <c r="K378" t="s">
        <v>157</v>
      </c>
      <c r="L378" s="19">
        <v>44110</v>
      </c>
      <c r="M378" s="19">
        <v>44165</v>
      </c>
      <c r="N378" s="27" t="s">
        <v>557</v>
      </c>
    </row>
    <row r="379" spans="1:14" x14ac:dyDescent="0.25">
      <c r="A379" s="38" t="str">
        <f>HYPERLINK("http://reports.ofsted.gov.uk/inspection-reports/find-inspection-report/provider/CARE/SC001831","Ofsted Social Care Provider Webpage")</f>
        <v>Ofsted Social Care Provider Webpage</v>
      </c>
      <c r="B379" s="3" t="s">
        <v>602</v>
      </c>
      <c r="C379" t="s">
        <v>35</v>
      </c>
      <c r="D379" s="19">
        <v>37299</v>
      </c>
      <c r="E379" t="s">
        <v>154</v>
      </c>
      <c r="F379" t="s">
        <v>603</v>
      </c>
      <c r="G379" t="s">
        <v>39</v>
      </c>
      <c r="H379" t="s">
        <v>39</v>
      </c>
      <c r="I379" t="s">
        <v>42</v>
      </c>
      <c r="J379" t="s">
        <v>177</v>
      </c>
      <c r="K379" t="s">
        <v>157</v>
      </c>
      <c r="L379" s="19">
        <v>44110</v>
      </c>
      <c r="M379" s="19">
        <v>44145</v>
      </c>
      <c r="N379" s="27" t="s">
        <v>557</v>
      </c>
    </row>
    <row r="380" spans="1:14" x14ac:dyDescent="0.25">
      <c r="A380" s="38" t="str">
        <f>HYPERLINK("http://reports.ofsted.gov.uk/inspection-reports/find-inspection-report/provider/CARE/2547837","Ofsted Social Care Provider Webpage")</f>
        <v>Ofsted Social Care Provider Webpage</v>
      </c>
      <c r="B380" s="3">
        <v>2547837</v>
      </c>
      <c r="C380" t="s">
        <v>34</v>
      </c>
      <c r="D380" s="19">
        <v>43816</v>
      </c>
      <c r="E380" t="s">
        <v>154</v>
      </c>
      <c r="F380" t="s">
        <v>155</v>
      </c>
      <c r="G380" t="s">
        <v>87</v>
      </c>
      <c r="H380" t="s">
        <v>87</v>
      </c>
      <c r="I380" t="s">
        <v>570</v>
      </c>
      <c r="J380" t="s">
        <v>571</v>
      </c>
      <c r="K380" t="s">
        <v>157</v>
      </c>
      <c r="L380" s="19">
        <v>44110</v>
      </c>
      <c r="M380" s="19">
        <v>44148</v>
      </c>
      <c r="N380" s="27" t="s">
        <v>557</v>
      </c>
    </row>
    <row r="381" spans="1:14" x14ac:dyDescent="0.25">
      <c r="A381" s="38" t="str">
        <f>HYPERLINK("http://reports.ofsted.gov.uk/inspection-reports/find-inspection-report/provider/CARE/SC383941","Ofsted Social Care Provider Webpage")</f>
        <v>Ofsted Social Care Provider Webpage</v>
      </c>
      <c r="B381" s="3" t="s">
        <v>519</v>
      </c>
      <c r="C381" t="s">
        <v>34</v>
      </c>
      <c r="D381" s="19">
        <v>39805</v>
      </c>
      <c r="E381" t="s">
        <v>154</v>
      </c>
      <c r="F381" t="s">
        <v>155</v>
      </c>
      <c r="G381" t="s">
        <v>128</v>
      </c>
      <c r="H381" t="s">
        <v>128</v>
      </c>
      <c r="I381" t="s">
        <v>140</v>
      </c>
      <c r="J381" t="s">
        <v>520</v>
      </c>
      <c r="K381" t="s">
        <v>157</v>
      </c>
      <c r="L381" s="19">
        <v>44110</v>
      </c>
      <c r="M381" s="19">
        <v>44134</v>
      </c>
      <c r="N381" s="27" t="s">
        <v>557</v>
      </c>
    </row>
    <row r="382" spans="1:14" x14ac:dyDescent="0.25">
      <c r="A382" s="38" t="str">
        <f>HYPERLINK("http://reports.ofsted.gov.uk/inspection-reports/find-inspection-report/provider/CARE/SC435322","Ofsted Social Care Provider Webpage")</f>
        <v>Ofsted Social Care Provider Webpage</v>
      </c>
      <c r="B382" s="3" t="s">
        <v>521</v>
      </c>
      <c r="C382" t="s">
        <v>36</v>
      </c>
      <c r="D382" s="19">
        <v>40801</v>
      </c>
      <c r="E382" t="s">
        <v>154</v>
      </c>
      <c r="F382" t="s">
        <v>155</v>
      </c>
      <c r="G382" t="s">
        <v>48</v>
      </c>
      <c r="H382" t="s">
        <v>48</v>
      </c>
      <c r="I382" t="s">
        <v>53</v>
      </c>
      <c r="J382" t="s">
        <v>178</v>
      </c>
      <c r="K382" t="s">
        <v>157</v>
      </c>
      <c r="L382" s="19">
        <v>44110</v>
      </c>
      <c r="M382" s="19">
        <v>44133</v>
      </c>
      <c r="N382" s="27" t="s">
        <v>557</v>
      </c>
    </row>
    <row r="383" spans="1:14" x14ac:dyDescent="0.25">
      <c r="A383" s="38" t="str">
        <f>HYPERLINK("http://reports.ofsted.gov.uk/inspection-reports/find-inspection-report/provider/CARE/SC482293","Ofsted Social Care Provider Webpage")</f>
        <v>Ofsted Social Care Provider Webpage</v>
      </c>
      <c r="B383" s="3" t="s">
        <v>868</v>
      </c>
      <c r="C383" t="s">
        <v>34</v>
      </c>
      <c r="D383" s="19">
        <v>41904</v>
      </c>
      <c r="E383" t="s">
        <v>154</v>
      </c>
      <c r="F383" t="s">
        <v>155</v>
      </c>
      <c r="G383" t="s">
        <v>105</v>
      </c>
      <c r="H383" t="s">
        <v>105</v>
      </c>
      <c r="I383" t="s">
        <v>108</v>
      </c>
      <c r="J383" t="s">
        <v>869</v>
      </c>
      <c r="K383" t="s">
        <v>157</v>
      </c>
      <c r="L383" s="19">
        <v>44110</v>
      </c>
      <c r="M383" s="19">
        <v>44154</v>
      </c>
      <c r="N383" s="27" t="s">
        <v>557</v>
      </c>
    </row>
    <row r="384" spans="1:14" x14ac:dyDescent="0.25">
      <c r="A384" s="38" t="str">
        <f>HYPERLINK("http://reports.ofsted.gov.uk/inspection-reports/find-inspection-report/provider/CARE/SC037647","Ofsted Social Care Provider Webpage")</f>
        <v>Ofsted Social Care Provider Webpage</v>
      </c>
      <c r="B384" s="3" t="s">
        <v>639</v>
      </c>
      <c r="C384" t="s">
        <v>34</v>
      </c>
      <c r="D384" s="19">
        <v>37683</v>
      </c>
      <c r="E384" t="s">
        <v>154</v>
      </c>
      <c r="F384" t="s">
        <v>155</v>
      </c>
      <c r="G384" t="s">
        <v>87</v>
      </c>
      <c r="H384" t="s">
        <v>87</v>
      </c>
      <c r="I384" t="s">
        <v>563</v>
      </c>
      <c r="J384" t="s">
        <v>563</v>
      </c>
      <c r="K384" t="s">
        <v>172</v>
      </c>
      <c r="L384" s="19">
        <v>44110</v>
      </c>
      <c r="M384" s="19">
        <v>44144</v>
      </c>
      <c r="N384" s="27" t="s">
        <v>557</v>
      </c>
    </row>
    <row r="385" spans="1:14" x14ac:dyDescent="0.25">
      <c r="A385" s="38" t="str">
        <f>HYPERLINK("http://reports.ofsted.gov.uk/inspection-reports/find-inspection-report/provider/CARE/1259508","Ofsted Social Care Provider Webpage")</f>
        <v>Ofsted Social Care Provider Webpage</v>
      </c>
      <c r="B385" s="3">
        <v>1259508</v>
      </c>
      <c r="C385" t="s">
        <v>34</v>
      </c>
      <c r="D385" s="19">
        <v>42999</v>
      </c>
      <c r="E385" t="s">
        <v>154</v>
      </c>
      <c r="F385" t="s">
        <v>155</v>
      </c>
      <c r="G385" t="s">
        <v>105</v>
      </c>
      <c r="H385" t="s">
        <v>105</v>
      </c>
      <c r="I385" t="s">
        <v>110</v>
      </c>
      <c r="J385" t="s">
        <v>397</v>
      </c>
      <c r="K385" t="s">
        <v>157</v>
      </c>
      <c r="L385" s="19">
        <v>44110</v>
      </c>
      <c r="M385" s="19">
        <v>44158</v>
      </c>
      <c r="N385" s="27" t="s">
        <v>557</v>
      </c>
    </row>
    <row r="386" spans="1:14" x14ac:dyDescent="0.25">
      <c r="A386" s="38" t="str">
        <f>HYPERLINK("http://reports.ofsted.gov.uk/inspection-reports/find-inspection-report/provider/CARE/SC010699","Ofsted Social Care Provider Webpage")</f>
        <v>Ofsted Social Care Provider Webpage</v>
      </c>
      <c r="B386" s="3" t="s">
        <v>610</v>
      </c>
      <c r="C386" t="s">
        <v>34</v>
      </c>
      <c r="D386" s="19">
        <v>37252</v>
      </c>
      <c r="E386" t="s">
        <v>154</v>
      </c>
      <c r="F386" t="s">
        <v>155</v>
      </c>
      <c r="G386" t="s">
        <v>57</v>
      </c>
      <c r="H386" t="s">
        <v>57</v>
      </c>
      <c r="I386" t="s">
        <v>611</v>
      </c>
      <c r="J386" t="s">
        <v>612</v>
      </c>
      <c r="K386" t="s">
        <v>157</v>
      </c>
      <c r="L386" s="19">
        <v>44110</v>
      </c>
      <c r="M386" s="19">
        <v>44147</v>
      </c>
      <c r="N386" s="27" t="s">
        <v>557</v>
      </c>
    </row>
    <row r="387" spans="1:14" x14ac:dyDescent="0.25">
      <c r="A387" s="38" t="str">
        <f>HYPERLINK("http://reports.ofsted.gov.uk/inspection-reports/find-inspection-report/provider/CARE/SC489036","Ofsted Social Care Provider Webpage")</f>
        <v>Ofsted Social Care Provider Webpage</v>
      </c>
      <c r="B387" s="3" t="s">
        <v>583</v>
      </c>
      <c r="C387" t="s">
        <v>34</v>
      </c>
      <c r="D387" s="19">
        <v>42250</v>
      </c>
      <c r="E387" t="s">
        <v>154</v>
      </c>
      <c r="F387" t="s">
        <v>155</v>
      </c>
      <c r="G387" t="s">
        <v>39</v>
      </c>
      <c r="H387" t="s">
        <v>39</v>
      </c>
      <c r="I387" t="s">
        <v>42</v>
      </c>
      <c r="J387" t="s">
        <v>578</v>
      </c>
      <c r="K387" t="s">
        <v>157</v>
      </c>
      <c r="L387" s="19">
        <v>44110</v>
      </c>
      <c r="M387" s="19">
        <v>44146</v>
      </c>
      <c r="N387" s="27" t="s">
        <v>557</v>
      </c>
    </row>
    <row r="388" spans="1:14" x14ac:dyDescent="0.25">
      <c r="A388" s="38" t="str">
        <f>HYPERLINK("http://reports.ofsted.gov.uk/inspection-reports/find-inspection-report/provider/CARE/SC035805","Ofsted Social Care Provider Webpage")</f>
        <v>Ofsted Social Care Provider Webpage</v>
      </c>
      <c r="B388" s="3" t="s">
        <v>870</v>
      </c>
      <c r="C388" t="s">
        <v>35</v>
      </c>
      <c r="D388" s="19">
        <v>37480</v>
      </c>
      <c r="E388" t="s">
        <v>154</v>
      </c>
      <c r="F388" t="s">
        <v>871</v>
      </c>
      <c r="G388" t="s">
        <v>87</v>
      </c>
      <c r="H388" t="s">
        <v>87</v>
      </c>
      <c r="I388" t="s">
        <v>93</v>
      </c>
      <c r="J388" t="s">
        <v>829</v>
      </c>
      <c r="K388" t="s">
        <v>172</v>
      </c>
      <c r="L388" s="19">
        <v>44110</v>
      </c>
      <c r="M388" s="19">
        <v>44161</v>
      </c>
      <c r="N388" s="27" t="s">
        <v>557</v>
      </c>
    </row>
    <row r="389" spans="1:14" x14ac:dyDescent="0.25">
      <c r="A389" s="38" t="str">
        <f>HYPERLINK("http://reports.ofsted.gov.uk/inspection-reports/find-inspection-report/provider/CARE/2561970","Ofsted Social Care Provider Webpage")</f>
        <v>Ofsted Social Care Provider Webpage</v>
      </c>
      <c r="B389" s="3">
        <v>2561970</v>
      </c>
      <c r="C389" t="s">
        <v>34</v>
      </c>
      <c r="D389" s="19">
        <v>43843</v>
      </c>
      <c r="E389" t="s">
        <v>154</v>
      </c>
      <c r="F389" t="s">
        <v>155</v>
      </c>
      <c r="G389" t="s">
        <v>87</v>
      </c>
      <c r="H389" t="s">
        <v>87</v>
      </c>
      <c r="I389" t="s">
        <v>90</v>
      </c>
      <c r="J389" t="s">
        <v>525</v>
      </c>
      <c r="K389" t="s">
        <v>157</v>
      </c>
      <c r="L389" s="19">
        <v>44110</v>
      </c>
      <c r="M389" s="19">
        <v>44141</v>
      </c>
      <c r="N389" s="27" t="s">
        <v>557</v>
      </c>
    </row>
    <row r="390" spans="1:14" x14ac:dyDescent="0.25">
      <c r="A390" s="38" t="str">
        <f>HYPERLINK("http://reports.ofsted.gov.uk/inspection-reports/find-inspection-report/provider/CARE/1252120","Ofsted Social Care Provider Webpage")</f>
        <v>Ofsted Social Care Provider Webpage</v>
      </c>
      <c r="B390" s="3">
        <v>1252120</v>
      </c>
      <c r="C390" t="s">
        <v>34</v>
      </c>
      <c r="D390" s="19">
        <v>42874</v>
      </c>
      <c r="E390" t="s">
        <v>154</v>
      </c>
      <c r="F390" t="s">
        <v>155</v>
      </c>
      <c r="G390" t="s">
        <v>64</v>
      </c>
      <c r="H390" t="s">
        <v>213</v>
      </c>
      <c r="I390" t="s">
        <v>70</v>
      </c>
      <c r="J390" t="s">
        <v>496</v>
      </c>
      <c r="K390" t="s">
        <v>157</v>
      </c>
      <c r="L390" s="19">
        <v>44110</v>
      </c>
      <c r="M390" s="19">
        <v>44144</v>
      </c>
      <c r="N390" s="27" t="s">
        <v>557</v>
      </c>
    </row>
    <row r="391" spans="1:14" x14ac:dyDescent="0.25">
      <c r="A391" s="38" t="str">
        <f>HYPERLINK("http://reports.ofsted.gov.uk/inspection-reports/find-inspection-report/provider/CARE/SC063550","Ofsted Social Care Provider Webpage")</f>
        <v>Ofsted Social Care Provider Webpage</v>
      </c>
      <c r="B391" s="3" t="s">
        <v>526</v>
      </c>
      <c r="C391" t="s">
        <v>34</v>
      </c>
      <c r="D391" s="19">
        <v>38433</v>
      </c>
      <c r="E391" t="s">
        <v>154</v>
      </c>
      <c r="F391" t="s">
        <v>155</v>
      </c>
      <c r="G391" t="s">
        <v>87</v>
      </c>
      <c r="H391" t="s">
        <v>87</v>
      </c>
      <c r="I391" t="s">
        <v>99</v>
      </c>
      <c r="J391" t="s">
        <v>180</v>
      </c>
      <c r="K391" t="s">
        <v>172</v>
      </c>
      <c r="L391" s="19">
        <v>44110</v>
      </c>
      <c r="M391" s="19">
        <v>44140</v>
      </c>
      <c r="N391" s="27" t="s">
        <v>557</v>
      </c>
    </row>
    <row r="392" spans="1:14" x14ac:dyDescent="0.25">
      <c r="A392" s="38" t="str">
        <f>HYPERLINK("http://reports.ofsted.gov.uk/inspection-reports/find-inspection-report/provider/CARE/SC448209","Ofsted Social Care Provider Webpage")</f>
        <v>Ofsted Social Care Provider Webpage</v>
      </c>
      <c r="B392" s="3" t="s">
        <v>654</v>
      </c>
      <c r="C392" t="s">
        <v>36</v>
      </c>
      <c r="D392" s="19">
        <v>41117</v>
      </c>
      <c r="E392" t="s">
        <v>154</v>
      </c>
      <c r="F392" t="s">
        <v>155</v>
      </c>
      <c r="G392" t="s">
        <v>128</v>
      </c>
      <c r="H392" t="s">
        <v>128</v>
      </c>
      <c r="I392" t="s">
        <v>133</v>
      </c>
      <c r="J392" t="s">
        <v>354</v>
      </c>
      <c r="K392" t="s">
        <v>157</v>
      </c>
      <c r="L392" s="19">
        <v>44111</v>
      </c>
      <c r="M392" s="19">
        <v>44144</v>
      </c>
      <c r="N392" s="27" t="s">
        <v>557</v>
      </c>
    </row>
    <row r="393" spans="1:14" x14ac:dyDescent="0.25">
      <c r="A393" s="38" t="str">
        <f>HYPERLINK("http://reports.ofsted.gov.uk/inspection-reports/find-inspection-report/provider/CARE/1264756","Ofsted Social Care Provider Webpage")</f>
        <v>Ofsted Social Care Provider Webpage</v>
      </c>
      <c r="B393" s="3">
        <v>1264756</v>
      </c>
      <c r="C393" t="s">
        <v>34</v>
      </c>
      <c r="D393" s="19">
        <v>43029</v>
      </c>
      <c r="E393" t="s">
        <v>154</v>
      </c>
      <c r="F393" t="s">
        <v>155</v>
      </c>
      <c r="G393" t="s">
        <v>114</v>
      </c>
      <c r="H393" t="s">
        <v>114</v>
      </c>
      <c r="I393" t="s">
        <v>118</v>
      </c>
      <c r="J393" t="s">
        <v>413</v>
      </c>
      <c r="K393" t="s">
        <v>157</v>
      </c>
      <c r="L393" s="19">
        <v>44111</v>
      </c>
      <c r="M393" s="19">
        <v>44146</v>
      </c>
      <c r="N393" s="27" t="s">
        <v>559</v>
      </c>
    </row>
    <row r="394" spans="1:14" x14ac:dyDescent="0.25">
      <c r="A394" s="38" t="str">
        <f>HYPERLINK("http://reports.ofsted.gov.uk/inspection-reports/find-inspection-report/provider/CARE/SC035380","Ofsted Social Care Provider Webpage")</f>
        <v>Ofsted Social Care Provider Webpage</v>
      </c>
      <c r="B394" s="3" t="s">
        <v>872</v>
      </c>
      <c r="C394" t="s">
        <v>34</v>
      </c>
      <c r="D394" s="19">
        <v>37705</v>
      </c>
      <c r="E394" t="s">
        <v>154</v>
      </c>
      <c r="F394" t="s">
        <v>155</v>
      </c>
      <c r="G394" t="s">
        <v>64</v>
      </c>
      <c r="H394" t="s">
        <v>213</v>
      </c>
      <c r="I394" t="s">
        <v>84</v>
      </c>
      <c r="J394" t="s">
        <v>844</v>
      </c>
      <c r="K394" t="s">
        <v>172</v>
      </c>
      <c r="L394" s="19">
        <v>44111</v>
      </c>
      <c r="M394" s="19">
        <v>44155</v>
      </c>
      <c r="N394" s="27" t="s">
        <v>557</v>
      </c>
    </row>
    <row r="395" spans="1:14" x14ac:dyDescent="0.25">
      <c r="A395" s="38" t="str">
        <f>HYPERLINK("http://reports.ofsted.gov.uk/inspection-reports/find-inspection-report/provider/CARE/SC489820","Ofsted Social Care Provider Webpage")</f>
        <v>Ofsted Social Care Provider Webpage</v>
      </c>
      <c r="B395" s="3" t="s">
        <v>528</v>
      </c>
      <c r="C395" t="s">
        <v>34</v>
      </c>
      <c r="D395" s="19">
        <v>42286</v>
      </c>
      <c r="E395" t="s">
        <v>154</v>
      </c>
      <c r="F395" t="s">
        <v>155</v>
      </c>
      <c r="G395" t="s">
        <v>114</v>
      </c>
      <c r="H395" t="s">
        <v>114</v>
      </c>
      <c r="I395" t="s">
        <v>119</v>
      </c>
      <c r="J395" t="s">
        <v>529</v>
      </c>
      <c r="K395" t="s">
        <v>157</v>
      </c>
      <c r="L395" s="19">
        <v>44111</v>
      </c>
      <c r="M395" s="19">
        <v>44138</v>
      </c>
      <c r="N395" s="27" t="s">
        <v>557</v>
      </c>
    </row>
    <row r="396" spans="1:14" x14ac:dyDescent="0.25">
      <c r="A396" s="38" t="str">
        <f>HYPERLINK("http://reports.ofsted.gov.uk/inspection-reports/find-inspection-report/provider/CARE/SC458352","Ofsted Social Care Provider Webpage")</f>
        <v>Ofsted Social Care Provider Webpage</v>
      </c>
      <c r="B396" s="3" t="s">
        <v>873</v>
      </c>
      <c r="C396" t="s">
        <v>34</v>
      </c>
      <c r="D396" s="19">
        <v>41347</v>
      </c>
      <c r="E396" t="s">
        <v>154</v>
      </c>
      <c r="F396" t="s">
        <v>155</v>
      </c>
      <c r="G396" t="s">
        <v>114</v>
      </c>
      <c r="H396" t="s">
        <v>114</v>
      </c>
      <c r="I396" t="s">
        <v>118</v>
      </c>
      <c r="J396" t="s">
        <v>636</v>
      </c>
      <c r="K396" t="s">
        <v>157</v>
      </c>
      <c r="L396" s="19">
        <v>44111</v>
      </c>
      <c r="M396" s="19">
        <v>44154</v>
      </c>
      <c r="N396" s="27" t="s">
        <v>557</v>
      </c>
    </row>
    <row r="397" spans="1:14" x14ac:dyDescent="0.25">
      <c r="A397" s="38" t="str">
        <f>HYPERLINK("http://reports.ofsted.gov.uk/inspection-reports/find-inspection-report/provider/CARE/2563818","Ofsted Social Care Provider Webpage")</f>
        <v>Ofsted Social Care Provider Webpage</v>
      </c>
      <c r="B397" s="3">
        <v>2563818</v>
      </c>
      <c r="C397" t="s">
        <v>532</v>
      </c>
      <c r="D397" s="19">
        <v>43833</v>
      </c>
      <c r="E397" t="s">
        <v>154</v>
      </c>
      <c r="F397" t="s">
        <v>155</v>
      </c>
      <c r="G397" t="s">
        <v>128</v>
      </c>
      <c r="H397" t="s">
        <v>128</v>
      </c>
      <c r="I397" t="s">
        <v>133</v>
      </c>
      <c r="J397" t="s">
        <v>412</v>
      </c>
      <c r="K397" t="s">
        <v>157</v>
      </c>
      <c r="L397" s="19">
        <v>44111</v>
      </c>
      <c r="M397" s="19">
        <v>44148</v>
      </c>
      <c r="N397" s="27" t="s">
        <v>557</v>
      </c>
    </row>
    <row r="398" spans="1:14" x14ac:dyDescent="0.25">
      <c r="A398" s="38" t="str">
        <f>HYPERLINK("http://reports.ofsted.gov.uk/inspection-reports/find-inspection-report/provider/CARE/2567607","Ofsted Social Care Provider Webpage")</f>
        <v>Ofsted Social Care Provider Webpage</v>
      </c>
      <c r="B398" s="3">
        <v>2567607</v>
      </c>
      <c r="C398" t="s">
        <v>34</v>
      </c>
      <c r="D398" s="19">
        <v>43864</v>
      </c>
      <c r="E398" t="s">
        <v>154</v>
      </c>
      <c r="F398" t="s">
        <v>155</v>
      </c>
      <c r="G398" t="s">
        <v>39</v>
      </c>
      <c r="H398" t="s">
        <v>39</v>
      </c>
      <c r="I398" t="s">
        <v>42</v>
      </c>
      <c r="J398" t="s">
        <v>439</v>
      </c>
      <c r="K398" t="s">
        <v>157</v>
      </c>
      <c r="L398" s="19">
        <v>44111</v>
      </c>
      <c r="M398" s="19">
        <v>44151</v>
      </c>
      <c r="N398" s="27" t="s">
        <v>559</v>
      </c>
    </row>
    <row r="399" spans="1:14" x14ac:dyDescent="0.25">
      <c r="A399" s="38" t="str">
        <f>HYPERLINK("http://reports.ofsted.gov.uk/inspection-reports/find-inspection-report/provider/CARE/1241975","Ofsted Social Care Provider Webpage")</f>
        <v>Ofsted Social Care Provider Webpage</v>
      </c>
      <c r="B399" s="3">
        <v>1241975</v>
      </c>
      <c r="C399" t="s">
        <v>34</v>
      </c>
      <c r="D399" s="19">
        <v>42806</v>
      </c>
      <c r="E399" t="s">
        <v>154</v>
      </c>
      <c r="F399" t="s">
        <v>155</v>
      </c>
      <c r="G399" t="s">
        <v>128</v>
      </c>
      <c r="H399" t="s">
        <v>128</v>
      </c>
      <c r="I399" t="s">
        <v>130</v>
      </c>
      <c r="J399" t="s">
        <v>530</v>
      </c>
      <c r="K399" t="s">
        <v>157</v>
      </c>
      <c r="L399" s="19">
        <v>44111</v>
      </c>
      <c r="M399" s="19">
        <v>44140</v>
      </c>
      <c r="N399" s="27" t="s">
        <v>557</v>
      </c>
    </row>
    <row r="400" spans="1:14" x14ac:dyDescent="0.25">
      <c r="A400" s="38" t="str">
        <f>HYPERLINK("http://reports.ofsted.gov.uk/inspection-reports/find-inspection-report/provider/CARE/2548569","Ofsted Social Care Provider Webpage")</f>
        <v>Ofsted Social Care Provider Webpage</v>
      </c>
      <c r="B400" s="3">
        <v>2548569</v>
      </c>
      <c r="C400" t="s">
        <v>34</v>
      </c>
      <c r="D400" s="19">
        <v>43739</v>
      </c>
      <c r="E400" t="s">
        <v>154</v>
      </c>
      <c r="F400" t="s">
        <v>155</v>
      </c>
      <c r="G400" t="s">
        <v>128</v>
      </c>
      <c r="H400" t="s">
        <v>128</v>
      </c>
      <c r="I400" t="s">
        <v>140</v>
      </c>
      <c r="J400" t="s">
        <v>454</v>
      </c>
      <c r="K400" t="s">
        <v>157</v>
      </c>
      <c r="L400" s="19">
        <v>44111</v>
      </c>
      <c r="M400" s="19">
        <v>44134</v>
      </c>
      <c r="N400" s="27" t="s">
        <v>557</v>
      </c>
    </row>
    <row r="401" spans="1:14" x14ac:dyDescent="0.25">
      <c r="A401" s="38" t="str">
        <f>HYPERLINK("http://reports.ofsted.gov.uk/inspection-reports/find-inspection-report/provider/CARE/SC486398","Ofsted Social Care Provider Webpage")</f>
        <v>Ofsted Social Care Provider Webpage</v>
      </c>
      <c r="B401" s="3" t="s">
        <v>575</v>
      </c>
      <c r="C401" t="s">
        <v>34</v>
      </c>
      <c r="D401" s="19">
        <v>42138</v>
      </c>
      <c r="E401" t="s">
        <v>154</v>
      </c>
      <c r="F401" t="s">
        <v>155</v>
      </c>
      <c r="G401" t="s">
        <v>39</v>
      </c>
      <c r="H401" t="s">
        <v>39</v>
      </c>
      <c r="I401" t="s">
        <v>42</v>
      </c>
      <c r="J401" t="s">
        <v>499</v>
      </c>
      <c r="K401" t="s">
        <v>157</v>
      </c>
      <c r="L401" s="19">
        <v>44111</v>
      </c>
      <c r="M401" s="19">
        <v>44147</v>
      </c>
      <c r="N401" s="27" t="s">
        <v>557</v>
      </c>
    </row>
    <row r="402" spans="1:14" x14ac:dyDescent="0.25">
      <c r="A402" s="38" t="str">
        <f>HYPERLINK("http://reports.ofsted.gov.uk/inspection-reports/find-inspection-report/provider/CARE/SC029560","Ofsted Social Care Provider Webpage")</f>
        <v>Ofsted Social Care Provider Webpage</v>
      </c>
      <c r="B402" s="3" t="s">
        <v>527</v>
      </c>
      <c r="C402" t="s">
        <v>34</v>
      </c>
      <c r="D402" s="19">
        <v>37398</v>
      </c>
      <c r="E402" t="s">
        <v>154</v>
      </c>
      <c r="F402" t="s">
        <v>155</v>
      </c>
      <c r="G402" t="s">
        <v>48</v>
      </c>
      <c r="H402" t="s">
        <v>48</v>
      </c>
      <c r="I402" t="s">
        <v>55</v>
      </c>
      <c r="J402" t="s">
        <v>159</v>
      </c>
      <c r="K402" t="s">
        <v>157</v>
      </c>
      <c r="L402" s="19">
        <v>44111</v>
      </c>
      <c r="M402" s="19">
        <v>44140</v>
      </c>
      <c r="N402" s="27" t="s">
        <v>557</v>
      </c>
    </row>
    <row r="403" spans="1:14" x14ac:dyDescent="0.25">
      <c r="A403" s="38" t="str">
        <f>HYPERLINK("http://reports.ofsted.gov.uk/inspection-reports/find-inspection-report/provider/CARE/1256658","Ofsted Social Care Provider Webpage")</f>
        <v>Ofsted Social Care Provider Webpage</v>
      </c>
      <c r="B403" s="3">
        <v>1256658</v>
      </c>
      <c r="C403" t="s">
        <v>34</v>
      </c>
      <c r="D403" s="19">
        <v>42920</v>
      </c>
      <c r="E403" t="s">
        <v>154</v>
      </c>
      <c r="F403" t="s">
        <v>155</v>
      </c>
      <c r="G403" t="s">
        <v>87</v>
      </c>
      <c r="H403" t="s">
        <v>87</v>
      </c>
      <c r="I403" t="s">
        <v>562</v>
      </c>
      <c r="J403" t="s">
        <v>562</v>
      </c>
      <c r="K403" t="s">
        <v>157</v>
      </c>
      <c r="L403" s="19">
        <v>44111</v>
      </c>
      <c r="M403" s="19">
        <v>44144</v>
      </c>
      <c r="N403" s="27" t="s">
        <v>557</v>
      </c>
    </row>
    <row r="404" spans="1:14" x14ac:dyDescent="0.25">
      <c r="A404" s="38" t="str">
        <f>HYPERLINK("http://reports.ofsted.gov.uk/inspection-reports/find-inspection-report/provider/CARE/SC437171","Ofsted Social Care Provider Webpage")</f>
        <v>Ofsted Social Care Provider Webpage</v>
      </c>
      <c r="B404" s="3" t="s">
        <v>609</v>
      </c>
      <c r="C404" t="s">
        <v>34</v>
      </c>
      <c r="D404" s="19">
        <v>40814</v>
      </c>
      <c r="E404" t="s">
        <v>154</v>
      </c>
      <c r="F404" t="s">
        <v>155</v>
      </c>
      <c r="G404" t="s">
        <v>114</v>
      </c>
      <c r="H404" t="s">
        <v>114</v>
      </c>
      <c r="I404" t="s">
        <v>125</v>
      </c>
      <c r="J404" t="s">
        <v>181</v>
      </c>
      <c r="K404" t="s">
        <v>157</v>
      </c>
      <c r="L404" s="19">
        <v>44111</v>
      </c>
      <c r="M404" s="19">
        <v>44144</v>
      </c>
      <c r="N404" s="27" t="s">
        <v>557</v>
      </c>
    </row>
    <row r="405" spans="1:14" x14ac:dyDescent="0.25">
      <c r="A405" s="38" t="str">
        <f>HYPERLINK("http://reports.ofsted.gov.uk/inspection-reports/find-inspection-report/provider/CARE/1244493","Ofsted Social Care Provider Webpage")</f>
        <v>Ofsted Social Care Provider Webpage</v>
      </c>
      <c r="B405" s="3">
        <v>1244493</v>
      </c>
      <c r="C405" t="s">
        <v>34</v>
      </c>
      <c r="D405" s="19">
        <v>42776</v>
      </c>
      <c r="E405" t="s">
        <v>154</v>
      </c>
      <c r="F405" t="s">
        <v>155</v>
      </c>
      <c r="G405" t="s">
        <v>87</v>
      </c>
      <c r="H405" t="s">
        <v>87</v>
      </c>
      <c r="I405" t="s">
        <v>697</v>
      </c>
      <c r="J405" t="s">
        <v>860</v>
      </c>
      <c r="K405" t="s">
        <v>157</v>
      </c>
      <c r="L405" s="19">
        <v>44111</v>
      </c>
      <c r="M405" s="19">
        <v>44152</v>
      </c>
      <c r="N405" s="27" t="s">
        <v>557</v>
      </c>
    </row>
    <row r="406" spans="1:14" x14ac:dyDescent="0.25">
      <c r="A406" s="38" t="str">
        <f>HYPERLINK("http://reports.ofsted.gov.uk/inspection-reports/find-inspection-report/provider/CARE/SC007943","Ofsted Social Care Provider Webpage")</f>
        <v>Ofsted Social Care Provider Webpage</v>
      </c>
      <c r="B406" s="3" t="s">
        <v>592</v>
      </c>
      <c r="C406" t="s">
        <v>35</v>
      </c>
      <c r="D406" s="19">
        <v>37300</v>
      </c>
      <c r="E406" t="s">
        <v>154</v>
      </c>
      <c r="F406" t="s">
        <v>593</v>
      </c>
      <c r="G406" t="s">
        <v>64</v>
      </c>
      <c r="H406" t="s">
        <v>164</v>
      </c>
      <c r="I406" t="s">
        <v>79</v>
      </c>
      <c r="J406" t="s">
        <v>594</v>
      </c>
      <c r="K406" t="s">
        <v>172</v>
      </c>
      <c r="L406" s="19">
        <v>44111</v>
      </c>
      <c r="M406" s="19">
        <v>44147</v>
      </c>
      <c r="N406" s="27" t="s">
        <v>557</v>
      </c>
    </row>
    <row r="407" spans="1:14" x14ac:dyDescent="0.25">
      <c r="A407" s="38" t="str">
        <f>HYPERLINK("http://reports.ofsted.gov.uk/inspection-reports/find-inspection-report/provider/CARE/SC474179","Ofsted Social Care Provider Webpage")</f>
        <v>Ofsted Social Care Provider Webpage</v>
      </c>
      <c r="B407" s="3" t="s">
        <v>579</v>
      </c>
      <c r="C407" t="s">
        <v>34</v>
      </c>
      <c r="D407" s="19">
        <v>41758</v>
      </c>
      <c r="E407" t="s">
        <v>154</v>
      </c>
      <c r="F407" t="s">
        <v>155</v>
      </c>
      <c r="G407" t="s">
        <v>128</v>
      </c>
      <c r="H407" t="s">
        <v>128</v>
      </c>
      <c r="I407" t="s">
        <v>134</v>
      </c>
      <c r="J407" t="s">
        <v>467</v>
      </c>
      <c r="K407" t="s">
        <v>157</v>
      </c>
      <c r="L407" s="19">
        <v>44111</v>
      </c>
      <c r="M407" s="19">
        <v>44144</v>
      </c>
      <c r="N407" s="27" t="s">
        <v>557</v>
      </c>
    </row>
    <row r="408" spans="1:14" x14ac:dyDescent="0.25">
      <c r="A408" s="38" t="str">
        <f>HYPERLINK("http://reports.ofsted.gov.uk/inspection-reports/find-inspection-report/provider/CARE/1232658","Ofsted Social Care Provider Webpage")</f>
        <v>Ofsted Social Care Provider Webpage</v>
      </c>
      <c r="B408" s="3">
        <v>1232658</v>
      </c>
      <c r="C408" t="s">
        <v>34</v>
      </c>
      <c r="D408" s="19">
        <v>42660</v>
      </c>
      <c r="E408" t="s">
        <v>154</v>
      </c>
      <c r="F408" t="s">
        <v>155</v>
      </c>
      <c r="G408" t="s">
        <v>87</v>
      </c>
      <c r="H408" t="s">
        <v>87</v>
      </c>
      <c r="I408" t="s">
        <v>90</v>
      </c>
      <c r="J408" t="s">
        <v>586</v>
      </c>
      <c r="K408" t="s">
        <v>157</v>
      </c>
      <c r="L408" s="19">
        <v>44111</v>
      </c>
      <c r="M408" s="19">
        <v>44146</v>
      </c>
      <c r="N408" s="27" t="s">
        <v>557</v>
      </c>
    </row>
    <row r="409" spans="1:14" x14ac:dyDescent="0.25">
      <c r="A409" s="38" t="str">
        <f>HYPERLINK("http://reports.ofsted.gov.uk/inspection-reports/find-inspection-report/provider/CARE/1271375","Ofsted Social Care Provider Webpage")</f>
        <v>Ofsted Social Care Provider Webpage</v>
      </c>
      <c r="B409" s="3">
        <v>1271375</v>
      </c>
      <c r="C409" t="s">
        <v>34</v>
      </c>
      <c r="D409" s="19">
        <v>43171</v>
      </c>
      <c r="E409" t="s">
        <v>154</v>
      </c>
      <c r="F409" t="s">
        <v>155</v>
      </c>
      <c r="G409" t="s">
        <v>87</v>
      </c>
      <c r="H409" t="s">
        <v>87</v>
      </c>
      <c r="I409" t="s">
        <v>93</v>
      </c>
      <c r="J409" t="s">
        <v>587</v>
      </c>
      <c r="K409" t="s">
        <v>157</v>
      </c>
      <c r="L409" s="19">
        <v>44111</v>
      </c>
      <c r="M409" s="19">
        <v>44162</v>
      </c>
      <c r="N409" s="27" t="s">
        <v>559</v>
      </c>
    </row>
    <row r="410" spans="1:14" x14ac:dyDescent="0.25">
      <c r="A410" s="38" t="str">
        <f>HYPERLINK("http://reports.ofsted.gov.uk/inspection-reports/find-inspection-report/provider/CARE/SC481295","Ofsted Social Care Provider Webpage")</f>
        <v>Ofsted Social Care Provider Webpage</v>
      </c>
      <c r="B410" s="3" t="s">
        <v>531</v>
      </c>
      <c r="C410" t="s">
        <v>532</v>
      </c>
      <c r="D410" s="19">
        <v>41905</v>
      </c>
      <c r="E410" t="s">
        <v>154</v>
      </c>
      <c r="F410" t="s">
        <v>155</v>
      </c>
      <c r="G410" t="s">
        <v>87</v>
      </c>
      <c r="H410" t="s">
        <v>87</v>
      </c>
      <c r="I410" t="s">
        <v>91</v>
      </c>
      <c r="J410" t="s">
        <v>533</v>
      </c>
      <c r="K410" t="s">
        <v>157</v>
      </c>
      <c r="L410" s="19">
        <v>44111</v>
      </c>
      <c r="M410" s="19">
        <v>44141</v>
      </c>
      <c r="N410" s="27" t="s">
        <v>557</v>
      </c>
    </row>
    <row r="411" spans="1:14" x14ac:dyDescent="0.25">
      <c r="A411" s="38" t="str">
        <f>HYPERLINK("http://reports.ofsted.gov.uk/inspection-reports/find-inspection-report/provider/CARE/SC386258","Ofsted Social Care Provider Webpage")</f>
        <v>Ofsted Social Care Provider Webpage</v>
      </c>
      <c r="B411" s="3" t="s">
        <v>657</v>
      </c>
      <c r="C411" t="s">
        <v>34</v>
      </c>
      <c r="D411" s="19">
        <v>39797</v>
      </c>
      <c r="E411" t="s">
        <v>154</v>
      </c>
      <c r="F411" t="s">
        <v>155</v>
      </c>
      <c r="G411" t="s">
        <v>48</v>
      </c>
      <c r="H411" t="s">
        <v>48</v>
      </c>
      <c r="I411" t="s">
        <v>56</v>
      </c>
      <c r="J411" t="s">
        <v>325</v>
      </c>
      <c r="K411" t="s">
        <v>157</v>
      </c>
      <c r="L411" s="19">
        <v>44111</v>
      </c>
      <c r="M411" s="19">
        <v>44144</v>
      </c>
      <c r="N411" s="27" t="s">
        <v>557</v>
      </c>
    </row>
    <row r="412" spans="1:14" x14ac:dyDescent="0.25">
      <c r="A412" s="38" t="str">
        <f>HYPERLINK("http://reports.ofsted.gov.uk/inspection-reports/find-inspection-report/provider/CARE/1159397","Ofsted Social Care Provider Webpage")</f>
        <v>Ofsted Social Care Provider Webpage</v>
      </c>
      <c r="B412" s="3">
        <v>1159397</v>
      </c>
      <c r="C412" t="s">
        <v>34</v>
      </c>
      <c r="D412" s="19">
        <v>42464</v>
      </c>
      <c r="E412" t="s">
        <v>154</v>
      </c>
      <c r="F412" t="s">
        <v>155</v>
      </c>
      <c r="G412" t="s">
        <v>64</v>
      </c>
      <c r="H412" t="s">
        <v>164</v>
      </c>
      <c r="I412" t="s">
        <v>79</v>
      </c>
      <c r="J412" t="s">
        <v>601</v>
      </c>
      <c r="K412" t="s">
        <v>157</v>
      </c>
      <c r="L412" s="19">
        <v>44111</v>
      </c>
      <c r="M412" s="19">
        <v>44147</v>
      </c>
      <c r="N412" s="27" t="s">
        <v>557</v>
      </c>
    </row>
    <row r="413" spans="1:14" x14ac:dyDescent="0.25">
      <c r="A413" s="38" t="str">
        <f>HYPERLINK("http://reports.ofsted.gov.uk/inspection-reports/find-inspection-report/provider/CARE/1225136","Ofsted Social Care Provider Webpage")</f>
        <v>Ofsted Social Care Provider Webpage</v>
      </c>
      <c r="B413" s="3">
        <v>1225136</v>
      </c>
      <c r="C413" t="s">
        <v>34</v>
      </c>
      <c r="D413" s="19">
        <v>42508</v>
      </c>
      <c r="E413" t="s">
        <v>154</v>
      </c>
      <c r="F413" t="s">
        <v>155</v>
      </c>
      <c r="G413" t="s">
        <v>87</v>
      </c>
      <c r="H413" t="s">
        <v>87</v>
      </c>
      <c r="I413" t="s">
        <v>93</v>
      </c>
      <c r="J413" t="s">
        <v>587</v>
      </c>
      <c r="K413" t="s">
        <v>157</v>
      </c>
      <c r="L413" s="19">
        <v>44111</v>
      </c>
      <c r="M413" s="19">
        <v>44146</v>
      </c>
      <c r="N413" s="27" t="s">
        <v>557</v>
      </c>
    </row>
    <row r="414" spans="1:14" x14ac:dyDescent="0.25">
      <c r="A414" s="38" t="str">
        <f>HYPERLINK("http://reports.ofsted.gov.uk/inspection-reports/find-inspection-report/provider/CARE/SC378600","Ofsted Social Care Provider Webpage")</f>
        <v>Ofsted Social Care Provider Webpage</v>
      </c>
      <c r="B414" s="3" t="s">
        <v>577</v>
      </c>
      <c r="C414" t="s">
        <v>34</v>
      </c>
      <c r="D414" s="19">
        <v>39653</v>
      </c>
      <c r="E414" t="s">
        <v>154</v>
      </c>
      <c r="F414" t="s">
        <v>155</v>
      </c>
      <c r="G414" t="s">
        <v>39</v>
      </c>
      <c r="H414" t="s">
        <v>39</v>
      </c>
      <c r="I414" t="s">
        <v>42</v>
      </c>
      <c r="J414" t="s">
        <v>578</v>
      </c>
      <c r="K414" t="s">
        <v>157</v>
      </c>
      <c r="L414" s="19">
        <v>44111</v>
      </c>
      <c r="M414" s="19">
        <v>44146</v>
      </c>
      <c r="N414" s="27" t="s">
        <v>559</v>
      </c>
    </row>
    <row r="415" spans="1:14" x14ac:dyDescent="0.25">
      <c r="A415" s="38" t="str">
        <f>HYPERLINK("http://reports.ofsted.gov.uk/inspection-reports/find-inspection-report/provider/CARE/SC489610","Ofsted Social Care Provider Webpage")</f>
        <v>Ofsted Social Care Provider Webpage</v>
      </c>
      <c r="B415" s="3" t="s">
        <v>656</v>
      </c>
      <c r="C415" t="s">
        <v>34</v>
      </c>
      <c r="D415" s="19">
        <v>42153</v>
      </c>
      <c r="E415" t="s">
        <v>154</v>
      </c>
      <c r="F415" t="s">
        <v>155</v>
      </c>
      <c r="G415" t="s">
        <v>39</v>
      </c>
      <c r="H415" t="s">
        <v>39</v>
      </c>
      <c r="I415" t="s">
        <v>41</v>
      </c>
      <c r="J415" t="s">
        <v>484</v>
      </c>
      <c r="K415" t="s">
        <v>157</v>
      </c>
      <c r="L415" s="19">
        <v>44111</v>
      </c>
      <c r="M415" s="19">
        <v>44145</v>
      </c>
      <c r="N415" s="27" t="s">
        <v>557</v>
      </c>
    </row>
    <row r="416" spans="1:14" x14ac:dyDescent="0.25">
      <c r="A416" s="38" t="str">
        <f>HYPERLINK("http://reports.ofsted.gov.uk/inspection-reports/find-inspection-report/provider/CARE/SC456800","Ofsted Social Care Provider Webpage")</f>
        <v>Ofsted Social Care Provider Webpage</v>
      </c>
      <c r="B416" s="3" t="s">
        <v>874</v>
      </c>
      <c r="C416" t="s">
        <v>34</v>
      </c>
      <c r="D416" s="19">
        <v>41319</v>
      </c>
      <c r="E416" t="s">
        <v>154</v>
      </c>
      <c r="F416" t="s">
        <v>155</v>
      </c>
      <c r="G416" t="s">
        <v>87</v>
      </c>
      <c r="H416" t="s">
        <v>87</v>
      </c>
      <c r="I416" t="s">
        <v>102</v>
      </c>
      <c r="J416" t="s">
        <v>510</v>
      </c>
      <c r="K416" t="s">
        <v>157</v>
      </c>
      <c r="L416" s="19">
        <v>44111</v>
      </c>
      <c r="M416" s="19">
        <v>44152</v>
      </c>
      <c r="N416" s="27" t="s">
        <v>557</v>
      </c>
    </row>
    <row r="417" spans="1:14" x14ac:dyDescent="0.25">
      <c r="A417" s="38" t="str">
        <f>HYPERLINK("http://reports.ofsted.gov.uk/inspection-reports/find-inspection-report/provider/CARE/SC003884","Ofsted Social Care Provider Webpage")</f>
        <v>Ofsted Social Care Provider Webpage</v>
      </c>
      <c r="B417" s="3" t="s">
        <v>879</v>
      </c>
      <c r="C417" t="s">
        <v>34</v>
      </c>
      <c r="D417" s="19">
        <v>37183</v>
      </c>
      <c r="E417" t="s">
        <v>154</v>
      </c>
      <c r="F417" t="s">
        <v>155</v>
      </c>
      <c r="G417" t="s">
        <v>114</v>
      </c>
      <c r="H417" t="s">
        <v>114</v>
      </c>
      <c r="I417" t="s">
        <v>118</v>
      </c>
      <c r="J417" t="s">
        <v>636</v>
      </c>
      <c r="K417" t="s">
        <v>157</v>
      </c>
      <c r="L417" s="19">
        <v>44112</v>
      </c>
      <c r="M417" s="19">
        <v>44151</v>
      </c>
      <c r="N417" s="27" t="s">
        <v>557</v>
      </c>
    </row>
    <row r="418" spans="1:14" x14ac:dyDescent="0.25">
      <c r="A418" s="38" t="str">
        <f>HYPERLINK("http://reports.ofsted.gov.uk/inspection-reports/find-inspection-report/provider/CARE/1254840","Ofsted Social Care Provider Webpage")</f>
        <v>Ofsted Social Care Provider Webpage</v>
      </c>
      <c r="B418" s="3">
        <v>1254840</v>
      </c>
      <c r="C418" t="s">
        <v>34</v>
      </c>
      <c r="D418" s="19">
        <v>43105</v>
      </c>
      <c r="E418" t="s">
        <v>154</v>
      </c>
      <c r="F418" t="s">
        <v>155</v>
      </c>
      <c r="G418" t="s">
        <v>128</v>
      </c>
      <c r="H418" t="s">
        <v>128</v>
      </c>
      <c r="I418" t="s">
        <v>139</v>
      </c>
      <c r="J418" t="s">
        <v>640</v>
      </c>
      <c r="K418" t="s">
        <v>157</v>
      </c>
      <c r="L418" s="19">
        <v>44112</v>
      </c>
      <c r="M418" s="19">
        <v>44144</v>
      </c>
      <c r="N418" s="27" t="s">
        <v>557</v>
      </c>
    </row>
    <row r="419" spans="1:14" x14ac:dyDescent="0.25">
      <c r="A419" s="38" t="str">
        <f>HYPERLINK("http://reports.ofsted.gov.uk/inspection-reports/find-inspection-report/provider/CARE/1242216","Ofsted Social Care Provider Webpage")</f>
        <v>Ofsted Social Care Provider Webpage</v>
      </c>
      <c r="B419" s="3">
        <v>1242216</v>
      </c>
      <c r="C419" t="s">
        <v>34</v>
      </c>
      <c r="D419" s="19">
        <v>42635</v>
      </c>
      <c r="E419" t="s">
        <v>154</v>
      </c>
      <c r="F419" t="s">
        <v>155</v>
      </c>
      <c r="G419" t="s">
        <v>39</v>
      </c>
      <c r="H419" t="s">
        <v>39</v>
      </c>
      <c r="I419" t="s">
        <v>42</v>
      </c>
      <c r="J419" t="s">
        <v>205</v>
      </c>
      <c r="K419" t="s">
        <v>157</v>
      </c>
      <c r="L419" s="19">
        <v>44112</v>
      </c>
      <c r="M419" s="19">
        <v>44146</v>
      </c>
      <c r="N419" s="27" t="s">
        <v>557</v>
      </c>
    </row>
    <row r="420" spans="1:14" x14ac:dyDescent="0.25">
      <c r="A420" s="38" t="str">
        <f>HYPERLINK("http://reports.ofsted.gov.uk/inspection-reports/find-inspection-report/provider/CARE/SC394283","Ofsted Social Care Provider Webpage")</f>
        <v>Ofsted Social Care Provider Webpage</v>
      </c>
      <c r="B420" s="3" t="s">
        <v>534</v>
      </c>
      <c r="C420" t="s">
        <v>34</v>
      </c>
      <c r="D420" s="19">
        <v>39946</v>
      </c>
      <c r="E420" t="s">
        <v>154</v>
      </c>
      <c r="F420" t="s">
        <v>155</v>
      </c>
      <c r="G420" t="s">
        <v>87</v>
      </c>
      <c r="H420" t="s">
        <v>87</v>
      </c>
      <c r="I420" t="s">
        <v>98</v>
      </c>
      <c r="J420" t="s">
        <v>209</v>
      </c>
      <c r="K420" t="s">
        <v>172</v>
      </c>
      <c r="L420" s="19">
        <v>44112</v>
      </c>
      <c r="M420" s="19">
        <v>44139</v>
      </c>
      <c r="N420" s="27" t="s">
        <v>557</v>
      </c>
    </row>
    <row r="421" spans="1:14" x14ac:dyDescent="0.25">
      <c r="A421" s="38" t="str">
        <f>HYPERLINK("http://reports.ofsted.gov.uk/inspection-reports/find-inspection-report/provider/CARE/SC064011","Ofsted Social Care Provider Webpage")</f>
        <v>Ofsted Social Care Provider Webpage</v>
      </c>
      <c r="B421" s="3" t="s">
        <v>880</v>
      </c>
      <c r="C421" t="s">
        <v>34</v>
      </c>
      <c r="D421" s="19">
        <v>38453</v>
      </c>
      <c r="E421" t="s">
        <v>154</v>
      </c>
      <c r="F421" t="s">
        <v>155</v>
      </c>
      <c r="G421" t="s">
        <v>105</v>
      </c>
      <c r="H421" t="s">
        <v>105</v>
      </c>
      <c r="I421" t="s">
        <v>107</v>
      </c>
      <c r="J421" t="s">
        <v>881</v>
      </c>
      <c r="K421" t="s">
        <v>157</v>
      </c>
      <c r="L421" s="19">
        <v>44112</v>
      </c>
      <c r="M421" s="19">
        <v>44173</v>
      </c>
      <c r="N421" s="27" t="s">
        <v>557</v>
      </c>
    </row>
    <row r="422" spans="1:14" x14ac:dyDescent="0.25">
      <c r="A422" s="38" t="str">
        <f>HYPERLINK("http://reports.ofsted.gov.uk/inspection-reports/find-inspection-report/provider/CARE/SC370703","Ofsted Social Care Provider Webpage")</f>
        <v>Ofsted Social Care Provider Webpage</v>
      </c>
      <c r="B422" s="3" t="s">
        <v>949</v>
      </c>
      <c r="C422" t="s">
        <v>34</v>
      </c>
      <c r="D422" s="19">
        <v>39570</v>
      </c>
      <c r="E422" t="s">
        <v>154</v>
      </c>
      <c r="F422" t="s">
        <v>155</v>
      </c>
      <c r="G422" t="s">
        <v>105</v>
      </c>
      <c r="H422" t="s">
        <v>105</v>
      </c>
      <c r="I422" t="s">
        <v>112</v>
      </c>
      <c r="J422" t="s">
        <v>950</v>
      </c>
      <c r="K422" t="s">
        <v>172</v>
      </c>
      <c r="L422" s="19">
        <v>44116</v>
      </c>
      <c r="M422" s="19">
        <v>44200</v>
      </c>
      <c r="N422" s="27" t="s">
        <v>559</v>
      </c>
    </row>
    <row r="423" spans="1:14" x14ac:dyDescent="0.25">
      <c r="A423" s="38" t="str">
        <f>HYPERLINK("http://reports.ofsted.gov.uk/inspection-reports/find-inspection-report/provider/CARE/SC022448","Ofsted Social Care Provider Webpage")</f>
        <v>Ofsted Social Care Provider Webpage</v>
      </c>
      <c r="B423" s="3" t="s">
        <v>585</v>
      </c>
      <c r="C423" t="s">
        <v>37</v>
      </c>
      <c r="D423" s="19">
        <v>37305</v>
      </c>
      <c r="E423" t="s">
        <v>154</v>
      </c>
      <c r="F423" t="s">
        <v>155</v>
      </c>
      <c r="G423" t="s">
        <v>87</v>
      </c>
      <c r="H423" t="s">
        <v>87</v>
      </c>
      <c r="I423" t="s">
        <v>99</v>
      </c>
      <c r="J423" t="s">
        <v>180</v>
      </c>
      <c r="K423" t="s">
        <v>168</v>
      </c>
      <c r="L423" s="19">
        <v>44116</v>
      </c>
      <c r="M423" s="19">
        <v>44146</v>
      </c>
      <c r="N423" s="27" t="s">
        <v>557</v>
      </c>
    </row>
    <row r="424" spans="1:14" x14ac:dyDescent="0.25">
      <c r="A424" s="38" t="str">
        <f>HYPERLINK("http://reports.ofsted.gov.uk/inspection-reports/find-inspection-report/provider/CARE/2588370","Ofsted Social Care Provider Webpage")</f>
        <v>Ofsted Social Care Provider Webpage</v>
      </c>
      <c r="B424" s="3">
        <v>2588370</v>
      </c>
      <c r="C424" t="s">
        <v>34</v>
      </c>
      <c r="D424" s="19">
        <v>43935</v>
      </c>
      <c r="E424" t="s">
        <v>154</v>
      </c>
      <c r="F424" t="s">
        <v>155</v>
      </c>
      <c r="G424" t="s">
        <v>39</v>
      </c>
      <c r="H424" t="s">
        <v>39</v>
      </c>
      <c r="I424" t="s">
        <v>41</v>
      </c>
      <c r="J424" t="s">
        <v>597</v>
      </c>
      <c r="K424" t="s">
        <v>157</v>
      </c>
      <c r="L424" s="19">
        <v>44116</v>
      </c>
      <c r="M424" s="19">
        <v>44146</v>
      </c>
      <c r="N424" s="27" t="s">
        <v>557</v>
      </c>
    </row>
    <row r="425" spans="1:14" x14ac:dyDescent="0.25">
      <c r="A425" s="38" t="str">
        <f>HYPERLINK("http://reports.ofsted.gov.uk/inspection-reports/find-inspection-report/provider/CARE/SC046276","Ofsted Social Care Provider Webpage")</f>
        <v>Ofsted Social Care Provider Webpage</v>
      </c>
      <c r="B425" s="3" t="s">
        <v>564</v>
      </c>
      <c r="C425" t="s">
        <v>37</v>
      </c>
      <c r="D425" s="19">
        <v>38065</v>
      </c>
      <c r="E425" t="s">
        <v>154</v>
      </c>
      <c r="F425" t="s">
        <v>155</v>
      </c>
      <c r="G425" t="s">
        <v>114</v>
      </c>
      <c r="H425" t="s">
        <v>114</v>
      </c>
      <c r="I425" t="s">
        <v>118</v>
      </c>
      <c r="J425" t="s">
        <v>565</v>
      </c>
      <c r="K425" t="s">
        <v>172</v>
      </c>
      <c r="L425" s="19">
        <v>44116</v>
      </c>
      <c r="M425" s="19">
        <v>44147</v>
      </c>
      <c r="N425" s="27" t="s">
        <v>557</v>
      </c>
    </row>
    <row r="426" spans="1:14" x14ac:dyDescent="0.25">
      <c r="A426" s="38" t="str">
        <f>HYPERLINK("http://reports.ofsted.gov.uk/inspection-reports/find-inspection-report/provider/CARE/2530832","Ofsted Social Care Provider Webpage")</f>
        <v>Ofsted Social Care Provider Webpage</v>
      </c>
      <c r="B426" s="3">
        <v>2530832</v>
      </c>
      <c r="C426" t="s">
        <v>34</v>
      </c>
      <c r="D426" s="19">
        <v>43657</v>
      </c>
      <c r="E426" t="s">
        <v>154</v>
      </c>
      <c r="F426" t="s">
        <v>155</v>
      </c>
      <c r="G426" t="s">
        <v>128</v>
      </c>
      <c r="H426" t="s">
        <v>128</v>
      </c>
      <c r="I426" t="s">
        <v>627</v>
      </c>
      <c r="J426" t="s">
        <v>628</v>
      </c>
      <c r="K426" t="s">
        <v>157</v>
      </c>
      <c r="L426" s="19">
        <v>44116</v>
      </c>
      <c r="M426" s="19">
        <v>44153</v>
      </c>
      <c r="N426" s="27" t="s">
        <v>557</v>
      </c>
    </row>
    <row r="427" spans="1:14" x14ac:dyDescent="0.25">
      <c r="A427" s="38" t="str">
        <f>HYPERLINK("http://reports.ofsted.gov.uk/inspection-reports/find-inspection-report/provider/CARE/SC040191","Ofsted Social Care Provider Webpage")</f>
        <v>Ofsted Social Care Provider Webpage</v>
      </c>
      <c r="B427" s="3" t="s">
        <v>539</v>
      </c>
      <c r="C427" t="s">
        <v>34</v>
      </c>
      <c r="D427" s="19">
        <v>37578</v>
      </c>
      <c r="E427" t="s">
        <v>154</v>
      </c>
      <c r="F427" t="s">
        <v>155</v>
      </c>
      <c r="G427" t="s">
        <v>48</v>
      </c>
      <c r="H427" t="s">
        <v>48</v>
      </c>
      <c r="I427" t="s">
        <v>53</v>
      </c>
      <c r="J427" t="s">
        <v>346</v>
      </c>
      <c r="K427" t="s">
        <v>168</v>
      </c>
      <c r="L427" s="19">
        <v>44116</v>
      </c>
      <c r="M427" s="19">
        <v>44133</v>
      </c>
      <c r="N427" s="27" t="s">
        <v>557</v>
      </c>
    </row>
    <row r="428" spans="1:14" x14ac:dyDescent="0.25">
      <c r="A428" s="38" t="str">
        <f>HYPERLINK("http://reports.ofsted.gov.uk/inspection-reports/find-inspection-report/provider/CARE/SC487165","Ofsted Social Care Provider Webpage")</f>
        <v>Ofsted Social Care Provider Webpage</v>
      </c>
      <c r="B428" s="3" t="s">
        <v>951</v>
      </c>
      <c r="C428" t="s">
        <v>34</v>
      </c>
      <c r="D428" s="19">
        <v>42093</v>
      </c>
      <c r="E428" t="s">
        <v>154</v>
      </c>
      <c r="F428" t="s">
        <v>155</v>
      </c>
      <c r="G428" t="s">
        <v>105</v>
      </c>
      <c r="H428" t="s">
        <v>105</v>
      </c>
      <c r="I428" t="s">
        <v>108</v>
      </c>
      <c r="J428" t="s">
        <v>952</v>
      </c>
      <c r="K428" t="s">
        <v>157</v>
      </c>
      <c r="L428" s="19">
        <v>44116</v>
      </c>
      <c r="M428" s="19">
        <v>44173</v>
      </c>
      <c r="N428" s="27" t="s">
        <v>557</v>
      </c>
    </row>
    <row r="429" spans="1:14" x14ac:dyDescent="0.25">
      <c r="A429" s="38" t="str">
        <f>HYPERLINK("http://reports.ofsted.gov.uk/inspection-reports/find-inspection-report/provider/CARE/2523027","Ofsted Social Care Provider Webpage")</f>
        <v>Ofsted Social Care Provider Webpage</v>
      </c>
      <c r="B429" s="3">
        <v>2523027</v>
      </c>
      <c r="C429" t="s">
        <v>34</v>
      </c>
      <c r="D429" s="19">
        <v>43654</v>
      </c>
      <c r="E429" t="s">
        <v>154</v>
      </c>
      <c r="F429" t="s">
        <v>155</v>
      </c>
      <c r="G429" t="s">
        <v>105</v>
      </c>
      <c r="H429" t="s">
        <v>105</v>
      </c>
      <c r="I429" t="s">
        <v>703</v>
      </c>
      <c r="J429" t="s">
        <v>953</v>
      </c>
      <c r="K429" t="s">
        <v>157</v>
      </c>
      <c r="L429" s="19">
        <v>44116</v>
      </c>
      <c r="M429" s="19">
        <v>44159</v>
      </c>
      <c r="N429" s="27" t="s">
        <v>557</v>
      </c>
    </row>
    <row r="430" spans="1:14" x14ac:dyDescent="0.25">
      <c r="A430" s="38" t="str">
        <f>HYPERLINK("http://reports.ofsted.gov.uk/inspection-reports/find-inspection-report/provider/CARE/2495377","Ofsted Social Care Provider Webpage")</f>
        <v>Ofsted Social Care Provider Webpage</v>
      </c>
      <c r="B430" s="3">
        <v>2495377</v>
      </c>
      <c r="C430" t="s">
        <v>36</v>
      </c>
      <c r="D430" s="19">
        <v>43369</v>
      </c>
      <c r="E430" t="s">
        <v>154</v>
      </c>
      <c r="F430" t="s">
        <v>155</v>
      </c>
      <c r="G430" t="s">
        <v>48</v>
      </c>
      <c r="H430" t="s">
        <v>48</v>
      </c>
      <c r="I430" t="s">
        <v>52</v>
      </c>
      <c r="J430" t="s">
        <v>538</v>
      </c>
      <c r="K430" t="s">
        <v>168</v>
      </c>
      <c r="L430" s="19">
        <v>44116</v>
      </c>
      <c r="M430" s="19">
        <v>44141</v>
      </c>
      <c r="N430" s="27" t="s">
        <v>557</v>
      </c>
    </row>
    <row r="431" spans="1:14" x14ac:dyDescent="0.25">
      <c r="A431" s="38" t="str">
        <f>HYPERLINK("http://reports.ofsted.gov.uk/inspection-reports/find-inspection-report/provider/CARE/SC056397","Ofsted Social Care Provider Webpage")</f>
        <v>Ofsted Social Care Provider Webpage</v>
      </c>
      <c r="B431" s="3" t="s">
        <v>535</v>
      </c>
      <c r="C431" t="s">
        <v>35</v>
      </c>
      <c r="D431" s="19">
        <v>37914</v>
      </c>
      <c r="E431" t="s">
        <v>154</v>
      </c>
      <c r="F431" t="s">
        <v>536</v>
      </c>
      <c r="G431" t="s">
        <v>48</v>
      </c>
      <c r="H431" t="s">
        <v>48</v>
      </c>
      <c r="I431" t="s">
        <v>52</v>
      </c>
      <c r="J431" t="s">
        <v>537</v>
      </c>
      <c r="K431" t="s">
        <v>518</v>
      </c>
      <c r="L431" s="19">
        <v>44116</v>
      </c>
      <c r="M431" s="19">
        <v>44140</v>
      </c>
      <c r="N431" s="27" t="s">
        <v>557</v>
      </c>
    </row>
    <row r="432" spans="1:14" x14ac:dyDescent="0.25">
      <c r="A432" s="38" t="str">
        <f>HYPERLINK("http://reports.ofsted.gov.uk/inspection-reports/find-inspection-report/provider/CARE/SC047483","Ofsted Social Care Provider Webpage")</f>
        <v>Ofsted Social Care Provider Webpage</v>
      </c>
      <c r="B432" s="3" t="s">
        <v>572</v>
      </c>
      <c r="C432" t="s">
        <v>34</v>
      </c>
      <c r="D432" s="19">
        <v>37852</v>
      </c>
      <c r="E432" t="s">
        <v>154</v>
      </c>
      <c r="F432" t="s">
        <v>155</v>
      </c>
      <c r="G432" t="s">
        <v>128</v>
      </c>
      <c r="H432" t="s">
        <v>128</v>
      </c>
      <c r="I432" t="s">
        <v>134</v>
      </c>
      <c r="J432" t="s">
        <v>448</v>
      </c>
      <c r="K432" t="s">
        <v>157</v>
      </c>
      <c r="L432" s="19">
        <v>44116</v>
      </c>
      <c r="M432" s="19">
        <v>44148</v>
      </c>
      <c r="N432" s="27" t="s">
        <v>557</v>
      </c>
    </row>
    <row r="433" spans="1:14" x14ac:dyDescent="0.25">
      <c r="A433" s="38" t="str">
        <f>HYPERLINK("http://reports.ofsted.gov.uk/inspection-reports/find-inspection-report/provider/CARE/SC402135","Ofsted Social Care Provider Webpage")</f>
        <v>Ofsted Social Care Provider Webpage</v>
      </c>
      <c r="B433" s="3" t="s">
        <v>954</v>
      </c>
      <c r="C433" t="s">
        <v>34</v>
      </c>
      <c r="D433" s="19">
        <v>40097</v>
      </c>
      <c r="E433" t="s">
        <v>154</v>
      </c>
      <c r="F433" t="s">
        <v>155</v>
      </c>
      <c r="G433" t="s">
        <v>105</v>
      </c>
      <c r="H433" t="s">
        <v>105</v>
      </c>
      <c r="I433" t="s">
        <v>108</v>
      </c>
      <c r="J433" t="s">
        <v>187</v>
      </c>
      <c r="K433" t="s">
        <v>157</v>
      </c>
      <c r="L433" s="19">
        <v>44116</v>
      </c>
      <c r="M433" s="19">
        <v>44202</v>
      </c>
      <c r="N433" s="27" t="s">
        <v>559</v>
      </c>
    </row>
    <row r="434" spans="1:14" x14ac:dyDescent="0.25">
      <c r="A434" s="38" t="str">
        <f>HYPERLINK("http://reports.ofsted.gov.uk/inspection-reports/find-inspection-report/provider/CARE/SC390785","Ofsted Social Care Provider Webpage")</f>
        <v>Ofsted Social Care Provider Webpage</v>
      </c>
      <c r="B434" s="3" t="s">
        <v>955</v>
      </c>
      <c r="C434" t="s">
        <v>34</v>
      </c>
      <c r="D434" s="19">
        <v>39904</v>
      </c>
      <c r="E434" t="s">
        <v>154</v>
      </c>
      <c r="F434" t="s">
        <v>155</v>
      </c>
      <c r="G434" t="s">
        <v>105</v>
      </c>
      <c r="H434" t="s">
        <v>105</v>
      </c>
      <c r="I434" t="s">
        <v>113</v>
      </c>
      <c r="J434" t="s">
        <v>796</v>
      </c>
      <c r="K434" t="s">
        <v>157</v>
      </c>
      <c r="L434" s="19">
        <v>44116</v>
      </c>
      <c r="M434" s="19">
        <v>44173</v>
      </c>
      <c r="N434" s="27" t="s">
        <v>557</v>
      </c>
    </row>
    <row r="435" spans="1:14" x14ac:dyDescent="0.25">
      <c r="A435" s="38" t="str">
        <f>HYPERLINK("http://reports.ofsted.gov.uk/inspection-reports/find-inspection-report/provider/CARE/SC059261","Ofsted Social Care Provider Webpage")</f>
        <v>Ofsted Social Care Provider Webpage</v>
      </c>
      <c r="B435" s="3" t="s">
        <v>956</v>
      </c>
      <c r="C435" t="s">
        <v>34</v>
      </c>
      <c r="D435" s="19">
        <v>38132</v>
      </c>
      <c r="E435" t="s">
        <v>154</v>
      </c>
      <c r="F435" t="s">
        <v>155</v>
      </c>
      <c r="G435" t="s">
        <v>87</v>
      </c>
      <c r="H435" t="s">
        <v>87</v>
      </c>
      <c r="I435" t="s">
        <v>94</v>
      </c>
      <c r="J435" t="s">
        <v>633</v>
      </c>
      <c r="K435" t="s">
        <v>157</v>
      </c>
      <c r="L435" s="19">
        <v>44116</v>
      </c>
      <c r="M435" s="19">
        <v>44154</v>
      </c>
      <c r="N435" s="27" t="s">
        <v>557</v>
      </c>
    </row>
    <row r="436" spans="1:14" x14ac:dyDescent="0.25">
      <c r="A436" s="38" t="str">
        <f>HYPERLINK("http://reports.ofsted.gov.uk/inspection-reports/find-inspection-report/provider/CARE/SC424103","Ofsted Social Care Provider Webpage")</f>
        <v>Ofsted Social Care Provider Webpage</v>
      </c>
      <c r="B436" s="3" t="s">
        <v>957</v>
      </c>
      <c r="C436" t="s">
        <v>34</v>
      </c>
      <c r="D436" s="19">
        <v>40641</v>
      </c>
      <c r="E436" t="s">
        <v>154</v>
      </c>
      <c r="F436" t="s">
        <v>155</v>
      </c>
      <c r="G436" t="s">
        <v>105</v>
      </c>
      <c r="H436" t="s">
        <v>105</v>
      </c>
      <c r="I436" t="s">
        <v>106</v>
      </c>
      <c r="J436" t="s">
        <v>793</v>
      </c>
      <c r="K436" t="s">
        <v>168</v>
      </c>
      <c r="L436" s="19">
        <v>44117</v>
      </c>
      <c r="M436" s="19">
        <v>44165</v>
      </c>
      <c r="N436" s="27" t="s">
        <v>557</v>
      </c>
    </row>
    <row r="437" spans="1:14" x14ac:dyDescent="0.25">
      <c r="A437" s="38" t="str">
        <f>HYPERLINK("http://reports.ofsted.gov.uk/inspection-reports/find-inspection-report/provider/CARE/2519084","Ofsted Social Care Provider Webpage")</f>
        <v>Ofsted Social Care Provider Webpage</v>
      </c>
      <c r="B437" s="3">
        <v>2519084</v>
      </c>
      <c r="C437" t="s">
        <v>34</v>
      </c>
      <c r="D437" s="19">
        <v>43599</v>
      </c>
      <c r="E437" t="s">
        <v>154</v>
      </c>
      <c r="F437" t="s">
        <v>155</v>
      </c>
      <c r="G437" t="s">
        <v>128</v>
      </c>
      <c r="H437" t="s">
        <v>128</v>
      </c>
      <c r="I437" t="s">
        <v>134</v>
      </c>
      <c r="J437" t="s">
        <v>323</v>
      </c>
      <c r="K437" t="s">
        <v>157</v>
      </c>
      <c r="L437" s="19">
        <v>44117</v>
      </c>
      <c r="M437" s="19">
        <v>44147</v>
      </c>
      <c r="N437" s="27" t="s">
        <v>557</v>
      </c>
    </row>
    <row r="438" spans="1:14" x14ac:dyDescent="0.25">
      <c r="A438" s="38" t="str">
        <f>HYPERLINK("http://reports.ofsted.gov.uk/inspection-reports/find-inspection-report/provider/CARE/SC373044","Ofsted Social Care Provider Webpage")</f>
        <v>Ofsted Social Care Provider Webpage</v>
      </c>
      <c r="B438" s="3" t="s">
        <v>658</v>
      </c>
      <c r="C438" t="s">
        <v>34</v>
      </c>
      <c r="D438" s="19">
        <v>39525</v>
      </c>
      <c r="E438" t="s">
        <v>154</v>
      </c>
      <c r="F438" t="s">
        <v>155</v>
      </c>
      <c r="G438" t="s">
        <v>87</v>
      </c>
      <c r="H438" t="s">
        <v>87</v>
      </c>
      <c r="I438" t="s">
        <v>89</v>
      </c>
      <c r="J438" t="s">
        <v>208</v>
      </c>
      <c r="K438" t="s">
        <v>168</v>
      </c>
      <c r="L438" s="19">
        <v>44117</v>
      </c>
      <c r="M438" s="19">
        <v>44147</v>
      </c>
      <c r="N438" s="27" t="s">
        <v>557</v>
      </c>
    </row>
    <row r="439" spans="1:14" x14ac:dyDescent="0.25">
      <c r="A439" s="38" t="str">
        <f>HYPERLINK("http://reports.ofsted.gov.uk/inspection-reports/find-inspection-report/provider/CARE/SC457506","Ofsted Social Care Provider Webpage")</f>
        <v>Ofsted Social Care Provider Webpage</v>
      </c>
      <c r="B439" s="3" t="s">
        <v>958</v>
      </c>
      <c r="C439" t="s">
        <v>34</v>
      </c>
      <c r="D439" s="19">
        <v>41351</v>
      </c>
      <c r="E439" t="s">
        <v>154</v>
      </c>
      <c r="F439" t="s">
        <v>155</v>
      </c>
      <c r="G439" t="s">
        <v>87</v>
      </c>
      <c r="H439" t="s">
        <v>87</v>
      </c>
      <c r="I439" t="s">
        <v>96</v>
      </c>
      <c r="J439" t="s">
        <v>826</v>
      </c>
      <c r="K439" t="s">
        <v>157</v>
      </c>
      <c r="L439" s="19">
        <v>44117</v>
      </c>
      <c r="M439" s="19">
        <v>44158</v>
      </c>
      <c r="N439" s="27" t="s">
        <v>559</v>
      </c>
    </row>
    <row r="440" spans="1:14" x14ac:dyDescent="0.25">
      <c r="A440" s="38" t="str">
        <f>HYPERLINK("http://reports.ofsted.gov.uk/inspection-reports/find-inspection-report/provider/CARE/SC463639","Ofsted Social Care Provider Webpage")</f>
        <v>Ofsted Social Care Provider Webpage</v>
      </c>
      <c r="B440" s="3" t="s">
        <v>959</v>
      </c>
      <c r="C440" t="s">
        <v>34</v>
      </c>
      <c r="D440" s="19">
        <v>41474</v>
      </c>
      <c r="E440" t="s">
        <v>154</v>
      </c>
      <c r="F440" t="s">
        <v>155</v>
      </c>
      <c r="G440" t="s">
        <v>128</v>
      </c>
      <c r="H440" t="s">
        <v>128</v>
      </c>
      <c r="I440" t="s">
        <v>129</v>
      </c>
      <c r="J440" t="s">
        <v>197</v>
      </c>
      <c r="K440" t="s">
        <v>157</v>
      </c>
      <c r="L440" s="19">
        <v>44117</v>
      </c>
      <c r="M440" s="19">
        <v>44152</v>
      </c>
      <c r="N440" s="27" t="s">
        <v>559</v>
      </c>
    </row>
    <row r="441" spans="1:14" x14ac:dyDescent="0.25">
      <c r="A441" s="38" t="str">
        <f>HYPERLINK("http://reports.ofsted.gov.uk/inspection-reports/find-inspection-report/provider/CARE/1216657","Ofsted Social Care Provider Webpage")</f>
        <v>Ofsted Social Care Provider Webpage</v>
      </c>
      <c r="B441" s="3">
        <v>1216657</v>
      </c>
      <c r="C441" t="s">
        <v>34</v>
      </c>
      <c r="D441" s="19">
        <v>42361</v>
      </c>
      <c r="E441" t="s">
        <v>154</v>
      </c>
      <c r="F441" t="s">
        <v>155</v>
      </c>
      <c r="G441" t="s">
        <v>39</v>
      </c>
      <c r="H441" t="s">
        <v>39</v>
      </c>
      <c r="I441" t="s">
        <v>45</v>
      </c>
      <c r="J441" t="s">
        <v>185</v>
      </c>
      <c r="K441" t="s">
        <v>168</v>
      </c>
      <c r="L441" s="19">
        <v>44117</v>
      </c>
      <c r="M441" s="19">
        <v>44154</v>
      </c>
      <c r="N441" s="27" t="s">
        <v>557</v>
      </c>
    </row>
    <row r="442" spans="1:14" x14ac:dyDescent="0.25">
      <c r="A442" s="38" t="str">
        <f>HYPERLINK("http://reports.ofsted.gov.uk/inspection-reports/find-inspection-report/provider/CARE/2573144","Ofsted Social Care Provider Webpage")</f>
        <v>Ofsted Social Care Provider Webpage</v>
      </c>
      <c r="B442" s="3">
        <v>2573144</v>
      </c>
      <c r="C442" t="s">
        <v>34</v>
      </c>
      <c r="D442" s="19">
        <v>43955</v>
      </c>
      <c r="E442" t="s">
        <v>154</v>
      </c>
      <c r="F442" t="s">
        <v>155</v>
      </c>
      <c r="G442" t="s">
        <v>128</v>
      </c>
      <c r="H442" t="s">
        <v>128</v>
      </c>
      <c r="I442" t="s">
        <v>134</v>
      </c>
      <c r="J442" t="s">
        <v>323</v>
      </c>
      <c r="K442" t="s">
        <v>157</v>
      </c>
      <c r="L442" s="19">
        <v>44117</v>
      </c>
      <c r="M442" s="19">
        <v>44147</v>
      </c>
      <c r="N442" s="27" t="s">
        <v>557</v>
      </c>
    </row>
    <row r="443" spans="1:14" x14ac:dyDescent="0.25">
      <c r="A443" s="38" t="str">
        <f>HYPERLINK("http://reports.ofsted.gov.uk/inspection-reports/find-inspection-report/provider/CARE/2569358","Ofsted Social Care Provider Webpage")</f>
        <v>Ofsted Social Care Provider Webpage</v>
      </c>
      <c r="B443" s="3">
        <v>2569358</v>
      </c>
      <c r="C443" t="s">
        <v>34</v>
      </c>
      <c r="D443" s="19">
        <v>43971</v>
      </c>
      <c r="E443" t="s">
        <v>154</v>
      </c>
      <c r="F443" t="s">
        <v>155</v>
      </c>
      <c r="G443" t="s">
        <v>64</v>
      </c>
      <c r="H443" t="s">
        <v>213</v>
      </c>
      <c r="I443" t="s">
        <v>85</v>
      </c>
      <c r="J443" t="s">
        <v>214</v>
      </c>
      <c r="K443" t="s">
        <v>157</v>
      </c>
      <c r="L443" s="19">
        <v>44117</v>
      </c>
      <c r="M443" s="19">
        <v>44153</v>
      </c>
      <c r="N443" s="27" t="s">
        <v>559</v>
      </c>
    </row>
    <row r="444" spans="1:14" x14ac:dyDescent="0.25">
      <c r="A444" s="38" t="str">
        <f>HYPERLINK("http://reports.ofsted.gov.uk/inspection-reports/find-inspection-report/provider/CARE/SC392712","Ofsted Social Care Provider Webpage")</f>
        <v>Ofsted Social Care Provider Webpage</v>
      </c>
      <c r="B444" s="3" t="s">
        <v>573</v>
      </c>
      <c r="C444" t="s">
        <v>34</v>
      </c>
      <c r="D444" s="19">
        <v>39946</v>
      </c>
      <c r="E444" t="s">
        <v>154</v>
      </c>
      <c r="F444" t="s">
        <v>155</v>
      </c>
      <c r="G444" t="s">
        <v>39</v>
      </c>
      <c r="H444" t="s">
        <v>39</v>
      </c>
      <c r="I444" t="s">
        <v>46</v>
      </c>
      <c r="J444" t="s">
        <v>574</v>
      </c>
      <c r="K444" t="s">
        <v>157</v>
      </c>
      <c r="L444" s="19">
        <v>44117</v>
      </c>
      <c r="M444" s="19">
        <v>44145</v>
      </c>
      <c r="N444" s="27" t="s">
        <v>557</v>
      </c>
    </row>
    <row r="445" spans="1:14" x14ac:dyDescent="0.25">
      <c r="A445" s="38" t="str">
        <f>HYPERLINK("http://reports.ofsted.gov.uk/inspection-reports/find-inspection-report/provider/CARE/1249111","Ofsted Social Care Provider Webpage")</f>
        <v>Ofsted Social Care Provider Webpage</v>
      </c>
      <c r="B445" s="3">
        <v>1249111</v>
      </c>
      <c r="C445" t="s">
        <v>34</v>
      </c>
      <c r="D445" s="19">
        <v>42718</v>
      </c>
      <c r="E445" t="s">
        <v>154</v>
      </c>
      <c r="F445" t="s">
        <v>155</v>
      </c>
      <c r="G445" t="s">
        <v>105</v>
      </c>
      <c r="H445" t="s">
        <v>105</v>
      </c>
      <c r="I445" t="s">
        <v>108</v>
      </c>
      <c r="J445" t="s">
        <v>952</v>
      </c>
      <c r="K445" t="s">
        <v>157</v>
      </c>
      <c r="L445" s="19">
        <v>44117</v>
      </c>
      <c r="M445" s="19">
        <v>44176</v>
      </c>
      <c r="N445" s="27" t="s">
        <v>557</v>
      </c>
    </row>
    <row r="446" spans="1:14" x14ac:dyDescent="0.25">
      <c r="A446" s="38" t="str">
        <f>HYPERLINK("http://reports.ofsted.gov.uk/inspection-reports/find-inspection-report/provider/CARE/2534829","Ofsted Social Care Provider Webpage")</f>
        <v>Ofsted Social Care Provider Webpage</v>
      </c>
      <c r="B446" s="3">
        <v>2534829</v>
      </c>
      <c r="C446" t="s">
        <v>34</v>
      </c>
      <c r="D446" s="19">
        <v>43700</v>
      </c>
      <c r="E446" t="s">
        <v>154</v>
      </c>
      <c r="F446" t="s">
        <v>155</v>
      </c>
      <c r="G446" t="s">
        <v>87</v>
      </c>
      <c r="H446" t="s">
        <v>87</v>
      </c>
      <c r="I446" t="s">
        <v>93</v>
      </c>
      <c r="J446" t="s">
        <v>623</v>
      </c>
      <c r="K446" t="s">
        <v>157</v>
      </c>
      <c r="L446" s="19">
        <v>44117</v>
      </c>
      <c r="M446" s="19">
        <v>44154</v>
      </c>
      <c r="N446" s="27" t="s">
        <v>557</v>
      </c>
    </row>
    <row r="447" spans="1:14" x14ac:dyDescent="0.25">
      <c r="A447" s="38" t="str">
        <f>HYPERLINK("http://reports.ofsted.gov.uk/inspection-reports/find-inspection-report/provider/CARE/SC374180","Ofsted Social Care Provider Webpage")</f>
        <v>Ofsted Social Care Provider Webpage</v>
      </c>
      <c r="B447" s="3" t="s">
        <v>960</v>
      </c>
      <c r="C447" t="s">
        <v>34</v>
      </c>
      <c r="D447" s="19">
        <v>39667</v>
      </c>
      <c r="E447" t="s">
        <v>215</v>
      </c>
      <c r="F447" t="s">
        <v>155</v>
      </c>
      <c r="G447" t="s">
        <v>39</v>
      </c>
      <c r="H447" t="s">
        <v>39</v>
      </c>
      <c r="I447" t="s">
        <v>44</v>
      </c>
      <c r="J447" t="s">
        <v>194</v>
      </c>
      <c r="K447" t="s">
        <v>172</v>
      </c>
      <c r="L447" s="19">
        <v>44117</v>
      </c>
      <c r="M447" s="19">
        <v>44175</v>
      </c>
      <c r="N447" s="27" t="s">
        <v>557</v>
      </c>
    </row>
    <row r="448" spans="1:14" x14ac:dyDescent="0.25">
      <c r="A448" s="38" t="str">
        <f>HYPERLINK("http://reports.ofsted.gov.uk/inspection-reports/find-inspection-report/provider/CARE/2490999","Ofsted Social Care Provider Webpage")</f>
        <v>Ofsted Social Care Provider Webpage</v>
      </c>
      <c r="B448" s="3">
        <v>2490999</v>
      </c>
      <c r="C448" t="s">
        <v>34</v>
      </c>
      <c r="D448" s="19">
        <v>43377</v>
      </c>
      <c r="E448" t="s">
        <v>154</v>
      </c>
      <c r="F448" t="s">
        <v>155</v>
      </c>
      <c r="G448" t="s">
        <v>39</v>
      </c>
      <c r="H448" t="s">
        <v>39</v>
      </c>
      <c r="I448" t="s">
        <v>42</v>
      </c>
      <c r="J448" t="s">
        <v>251</v>
      </c>
      <c r="K448" t="s">
        <v>157</v>
      </c>
      <c r="L448" s="19">
        <v>44117</v>
      </c>
      <c r="M448" s="19">
        <v>44148</v>
      </c>
      <c r="N448" s="27" t="s">
        <v>557</v>
      </c>
    </row>
    <row r="449" spans="1:14" x14ac:dyDescent="0.25">
      <c r="A449" s="38" t="str">
        <f>HYPERLINK("http://reports.ofsted.gov.uk/inspection-reports/find-inspection-report/provider/CARE/SC056259","Ofsted Social Care Provider Webpage")</f>
        <v>Ofsted Social Care Provider Webpage</v>
      </c>
      <c r="B449" s="3" t="s">
        <v>961</v>
      </c>
      <c r="C449" t="s">
        <v>34</v>
      </c>
      <c r="D449" s="19">
        <v>38163</v>
      </c>
      <c r="E449" t="s">
        <v>154</v>
      </c>
      <c r="F449" t="s">
        <v>155</v>
      </c>
      <c r="G449" t="s">
        <v>64</v>
      </c>
      <c r="H449" t="s">
        <v>164</v>
      </c>
      <c r="I449" t="s">
        <v>71</v>
      </c>
      <c r="J449" t="s">
        <v>962</v>
      </c>
      <c r="K449" t="s">
        <v>157</v>
      </c>
      <c r="L449" s="19">
        <v>44117</v>
      </c>
      <c r="M449" s="19">
        <v>44152</v>
      </c>
      <c r="N449" s="27" t="s">
        <v>557</v>
      </c>
    </row>
    <row r="450" spans="1:14" x14ac:dyDescent="0.25">
      <c r="A450" s="38" t="str">
        <f>HYPERLINK("http://reports.ofsted.gov.uk/inspection-reports/find-inspection-report/provider/CARE/SC362170","Ofsted Social Care Provider Webpage")</f>
        <v>Ofsted Social Care Provider Webpage</v>
      </c>
      <c r="B450" s="3" t="s">
        <v>647</v>
      </c>
      <c r="C450" t="s">
        <v>34</v>
      </c>
      <c r="D450" s="19">
        <v>39464</v>
      </c>
      <c r="E450" t="s">
        <v>154</v>
      </c>
      <c r="F450" t="s">
        <v>155</v>
      </c>
      <c r="G450" t="s">
        <v>128</v>
      </c>
      <c r="H450" t="s">
        <v>128</v>
      </c>
      <c r="I450" t="s">
        <v>135</v>
      </c>
      <c r="J450" t="s">
        <v>390</v>
      </c>
      <c r="K450" t="s">
        <v>157</v>
      </c>
      <c r="L450" s="19">
        <v>44117</v>
      </c>
      <c r="M450" s="19">
        <v>44144</v>
      </c>
      <c r="N450" s="27" t="s">
        <v>557</v>
      </c>
    </row>
    <row r="451" spans="1:14" x14ac:dyDescent="0.25">
      <c r="A451" s="38" t="str">
        <f>HYPERLINK("http://reports.ofsted.gov.uk/inspection-reports/find-inspection-report/provider/CARE/SC476602","Ofsted Social Care Provider Webpage")</f>
        <v>Ofsted Social Care Provider Webpage</v>
      </c>
      <c r="B451" s="3" t="s">
        <v>963</v>
      </c>
      <c r="C451" t="s">
        <v>34</v>
      </c>
      <c r="D451" s="19">
        <v>42068</v>
      </c>
      <c r="E451" t="s">
        <v>154</v>
      </c>
      <c r="F451" t="s">
        <v>155</v>
      </c>
      <c r="G451" t="s">
        <v>64</v>
      </c>
      <c r="H451" t="s">
        <v>213</v>
      </c>
      <c r="I451" t="s">
        <v>70</v>
      </c>
      <c r="J451" t="s">
        <v>328</v>
      </c>
      <c r="K451" t="s">
        <v>157</v>
      </c>
      <c r="L451" s="19">
        <v>44117</v>
      </c>
      <c r="M451" s="19">
        <v>44152</v>
      </c>
      <c r="N451" s="27" t="s">
        <v>559</v>
      </c>
    </row>
    <row r="452" spans="1:14" x14ac:dyDescent="0.25">
      <c r="A452" s="38" t="str">
        <f>HYPERLINK("http://reports.ofsted.gov.uk/inspection-reports/find-inspection-report/provider/CARE/2570253","Ofsted Social Care Provider Webpage")</f>
        <v>Ofsted Social Care Provider Webpage</v>
      </c>
      <c r="B452" s="3">
        <v>2570253</v>
      </c>
      <c r="C452" t="s">
        <v>34</v>
      </c>
      <c r="D452" s="19">
        <v>43900</v>
      </c>
      <c r="E452" t="s">
        <v>154</v>
      </c>
      <c r="F452" t="s">
        <v>155</v>
      </c>
      <c r="G452" t="s">
        <v>39</v>
      </c>
      <c r="H452" t="s">
        <v>39</v>
      </c>
      <c r="I452" t="s">
        <v>43</v>
      </c>
      <c r="J452" t="s">
        <v>598</v>
      </c>
      <c r="K452" t="s">
        <v>157</v>
      </c>
      <c r="L452" s="19">
        <v>44117</v>
      </c>
      <c r="M452" s="19">
        <v>44148</v>
      </c>
      <c r="N452" s="27" t="s">
        <v>559</v>
      </c>
    </row>
    <row r="453" spans="1:14" x14ac:dyDescent="0.25">
      <c r="A453" s="38" t="str">
        <f>HYPERLINK("http://reports.ofsted.gov.uk/inspection-reports/find-inspection-report/provider/CARE/1246449","Ofsted Social Care Provider Webpage")</f>
        <v>Ofsted Social Care Provider Webpage</v>
      </c>
      <c r="B453" s="3">
        <v>1246449</v>
      </c>
      <c r="C453" t="s">
        <v>34</v>
      </c>
      <c r="D453" s="19">
        <v>42775</v>
      </c>
      <c r="E453" t="s">
        <v>154</v>
      </c>
      <c r="F453" t="s">
        <v>155</v>
      </c>
      <c r="G453" t="s">
        <v>105</v>
      </c>
      <c r="H453" t="s">
        <v>105</v>
      </c>
      <c r="I453" t="s">
        <v>108</v>
      </c>
      <c r="J453" t="s">
        <v>964</v>
      </c>
      <c r="K453" t="s">
        <v>157</v>
      </c>
      <c r="L453" s="19">
        <v>44117</v>
      </c>
      <c r="M453" s="19">
        <v>44173</v>
      </c>
      <c r="N453" s="27" t="s">
        <v>557</v>
      </c>
    </row>
    <row r="454" spans="1:14" x14ac:dyDescent="0.25">
      <c r="A454" s="38" t="str">
        <f>HYPERLINK("http://reports.ofsted.gov.uk/inspection-reports/find-inspection-report/provider/CARE/SC044224","Ofsted Social Care Provider Webpage")</f>
        <v>Ofsted Social Care Provider Webpage</v>
      </c>
      <c r="B454" s="3" t="s">
        <v>965</v>
      </c>
      <c r="C454" t="s">
        <v>34</v>
      </c>
      <c r="D454" s="19">
        <v>37904</v>
      </c>
      <c r="E454" t="s">
        <v>154</v>
      </c>
      <c r="F454" t="s">
        <v>155</v>
      </c>
      <c r="G454" t="s">
        <v>87</v>
      </c>
      <c r="H454" t="s">
        <v>87</v>
      </c>
      <c r="I454" t="s">
        <v>93</v>
      </c>
      <c r="J454" t="s">
        <v>966</v>
      </c>
      <c r="K454" t="s">
        <v>157</v>
      </c>
      <c r="L454" s="19">
        <v>44117</v>
      </c>
      <c r="M454" s="19">
        <v>44154</v>
      </c>
      <c r="N454" s="27" t="s">
        <v>557</v>
      </c>
    </row>
    <row r="455" spans="1:14" x14ac:dyDescent="0.25">
      <c r="A455" s="38" t="str">
        <f>HYPERLINK("http://reports.ofsted.gov.uk/inspection-reports/find-inspection-report/provider/CARE/1235653","Ofsted Social Care Provider Webpage")</f>
        <v>Ofsted Social Care Provider Webpage</v>
      </c>
      <c r="B455" s="3">
        <v>1235653</v>
      </c>
      <c r="C455" t="s">
        <v>34</v>
      </c>
      <c r="D455" s="19">
        <v>42472</v>
      </c>
      <c r="E455" t="s">
        <v>154</v>
      </c>
      <c r="F455" t="s">
        <v>155</v>
      </c>
      <c r="G455" t="s">
        <v>57</v>
      </c>
      <c r="H455" t="s">
        <v>57</v>
      </c>
      <c r="I455" t="s">
        <v>684</v>
      </c>
      <c r="J455" t="s">
        <v>967</v>
      </c>
      <c r="K455" t="s">
        <v>157</v>
      </c>
      <c r="L455" s="19">
        <v>44117</v>
      </c>
      <c r="M455" s="19">
        <v>44152</v>
      </c>
      <c r="N455" s="27" t="s">
        <v>557</v>
      </c>
    </row>
    <row r="456" spans="1:14" x14ac:dyDescent="0.25">
      <c r="A456" s="38" t="str">
        <f>HYPERLINK("http://reports.ofsted.gov.uk/inspection-reports/find-inspection-report/provider/CARE/2526435","Ofsted Social Care Provider Webpage")</f>
        <v>Ofsted Social Care Provider Webpage</v>
      </c>
      <c r="B456" s="3">
        <v>2526435</v>
      </c>
      <c r="C456" t="s">
        <v>34</v>
      </c>
      <c r="D456" s="19">
        <v>43650</v>
      </c>
      <c r="E456" t="s">
        <v>154</v>
      </c>
      <c r="F456" t="s">
        <v>155</v>
      </c>
      <c r="G456" t="s">
        <v>48</v>
      </c>
      <c r="H456" t="s">
        <v>48</v>
      </c>
      <c r="I456" t="s">
        <v>51</v>
      </c>
      <c r="J456" t="s">
        <v>507</v>
      </c>
      <c r="K456" t="s">
        <v>157</v>
      </c>
      <c r="L456" s="19">
        <v>44117</v>
      </c>
      <c r="M456" s="19">
        <v>44145</v>
      </c>
      <c r="N456" s="27" t="s">
        <v>557</v>
      </c>
    </row>
    <row r="457" spans="1:14" x14ac:dyDescent="0.25">
      <c r="A457" s="38" t="str">
        <f>HYPERLINK("http://reports.ofsted.gov.uk/inspection-reports/find-inspection-report/provider/CARE/1254780","Ofsted Social Care Provider Webpage")</f>
        <v>Ofsted Social Care Provider Webpage</v>
      </c>
      <c r="B457" s="3">
        <v>1254780</v>
      </c>
      <c r="C457" t="s">
        <v>34</v>
      </c>
      <c r="D457" s="19">
        <v>42933</v>
      </c>
      <c r="E457" t="s">
        <v>154</v>
      </c>
      <c r="F457" t="s">
        <v>155</v>
      </c>
      <c r="G457" t="s">
        <v>128</v>
      </c>
      <c r="H457" t="s">
        <v>128</v>
      </c>
      <c r="I457" t="s">
        <v>137</v>
      </c>
      <c r="J457" t="s">
        <v>968</v>
      </c>
      <c r="K457" t="s">
        <v>157</v>
      </c>
      <c r="L457" s="19">
        <v>44117</v>
      </c>
      <c r="M457" s="19">
        <v>44152</v>
      </c>
      <c r="N457" s="27" t="s">
        <v>559</v>
      </c>
    </row>
    <row r="458" spans="1:14" x14ac:dyDescent="0.25">
      <c r="A458" s="38" t="str">
        <f>HYPERLINK("http://reports.ofsted.gov.uk/inspection-reports/find-inspection-report/provider/CARE/1247212","Ofsted Social Care Provider Webpage")</f>
        <v>Ofsted Social Care Provider Webpage</v>
      </c>
      <c r="B458" s="3">
        <v>1247212</v>
      </c>
      <c r="C458" t="s">
        <v>34</v>
      </c>
      <c r="D458" s="19">
        <v>42773</v>
      </c>
      <c r="E458" t="s">
        <v>154</v>
      </c>
      <c r="F458" t="s">
        <v>155</v>
      </c>
      <c r="G458" t="s">
        <v>87</v>
      </c>
      <c r="H458" t="s">
        <v>87</v>
      </c>
      <c r="I458" t="s">
        <v>99</v>
      </c>
      <c r="J458" t="s">
        <v>180</v>
      </c>
      <c r="K458" t="s">
        <v>157</v>
      </c>
      <c r="L458" s="19">
        <v>44117</v>
      </c>
      <c r="M458" s="19">
        <v>44148</v>
      </c>
      <c r="N458" s="27" t="s">
        <v>557</v>
      </c>
    </row>
    <row r="459" spans="1:14" x14ac:dyDescent="0.25">
      <c r="A459" s="38" t="str">
        <f>HYPERLINK("http://reports.ofsted.gov.uk/inspection-reports/find-inspection-report/provider/CARE/1273663","Ofsted Social Care Provider Webpage")</f>
        <v>Ofsted Social Care Provider Webpage</v>
      </c>
      <c r="B459" s="3">
        <v>1273663</v>
      </c>
      <c r="C459" t="s">
        <v>34</v>
      </c>
      <c r="D459" s="19">
        <v>43179</v>
      </c>
      <c r="E459" t="s">
        <v>154</v>
      </c>
      <c r="F459" t="s">
        <v>155</v>
      </c>
      <c r="G459" t="s">
        <v>128</v>
      </c>
      <c r="H459" t="s">
        <v>128</v>
      </c>
      <c r="I459" t="s">
        <v>129</v>
      </c>
      <c r="J459" t="s">
        <v>576</v>
      </c>
      <c r="K459" t="s">
        <v>168</v>
      </c>
      <c r="L459" s="19">
        <v>44117</v>
      </c>
      <c r="M459" s="19">
        <v>44148</v>
      </c>
      <c r="N459" s="27" t="s">
        <v>557</v>
      </c>
    </row>
    <row r="460" spans="1:14" x14ac:dyDescent="0.25">
      <c r="A460" s="38" t="str">
        <f>HYPERLINK("http://reports.ofsted.gov.uk/inspection-reports/find-inspection-report/provider/CARE/1277076","Ofsted Social Care Provider Webpage")</f>
        <v>Ofsted Social Care Provider Webpage</v>
      </c>
      <c r="B460" s="3">
        <v>1277076</v>
      </c>
      <c r="C460" t="s">
        <v>581</v>
      </c>
      <c r="D460" s="19">
        <v>43325</v>
      </c>
      <c r="E460" t="s">
        <v>154</v>
      </c>
      <c r="F460" t="s">
        <v>616</v>
      </c>
      <c r="G460" t="s">
        <v>128</v>
      </c>
      <c r="H460" t="s">
        <v>128</v>
      </c>
      <c r="I460" t="s">
        <v>129</v>
      </c>
      <c r="J460" t="s">
        <v>410</v>
      </c>
      <c r="K460" t="s">
        <v>157</v>
      </c>
      <c r="L460" s="19">
        <v>44117</v>
      </c>
      <c r="M460" s="19">
        <v>44147</v>
      </c>
      <c r="N460" s="27" t="s">
        <v>557</v>
      </c>
    </row>
    <row r="461" spans="1:14" x14ac:dyDescent="0.25">
      <c r="A461" s="38" t="str">
        <f>HYPERLINK("http://reports.ofsted.gov.uk/inspection-reports/find-inspection-report/provider/CARE/1256135","Ofsted Social Care Provider Webpage")</f>
        <v>Ofsted Social Care Provider Webpage</v>
      </c>
      <c r="B461" s="3">
        <v>1256135</v>
      </c>
      <c r="C461" t="s">
        <v>34</v>
      </c>
      <c r="D461" s="19">
        <v>42879</v>
      </c>
      <c r="E461" t="s">
        <v>154</v>
      </c>
      <c r="F461" t="s">
        <v>155</v>
      </c>
      <c r="G461" t="s">
        <v>128</v>
      </c>
      <c r="H461" t="s">
        <v>128</v>
      </c>
      <c r="I461" t="s">
        <v>134</v>
      </c>
      <c r="J461" t="s">
        <v>467</v>
      </c>
      <c r="K461" t="s">
        <v>157</v>
      </c>
      <c r="L461" s="19">
        <v>44117</v>
      </c>
      <c r="M461" s="19">
        <v>44201</v>
      </c>
      <c r="N461" s="27" t="s">
        <v>559</v>
      </c>
    </row>
    <row r="462" spans="1:14" x14ac:dyDescent="0.25">
      <c r="A462" s="38" t="str">
        <f>HYPERLINK("http://reports.ofsted.gov.uk/inspection-reports/find-inspection-report/provider/CARE/SC472485","Ofsted Social Care Provider Webpage")</f>
        <v>Ofsted Social Care Provider Webpage</v>
      </c>
      <c r="B462" s="3" t="s">
        <v>969</v>
      </c>
      <c r="C462" t="s">
        <v>36</v>
      </c>
      <c r="D462" s="19">
        <v>41620</v>
      </c>
      <c r="E462" t="s">
        <v>154</v>
      </c>
      <c r="F462" t="s">
        <v>155</v>
      </c>
      <c r="G462" t="s">
        <v>114</v>
      </c>
      <c r="H462" t="s">
        <v>114</v>
      </c>
      <c r="I462" t="s">
        <v>119</v>
      </c>
      <c r="J462" t="s">
        <v>400</v>
      </c>
      <c r="K462" t="s">
        <v>157</v>
      </c>
      <c r="L462" s="19">
        <v>44117</v>
      </c>
      <c r="M462" s="19">
        <v>44154</v>
      </c>
      <c r="N462" s="27" t="s">
        <v>557</v>
      </c>
    </row>
    <row r="463" spans="1:14" x14ac:dyDescent="0.25">
      <c r="A463" s="38" t="str">
        <f>HYPERLINK("http://reports.ofsted.gov.uk/inspection-reports/find-inspection-report/provider/CARE/2483693","Ofsted Social Care Provider Webpage")</f>
        <v>Ofsted Social Care Provider Webpage</v>
      </c>
      <c r="B463" s="3">
        <v>2483693</v>
      </c>
      <c r="C463" t="s">
        <v>34</v>
      </c>
      <c r="D463" s="19">
        <v>43303</v>
      </c>
      <c r="E463" t="s">
        <v>154</v>
      </c>
      <c r="F463" t="s">
        <v>155</v>
      </c>
      <c r="G463" t="s">
        <v>39</v>
      </c>
      <c r="H463" t="s">
        <v>39</v>
      </c>
      <c r="I463" t="s">
        <v>42</v>
      </c>
      <c r="J463" t="s">
        <v>177</v>
      </c>
      <c r="K463" t="s">
        <v>157</v>
      </c>
      <c r="L463" s="19">
        <v>44117</v>
      </c>
      <c r="M463" s="19">
        <v>44148</v>
      </c>
      <c r="N463" s="27" t="s">
        <v>557</v>
      </c>
    </row>
    <row r="464" spans="1:14" x14ac:dyDescent="0.25">
      <c r="A464" s="38" t="str">
        <f>HYPERLINK("http://reports.ofsted.gov.uk/inspection-reports/find-inspection-report/provider/CARE/SC473877","Ofsted Social Care Provider Webpage")</f>
        <v>Ofsted Social Care Provider Webpage</v>
      </c>
      <c r="B464" s="3" t="s">
        <v>970</v>
      </c>
      <c r="C464" t="s">
        <v>34</v>
      </c>
      <c r="D464" s="19">
        <v>41726</v>
      </c>
      <c r="E464" t="s">
        <v>154</v>
      </c>
      <c r="F464" t="s">
        <v>155</v>
      </c>
      <c r="G464" t="s">
        <v>105</v>
      </c>
      <c r="H464" t="s">
        <v>105</v>
      </c>
      <c r="I464" t="s">
        <v>109</v>
      </c>
      <c r="J464" t="s">
        <v>472</v>
      </c>
      <c r="K464" t="s">
        <v>157</v>
      </c>
      <c r="L464" s="19">
        <v>44117</v>
      </c>
      <c r="M464" s="19">
        <v>44173</v>
      </c>
      <c r="N464" s="27" t="s">
        <v>557</v>
      </c>
    </row>
    <row r="465" spans="1:14" x14ac:dyDescent="0.25">
      <c r="A465" s="38" t="str">
        <f>HYPERLINK("http://reports.ofsted.gov.uk/inspection-reports/find-inspection-report/provider/CARE/1275500","Ofsted Social Care Provider Webpage")</f>
        <v>Ofsted Social Care Provider Webpage</v>
      </c>
      <c r="B465" s="3">
        <v>1275500</v>
      </c>
      <c r="C465" t="s">
        <v>34</v>
      </c>
      <c r="D465" s="19">
        <v>43347</v>
      </c>
      <c r="E465" t="s">
        <v>154</v>
      </c>
      <c r="F465" t="s">
        <v>155</v>
      </c>
      <c r="G465" t="s">
        <v>105</v>
      </c>
      <c r="H465" t="s">
        <v>105</v>
      </c>
      <c r="I465" t="s">
        <v>107</v>
      </c>
      <c r="J465" t="s">
        <v>783</v>
      </c>
      <c r="K465" t="s">
        <v>157</v>
      </c>
      <c r="L465" s="19">
        <v>44117</v>
      </c>
      <c r="M465" s="19">
        <v>44179</v>
      </c>
      <c r="N465" s="27" t="s">
        <v>557</v>
      </c>
    </row>
    <row r="466" spans="1:14" x14ac:dyDescent="0.25">
      <c r="A466" s="38" t="str">
        <f>HYPERLINK("http://reports.ofsted.gov.uk/inspection-reports/find-inspection-report/provider/CARE/2491059","Ofsted Social Care Provider Webpage")</f>
        <v>Ofsted Social Care Provider Webpage</v>
      </c>
      <c r="B466" s="3">
        <v>2491059</v>
      </c>
      <c r="C466" t="s">
        <v>34</v>
      </c>
      <c r="D466" s="19">
        <v>43388</v>
      </c>
      <c r="E466" t="s">
        <v>154</v>
      </c>
      <c r="F466" t="s">
        <v>155</v>
      </c>
      <c r="G466" t="s">
        <v>114</v>
      </c>
      <c r="H466" t="s">
        <v>114</v>
      </c>
      <c r="I466" t="s">
        <v>123</v>
      </c>
      <c r="J466" t="s">
        <v>201</v>
      </c>
      <c r="K466" t="s">
        <v>157</v>
      </c>
      <c r="L466" s="19">
        <v>44117</v>
      </c>
      <c r="M466" s="19">
        <v>44162</v>
      </c>
      <c r="N466" s="27" t="s">
        <v>557</v>
      </c>
    </row>
    <row r="467" spans="1:14" x14ac:dyDescent="0.25">
      <c r="A467" s="38" t="str">
        <f>HYPERLINK("http://reports.ofsted.gov.uk/inspection-reports/find-inspection-report/provider/CARE/1263248","Ofsted Social Care Provider Webpage")</f>
        <v>Ofsted Social Care Provider Webpage</v>
      </c>
      <c r="B467" s="3">
        <v>1263248</v>
      </c>
      <c r="C467" t="s">
        <v>34</v>
      </c>
      <c r="D467" s="19">
        <v>43122</v>
      </c>
      <c r="E467" t="s">
        <v>154</v>
      </c>
      <c r="F467" t="s">
        <v>155</v>
      </c>
      <c r="G467" t="s">
        <v>87</v>
      </c>
      <c r="H467" t="s">
        <v>87</v>
      </c>
      <c r="I467" t="s">
        <v>99</v>
      </c>
      <c r="J467" t="s">
        <v>199</v>
      </c>
      <c r="K467" t="s">
        <v>157</v>
      </c>
      <c r="L467" s="19">
        <v>44117</v>
      </c>
      <c r="M467" s="19">
        <v>44153</v>
      </c>
      <c r="N467" s="27" t="s">
        <v>557</v>
      </c>
    </row>
    <row r="468" spans="1:14" x14ac:dyDescent="0.25">
      <c r="A468" s="38" t="str">
        <f>HYPERLINK("http://reports.ofsted.gov.uk/inspection-reports/find-inspection-report/provider/CARE/SC061770","Ofsted Social Care Provider Webpage")</f>
        <v>Ofsted Social Care Provider Webpage</v>
      </c>
      <c r="B468" s="3" t="s">
        <v>540</v>
      </c>
      <c r="C468" t="s">
        <v>34</v>
      </c>
      <c r="D468" s="19">
        <v>38274</v>
      </c>
      <c r="E468" t="s">
        <v>154</v>
      </c>
      <c r="F468" t="s">
        <v>155</v>
      </c>
      <c r="G468" t="s">
        <v>48</v>
      </c>
      <c r="H468" t="s">
        <v>48</v>
      </c>
      <c r="I468" t="s">
        <v>54</v>
      </c>
      <c r="J468" t="s">
        <v>54</v>
      </c>
      <c r="K468" t="s">
        <v>157</v>
      </c>
      <c r="L468" s="19">
        <v>44117</v>
      </c>
      <c r="M468" s="19">
        <v>44141</v>
      </c>
      <c r="N468" s="27" t="s">
        <v>557</v>
      </c>
    </row>
    <row r="469" spans="1:14" x14ac:dyDescent="0.25">
      <c r="A469" s="38" t="str">
        <f>HYPERLINK("http://reports.ofsted.gov.uk/inspection-reports/find-inspection-report/provider/CARE/SC457180","Ofsted Social Care Provider Webpage")</f>
        <v>Ofsted Social Care Provider Webpage</v>
      </c>
      <c r="B469" s="3" t="s">
        <v>568</v>
      </c>
      <c r="C469" t="s">
        <v>34</v>
      </c>
      <c r="D469" s="19">
        <v>41319</v>
      </c>
      <c r="E469" t="s">
        <v>154</v>
      </c>
      <c r="F469" t="s">
        <v>155</v>
      </c>
      <c r="G469" t="s">
        <v>87</v>
      </c>
      <c r="H469" t="s">
        <v>87</v>
      </c>
      <c r="I469" t="s">
        <v>102</v>
      </c>
      <c r="J469" t="s">
        <v>510</v>
      </c>
      <c r="K469" t="s">
        <v>157</v>
      </c>
      <c r="L469" s="19">
        <v>44117</v>
      </c>
      <c r="M469" s="19">
        <v>44148</v>
      </c>
      <c r="N469" s="27" t="s">
        <v>557</v>
      </c>
    </row>
    <row r="470" spans="1:14" x14ac:dyDescent="0.25">
      <c r="A470" s="38" t="str">
        <f>HYPERLINK("http://reports.ofsted.gov.uk/inspection-reports/find-inspection-report/provider/CARE/1260700","Ofsted Social Care Provider Webpage")</f>
        <v>Ofsted Social Care Provider Webpage</v>
      </c>
      <c r="B470" s="3">
        <v>1260700</v>
      </c>
      <c r="C470" t="s">
        <v>34</v>
      </c>
      <c r="D470" s="19">
        <v>43018</v>
      </c>
      <c r="E470" t="s">
        <v>154</v>
      </c>
      <c r="F470" t="s">
        <v>155</v>
      </c>
      <c r="G470" t="s">
        <v>39</v>
      </c>
      <c r="H470" t="s">
        <v>39</v>
      </c>
      <c r="I470" t="s">
        <v>42</v>
      </c>
      <c r="J470" t="s">
        <v>578</v>
      </c>
      <c r="K470" t="s">
        <v>157</v>
      </c>
      <c r="L470" s="19">
        <v>44117</v>
      </c>
      <c r="M470" s="19">
        <v>44151</v>
      </c>
      <c r="N470" s="27" t="s">
        <v>557</v>
      </c>
    </row>
    <row r="471" spans="1:14" x14ac:dyDescent="0.25">
      <c r="A471" s="38" t="str">
        <f>HYPERLINK("http://reports.ofsted.gov.uk/inspection-reports/find-inspection-report/provider/CARE/SC471856","Ofsted Social Care Provider Webpage")</f>
        <v>Ofsted Social Care Provider Webpage</v>
      </c>
      <c r="B471" s="3" t="s">
        <v>558</v>
      </c>
      <c r="C471" t="s">
        <v>34</v>
      </c>
      <c r="D471" s="19">
        <v>41617</v>
      </c>
      <c r="E471" t="s">
        <v>154</v>
      </c>
      <c r="F471" t="s">
        <v>155</v>
      </c>
      <c r="G471" t="s">
        <v>48</v>
      </c>
      <c r="H471" t="s">
        <v>48</v>
      </c>
      <c r="I471" t="s">
        <v>53</v>
      </c>
      <c r="J471" t="s">
        <v>309</v>
      </c>
      <c r="K471" t="s">
        <v>157</v>
      </c>
      <c r="L471" s="19">
        <v>44117</v>
      </c>
      <c r="M471" s="19">
        <v>44144</v>
      </c>
      <c r="N471" s="27" t="s">
        <v>557</v>
      </c>
    </row>
    <row r="472" spans="1:14" x14ac:dyDescent="0.25">
      <c r="A472" s="38" t="str">
        <f>HYPERLINK("http://reports.ofsted.gov.uk/inspection-reports/find-inspection-report/provider/CARE/1255823","Ofsted Social Care Provider Webpage")</f>
        <v>Ofsted Social Care Provider Webpage</v>
      </c>
      <c r="B472" s="3">
        <v>1255823</v>
      </c>
      <c r="C472" t="s">
        <v>34</v>
      </c>
      <c r="D472" s="19">
        <v>42906</v>
      </c>
      <c r="E472" t="s">
        <v>154</v>
      </c>
      <c r="F472" t="s">
        <v>155</v>
      </c>
      <c r="G472" t="s">
        <v>105</v>
      </c>
      <c r="H472" t="s">
        <v>105</v>
      </c>
      <c r="I472" t="s">
        <v>108</v>
      </c>
      <c r="J472" t="s">
        <v>187</v>
      </c>
      <c r="K472" t="s">
        <v>172</v>
      </c>
      <c r="L472" s="19">
        <v>44118</v>
      </c>
      <c r="M472" s="19">
        <v>44153</v>
      </c>
      <c r="N472" s="27" t="s">
        <v>557</v>
      </c>
    </row>
    <row r="473" spans="1:14" x14ac:dyDescent="0.25">
      <c r="A473" s="38" t="str">
        <f>HYPERLINK("http://reports.ofsted.gov.uk/inspection-reports/find-inspection-report/provider/CARE/2539201","Ofsted Social Care Provider Webpage")</f>
        <v>Ofsted Social Care Provider Webpage</v>
      </c>
      <c r="B473" s="3">
        <v>2539201</v>
      </c>
      <c r="C473" t="s">
        <v>34</v>
      </c>
      <c r="D473" s="19">
        <v>43705</v>
      </c>
      <c r="E473" t="s">
        <v>154</v>
      </c>
      <c r="F473" t="s">
        <v>155</v>
      </c>
      <c r="G473" t="s">
        <v>39</v>
      </c>
      <c r="H473" t="s">
        <v>39</v>
      </c>
      <c r="I473" t="s">
        <v>46</v>
      </c>
      <c r="J473" t="s">
        <v>190</v>
      </c>
      <c r="K473" t="s">
        <v>157</v>
      </c>
      <c r="L473" s="19">
        <v>44118</v>
      </c>
      <c r="M473" s="19">
        <v>44148</v>
      </c>
      <c r="N473" s="27" t="s">
        <v>557</v>
      </c>
    </row>
    <row r="474" spans="1:14" x14ac:dyDescent="0.25">
      <c r="A474" s="38" t="str">
        <f>HYPERLINK("http://reports.ofsted.gov.uk/inspection-reports/find-inspection-report/provider/CARE/SC026910","Ofsted Social Care Provider Webpage")</f>
        <v>Ofsted Social Care Provider Webpage</v>
      </c>
      <c r="B474" s="3" t="s">
        <v>971</v>
      </c>
      <c r="C474" t="s">
        <v>36</v>
      </c>
      <c r="D474" s="19">
        <v>37306</v>
      </c>
      <c r="E474" t="s">
        <v>154</v>
      </c>
      <c r="F474" t="s">
        <v>155</v>
      </c>
      <c r="G474" t="s">
        <v>114</v>
      </c>
      <c r="H474" t="s">
        <v>114</v>
      </c>
      <c r="I474" t="s">
        <v>119</v>
      </c>
      <c r="J474" t="s">
        <v>972</v>
      </c>
      <c r="K474" t="s">
        <v>157</v>
      </c>
      <c r="L474" s="19">
        <v>44118</v>
      </c>
      <c r="M474" s="19">
        <v>44154</v>
      </c>
      <c r="N474" s="27" t="s">
        <v>557</v>
      </c>
    </row>
    <row r="475" spans="1:14" x14ac:dyDescent="0.25">
      <c r="A475" s="38" t="str">
        <f>HYPERLINK("http://reports.ofsted.gov.uk/inspection-reports/find-inspection-report/provider/CARE/1155761","Ofsted Social Care Provider Webpage")</f>
        <v>Ofsted Social Care Provider Webpage</v>
      </c>
      <c r="B475" s="3">
        <v>1155761</v>
      </c>
      <c r="C475" t="s">
        <v>34</v>
      </c>
      <c r="D475" s="19">
        <v>42285</v>
      </c>
      <c r="E475" t="s">
        <v>154</v>
      </c>
      <c r="F475" t="s">
        <v>155</v>
      </c>
      <c r="G475" t="s">
        <v>114</v>
      </c>
      <c r="H475" t="s">
        <v>114</v>
      </c>
      <c r="I475" t="s">
        <v>120</v>
      </c>
      <c r="J475" t="s">
        <v>973</v>
      </c>
      <c r="K475" t="s">
        <v>157</v>
      </c>
      <c r="L475" s="19">
        <v>44118</v>
      </c>
      <c r="M475" s="19">
        <v>44154</v>
      </c>
      <c r="N475" s="27" t="s">
        <v>559</v>
      </c>
    </row>
    <row r="476" spans="1:14" x14ac:dyDescent="0.25">
      <c r="A476" s="38" t="str">
        <f>HYPERLINK("http://reports.ofsted.gov.uk/inspection-reports/find-inspection-report/provider/CARE/2594875","Ofsted Social Care Provider Webpage")</f>
        <v>Ofsted Social Care Provider Webpage</v>
      </c>
      <c r="B476" s="3">
        <v>2594875</v>
      </c>
      <c r="C476" t="s">
        <v>34</v>
      </c>
      <c r="D476" s="19">
        <v>44025</v>
      </c>
      <c r="E476" t="s">
        <v>154</v>
      </c>
      <c r="F476" t="s">
        <v>155</v>
      </c>
      <c r="G476" t="s">
        <v>48</v>
      </c>
      <c r="H476" t="s">
        <v>48</v>
      </c>
      <c r="I476" t="s">
        <v>49</v>
      </c>
      <c r="J476" t="s">
        <v>258</v>
      </c>
      <c r="K476" t="s">
        <v>157</v>
      </c>
      <c r="L476" s="19">
        <v>44118</v>
      </c>
      <c r="M476" s="19">
        <v>44148</v>
      </c>
      <c r="N476" s="27" t="s">
        <v>557</v>
      </c>
    </row>
    <row r="477" spans="1:14" x14ac:dyDescent="0.25">
      <c r="A477" s="38" t="str">
        <f>HYPERLINK("http://reports.ofsted.gov.uk/inspection-reports/find-inspection-report/provider/CARE/SC060554","Ofsted Social Care Provider Webpage")</f>
        <v>Ofsted Social Care Provider Webpage</v>
      </c>
      <c r="B477" s="3" t="s">
        <v>561</v>
      </c>
      <c r="C477" t="s">
        <v>34</v>
      </c>
      <c r="D477" s="19">
        <v>38135</v>
      </c>
      <c r="E477" t="s">
        <v>154</v>
      </c>
      <c r="F477" t="s">
        <v>155</v>
      </c>
      <c r="G477" t="s">
        <v>128</v>
      </c>
      <c r="H477" t="s">
        <v>128</v>
      </c>
      <c r="I477" t="s">
        <v>134</v>
      </c>
      <c r="J477" t="s">
        <v>323</v>
      </c>
      <c r="K477" t="s">
        <v>157</v>
      </c>
      <c r="L477" s="19">
        <v>44118</v>
      </c>
      <c r="M477" s="19">
        <v>44148</v>
      </c>
      <c r="N477" s="27" t="s">
        <v>557</v>
      </c>
    </row>
    <row r="478" spans="1:14" x14ac:dyDescent="0.25">
      <c r="A478" s="38" t="str">
        <f>HYPERLINK("http://reports.ofsted.gov.uk/inspection-reports/find-inspection-report/provider/CARE/2529639","Ofsted Social Care Provider Webpage")</f>
        <v>Ofsted Social Care Provider Webpage</v>
      </c>
      <c r="B478" s="3">
        <v>2529639</v>
      </c>
      <c r="C478" t="s">
        <v>34</v>
      </c>
      <c r="D478" s="19">
        <v>43683</v>
      </c>
      <c r="E478" t="s">
        <v>154</v>
      </c>
      <c r="F478" t="s">
        <v>155</v>
      </c>
      <c r="G478" t="s">
        <v>128</v>
      </c>
      <c r="H478" t="s">
        <v>128</v>
      </c>
      <c r="I478" t="s">
        <v>627</v>
      </c>
      <c r="J478" t="s">
        <v>974</v>
      </c>
      <c r="K478" t="s">
        <v>172</v>
      </c>
      <c r="L478" s="19">
        <v>44118</v>
      </c>
      <c r="M478" s="19">
        <v>44162</v>
      </c>
      <c r="N478" s="27" t="s">
        <v>559</v>
      </c>
    </row>
    <row r="479" spans="1:14" x14ac:dyDescent="0.25">
      <c r="A479" s="38" t="str">
        <f>HYPERLINK("http://reports.ofsted.gov.uk/inspection-reports/find-inspection-report/provider/CARE/SC389649","Ofsted Social Care Provider Webpage")</f>
        <v>Ofsted Social Care Provider Webpage</v>
      </c>
      <c r="B479" s="3" t="s">
        <v>975</v>
      </c>
      <c r="C479" t="s">
        <v>34</v>
      </c>
      <c r="D479" s="19">
        <v>39862</v>
      </c>
      <c r="E479" t="s">
        <v>215</v>
      </c>
      <c r="F479" t="s">
        <v>155</v>
      </c>
      <c r="G479" t="s">
        <v>87</v>
      </c>
      <c r="H479" t="s">
        <v>87</v>
      </c>
      <c r="I479" t="s">
        <v>95</v>
      </c>
      <c r="J479" t="s">
        <v>450</v>
      </c>
      <c r="K479" t="s">
        <v>157</v>
      </c>
      <c r="L479" s="19">
        <v>44118</v>
      </c>
      <c r="M479" s="19">
        <v>44155</v>
      </c>
      <c r="N479" s="27" t="s">
        <v>557</v>
      </c>
    </row>
    <row r="480" spans="1:14" x14ac:dyDescent="0.25">
      <c r="A480" s="38" t="str">
        <f>HYPERLINK("http://reports.ofsted.gov.uk/inspection-reports/find-inspection-report/provider/CARE/2509452","Ofsted Social Care Provider Webpage")</f>
        <v>Ofsted Social Care Provider Webpage</v>
      </c>
      <c r="B480" s="3">
        <v>2509452</v>
      </c>
      <c r="C480" t="s">
        <v>34</v>
      </c>
      <c r="D480" s="19">
        <v>43535</v>
      </c>
      <c r="E480" t="s">
        <v>154</v>
      </c>
      <c r="F480" t="s">
        <v>155</v>
      </c>
      <c r="G480" t="s">
        <v>87</v>
      </c>
      <c r="H480" t="s">
        <v>87</v>
      </c>
      <c r="I480" t="s">
        <v>103</v>
      </c>
      <c r="J480" t="s">
        <v>648</v>
      </c>
      <c r="K480" t="s">
        <v>157</v>
      </c>
      <c r="L480" s="19">
        <v>44118</v>
      </c>
      <c r="M480" s="19">
        <v>44148</v>
      </c>
      <c r="N480" s="27" t="s">
        <v>557</v>
      </c>
    </row>
    <row r="481" spans="1:14" x14ac:dyDescent="0.25">
      <c r="A481" s="38" t="str">
        <f>HYPERLINK("http://reports.ofsted.gov.uk/inspection-reports/find-inspection-report/provider/CARE/2586949","Ofsted Social Care Provider Webpage")</f>
        <v>Ofsted Social Care Provider Webpage</v>
      </c>
      <c r="B481" s="3">
        <v>2586949</v>
      </c>
      <c r="C481" t="s">
        <v>34</v>
      </c>
      <c r="D481" s="19">
        <v>43951</v>
      </c>
      <c r="E481" t="s">
        <v>154</v>
      </c>
      <c r="F481" t="s">
        <v>155</v>
      </c>
      <c r="G481" t="s">
        <v>87</v>
      </c>
      <c r="H481" t="s">
        <v>87</v>
      </c>
      <c r="I481" t="s">
        <v>93</v>
      </c>
      <c r="J481" t="s">
        <v>179</v>
      </c>
      <c r="K481" t="s">
        <v>157</v>
      </c>
      <c r="L481" s="19">
        <v>44118</v>
      </c>
      <c r="M481" s="19">
        <v>44154</v>
      </c>
      <c r="N481" s="27" t="s">
        <v>557</v>
      </c>
    </row>
    <row r="482" spans="1:14" x14ac:dyDescent="0.25">
      <c r="A482" s="38" t="str">
        <f>HYPERLINK("http://reports.ofsted.gov.uk/inspection-reports/find-inspection-report/provider/CARE/2511289","Ofsted Social Care Provider Webpage")</f>
        <v>Ofsted Social Care Provider Webpage</v>
      </c>
      <c r="B482" s="3">
        <v>2511289</v>
      </c>
      <c r="C482" t="s">
        <v>34</v>
      </c>
      <c r="D482" s="19">
        <v>43486</v>
      </c>
      <c r="E482" t="s">
        <v>154</v>
      </c>
      <c r="F482" t="s">
        <v>155</v>
      </c>
      <c r="G482" t="s">
        <v>114</v>
      </c>
      <c r="H482" t="s">
        <v>114</v>
      </c>
      <c r="I482" t="s">
        <v>122</v>
      </c>
      <c r="J482" t="s">
        <v>188</v>
      </c>
      <c r="K482" t="s">
        <v>157</v>
      </c>
      <c r="L482" s="19">
        <v>44118</v>
      </c>
      <c r="M482" s="19">
        <v>44152</v>
      </c>
      <c r="N482" s="27" t="s">
        <v>557</v>
      </c>
    </row>
    <row r="483" spans="1:14" x14ac:dyDescent="0.25">
      <c r="A483" s="38" t="str">
        <f>HYPERLINK("http://reports.ofsted.gov.uk/inspection-reports/find-inspection-report/provider/CARE/SC023737","Ofsted Social Care Provider Webpage")</f>
        <v>Ofsted Social Care Provider Webpage</v>
      </c>
      <c r="B483" s="3" t="s">
        <v>976</v>
      </c>
      <c r="C483" t="s">
        <v>34</v>
      </c>
      <c r="D483" s="19">
        <v>37068</v>
      </c>
      <c r="E483" t="s">
        <v>154</v>
      </c>
      <c r="F483" t="s">
        <v>155</v>
      </c>
      <c r="G483" t="s">
        <v>105</v>
      </c>
      <c r="H483" t="s">
        <v>105</v>
      </c>
      <c r="I483" t="s">
        <v>109</v>
      </c>
      <c r="J483" t="s">
        <v>472</v>
      </c>
      <c r="K483" t="s">
        <v>157</v>
      </c>
      <c r="L483" s="19">
        <v>44118</v>
      </c>
      <c r="M483" s="19">
        <v>44162</v>
      </c>
      <c r="N483" s="27" t="s">
        <v>557</v>
      </c>
    </row>
    <row r="484" spans="1:14" x14ac:dyDescent="0.25">
      <c r="A484" s="38" t="str">
        <f>HYPERLINK("http://reports.ofsted.gov.uk/inspection-reports/find-inspection-report/provider/CARE/SC421197","Ofsted Social Care Provider Webpage")</f>
        <v>Ofsted Social Care Provider Webpage</v>
      </c>
      <c r="B484" s="3" t="s">
        <v>977</v>
      </c>
      <c r="C484" t="s">
        <v>34</v>
      </c>
      <c r="D484" s="19">
        <v>40549</v>
      </c>
      <c r="E484" t="s">
        <v>154</v>
      </c>
      <c r="F484" t="s">
        <v>155</v>
      </c>
      <c r="G484" t="s">
        <v>87</v>
      </c>
      <c r="H484" t="s">
        <v>87</v>
      </c>
      <c r="I484" t="s">
        <v>93</v>
      </c>
      <c r="J484" t="s">
        <v>829</v>
      </c>
      <c r="K484" t="s">
        <v>157</v>
      </c>
      <c r="L484" s="19">
        <v>44118</v>
      </c>
      <c r="M484" s="19">
        <v>44165</v>
      </c>
      <c r="N484" s="27" t="s">
        <v>557</v>
      </c>
    </row>
    <row r="485" spans="1:14" x14ac:dyDescent="0.25">
      <c r="A485" s="38" t="str">
        <f>HYPERLINK("http://reports.ofsted.gov.uk/inspection-reports/find-inspection-report/provider/CARE/SC059998","Ofsted Social Care Provider Webpage")</f>
        <v>Ofsted Social Care Provider Webpage</v>
      </c>
      <c r="B485" s="3" t="s">
        <v>978</v>
      </c>
      <c r="C485" t="s">
        <v>34</v>
      </c>
      <c r="D485" s="19">
        <v>38027</v>
      </c>
      <c r="E485" t="s">
        <v>154</v>
      </c>
      <c r="F485" t="s">
        <v>155</v>
      </c>
      <c r="G485" t="s">
        <v>39</v>
      </c>
      <c r="H485" t="s">
        <v>39</v>
      </c>
      <c r="I485" t="s">
        <v>40</v>
      </c>
      <c r="J485" t="s">
        <v>402</v>
      </c>
      <c r="K485" t="s">
        <v>157</v>
      </c>
      <c r="L485" s="19">
        <v>44118</v>
      </c>
      <c r="M485" s="19">
        <v>44152</v>
      </c>
      <c r="N485" s="27" t="s">
        <v>557</v>
      </c>
    </row>
    <row r="486" spans="1:14" x14ac:dyDescent="0.25">
      <c r="A486" s="38" t="str">
        <f>HYPERLINK("http://reports.ofsted.gov.uk/inspection-reports/find-inspection-report/provider/CARE/2515609","Ofsted Social Care Provider Webpage")</f>
        <v>Ofsted Social Care Provider Webpage</v>
      </c>
      <c r="B486" s="3">
        <v>2515609</v>
      </c>
      <c r="C486" t="s">
        <v>34</v>
      </c>
      <c r="D486" s="19">
        <v>43517</v>
      </c>
      <c r="E486" t="s">
        <v>154</v>
      </c>
      <c r="F486" t="s">
        <v>155</v>
      </c>
      <c r="G486" t="s">
        <v>128</v>
      </c>
      <c r="H486" t="s">
        <v>128</v>
      </c>
      <c r="I486" t="s">
        <v>627</v>
      </c>
      <c r="J486" t="s">
        <v>628</v>
      </c>
      <c r="K486" t="s">
        <v>157</v>
      </c>
      <c r="L486" s="19">
        <v>44118</v>
      </c>
      <c r="M486" s="19">
        <v>44154</v>
      </c>
      <c r="N486" s="27" t="s">
        <v>557</v>
      </c>
    </row>
    <row r="487" spans="1:14" x14ac:dyDescent="0.25">
      <c r="A487" s="38" t="str">
        <f>HYPERLINK("http://reports.ofsted.gov.uk/inspection-reports/find-inspection-report/provider/CARE/SC482340","Ofsted Social Care Provider Webpage")</f>
        <v>Ofsted Social Care Provider Webpage</v>
      </c>
      <c r="B487" s="3" t="s">
        <v>979</v>
      </c>
      <c r="C487" t="s">
        <v>34</v>
      </c>
      <c r="D487" s="19">
        <v>41976</v>
      </c>
      <c r="E487" t="s">
        <v>154</v>
      </c>
      <c r="F487" t="s">
        <v>155</v>
      </c>
      <c r="G487" t="s">
        <v>87</v>
      </c>
      <c r="H487" t="s">
        <v>87</v>
      </c>
      <c r="I487" t="s">
        <v>563</v>
      </c>
      <c r="J487" t="s">
        <v>563</v>
      </c>
      <c r="K487" t="s">
        <v>157</v>
      </c>
      <c r="L487" s="19">
        <v>44118</v>
      </c>
      <c r="M487" s="19">
        <v>44152</v>
      </c>
      <c r="N487" s="27" t="s">
        <v>557</v>
      </c>
    </row>
    <row r="488" spans="1:14" x14ac:dyDescent="0.25">
      <c r="A488" s="38" t="str">
        <f>HYPERLINK("http://reports.ofsted.gov.uk/inspection-reports/find-inspection-report/provider/CARE/SC420388","Ofsted Social Care Provider Webpage")</f>
        <v>Ofsted Social Care Provider Webpage</v>
      </c>
      <c r="B488" s="3" t="s">
        <v>980</v>
      </c>
      <c r="C488" t="s">
        <v>34</v>
      </c>
      <c r="D488" s="19">
        <v>40534</v>
      </c>
      <c r="E488" t="s">
        <v>154</v>
      </c>
      <c r="F488" t="s">
        <v>155</v>
      </c>
      <c r="G488" t="s">
        <v>87</v>
      </c>
      <c r="H488" t="s">
        <v>87</v>
      </c>
      <c r="I488" t="s">
        <v>696</v>
      </c>
      <c r="J488" t="s">
        <v>981</v>
      </c>
      <c r="K488" t="s">
        <v>157</v>
      </c>
      <c r="L488" s="19">
        <v>44118</v>
      </c>
      <c r="M488" s="19">
        <v>44152</v>
      </c>
      <c r="N488" s="27" t="s">
        <v>557</v>
      </c>
    </row>
    <row r="489" spans="1:14" x14ac:dyDescent="0.25">
      <c r="A489" s="38" t="str">
        <f>HYPERLINK("http://reports.ofsted.gov.uk/inspection-reports/find-inspection-report/provider/CARE/SC439535","Ofsted Social Care Provider Webpage")</f>
        <v>Ofsted Social Care Provider Webpage</v>
      </c>
      <c r="B489" s="3" t="s">
        <v>982</v>
      </c>
      <c r="C489" t="s">
        <v>34</v>
      </c>
      <c r="D489" s="19">
        <v>40886</v>
      </c>
      <c r="E489" t="s">
        <v>154</v>
      </c>
      <c r="F489" t="s">
        <v>155</v>
      </c>
      <c r="G489" t="s">
        <v>64</v>
      </c>
      <c r="H489" t="s">
        <v>164</v>
      </c>
      <c r="I489" t="s">
        <v>79</v>
      </c>
      <c r="J489" t="s">
        <v>601</v>
      </c>
      <c r="K489" t="s">
        <v>157</v>
      </c>
      <c r="L489" s="19">
        <v>44118</v>
      </c>
      <c r="M489" s="19">
        <v>44167</v>
      </c>
      <c r="N489" s="27" t="s">
        <v>557</v>
      </c>
    </row>
    <row r="490" spans="1:14" x14ac:dyDescent="0.25">
      <c r="A490" s="38" t="str">
        <f>HYPERLINK("http://reports.ofsted.gov.uk/inspection-reports/find-inspection-report/provider/CARE/2529667","Ofsted Social Care Provider Webpage")</f>
        <v>Ofsted Social Care Provider Webpage</v>
      </c>
      <c r="B490" s="3">
        <v>2529667</v>
      </c>
      <c r="C490" t="s">
        <v>34</v>
      </c>
      <c r="D490" s="19">
        <v>43539</v>
      </c>
      <c r="E490" t="s">
        <v>154</v>
      </c>
      <c r="F490" t="s">
        <v>155</v>
      </c>
      <c r="G490" t="s">
        <v>114</v>
      </c>
      <c r="H490" t="s">
        <v>114</v>
      </c>
      <c r="I490" t="s">
        <v>118</v>
      </c>
      <c r="J490" t="s">
        <v>983</v>
      </c>
      <c r="K490" t="s">
        <v>172</v>
      </c>
      <c r="L490" s="19">
        <v>44118</v>
      </c>
      <c r="M490" s="19">
        <v>44155</v>
      </c>
      <c r="N490" s="27" t="s">
        <v>559</v>
      </c>
    </row>
    <row r="491" spans="1:14" x14ac:dyDescent="0.25">
      <c r="A491" s="38" t="str">
        <f>HYPERLINK("http://reports.ofsted.gov.uk/inspection-reports/find-inspection-report/provider/CARE/SC039847","Ofsted Social Care Provider Webpage")</f>
        <v>Ofsted Social Care Provider Webpage</v>
      </c>
      <c r="B491" s="3" t="s">
        <v>984</v>
      </c>
      <c r="C491" t="s">
        <v>33</v>
      </c>
      <c r="D491" s="19">
        <v>37567</v>
      </c>
      <c r="E491" t="s">
        <v>154</v>
      </c>
      <c r="F491" t="s">
        <v>985</v>
      </c>
      <c r="G491" t="s">
        <v>114</v>
      </c>
      <c r="H491" t="s">
        <v>114</v>
      </c>
      <c r="I491" t="s">
        <v>123</v>
      </c>
      <c r="J491" t="s">
        <v>298</v>
      </c>
      <c r="K491" t="s">
        <v>518</v>
      </c>
      <c r="L491" s="19">
        <v>44118</v>
      </c>
      <c r="M491" s="19">
        <v>44155</v>
      </c>
      <c r="N491" s="27" t="s">
        <v>557</v>
      </c>
    </row>
    <row r="492" spans="1:14" x14ac:dyDescent="0.25">
      <c r="A492" s="38" t="str">
        <f>HYPERLINK("http://reports.ofsted.gov.uk/inspection-reports/find-inspection-report/provider/CARE/1239948","Ofsted Social Care Provider Webpage")</f>
        <v>Ofsted Social Care Provider Webpage</v>
      </c>
      <c r="B492" s="3">
        <v>1239948</v>
      </c>
      <c r="C492" t="s">
        <v>34</v>
      </c>
      <c r="D492" s="19">
        <v>42515</v>
      </c>
      <c r="E492" t="s">
        <v>154</v>
      </c>
      <c r="F492" t="s">
        <v>155</v>
      </c>
      <c r="G492" t="s">
        <v>105</v>
      </c>
      <c r="H492" t="s">
        <v>105</v>
      </c>
      <c r="I492" t="s">
        <v>111</v>
      </c>
      <c r="J492" t="s">
        <v>986</v>
      </c>
      <c r="K492" t="s">
        <v>172</v>
      </c>
      <c r="L492" s="19">
        <v>44118</v>
      </c>
      <c r="M492" s="19">
        <v>44172</v>
      </c>
      <c r="N492" s="27" t="s">
        <v>557</v>
      </c>
    </row>
    <row r="493" spans="1:14" x14ac:dyDescent="0.25">
      <c r="A493" s="38" t="str">
        <f>HYPERLINK("http://reports.ofsted.gov.uk/inspection-reports/find-inspection-report/provider/CARE/2495951","Ofsted Social Care Provider Webpage")</f>
        <v>Ofsted Social Care Provider Webpage</v>
      </c>
      <c r="B493" s="3">
        <v>2495951</v>
      </c>
      <c r="C493" t="s">
        <v>34</v>
      </c>
      <c r="D493" s="19">
        <v>43389</v>
      </c>
      <c r="E493" t="s">
        <v>154</v>
      </c>
      <c r="F493" t="s">
        <v>155</v>
      </c>
      <c r="G493" t="s">
        <v>39</v>
      </c>
      <c r="H493" t="s">
        <v>39</v>
      </c>
      <c r="I493" t="s">
        <v>42</v>
      </c>
      <c r="J493" t="s">
        <v>205</v>
      </c>
      <c r="K493" t="s">
        <v>157</v>
      </c>
      <c r="L493" s="19">
        <v>44118</v>
      </c>
      <c r="M493" s="19">
        <v>44153</v>
      </c>
      <c r="N493" s="27" t="s">
        <v>559</v>
      </c>
    </row>
    <row r="494" spans="1:14" x14ac:dyDescent="0.25">
      <c r="A494" s="38" t="str">
        <f>HYPERLINK("http://reports.ofsted.gov.uk/inspection-reports/find-inspection-report/provider/CARE/2491037","Ofsted Social Care Provider Webpage")</f>
        <v>Ofsted Social Care Provider Webpage</v>
      </c>
      <c r="B494" s="3">
        <v>2491037</v>
      </c>
      <c r="C494" t="s">
        <v>34</v>
      </c>
      <c r="D494" s="19">
        <v>43437</v>
      </c>
      <c r="E494" t="s">
        <v>154</v>
      </c>
      <c r="F494" t="s">
        <v>155</v>
      </c>
      <c r="G494" t="s">
        <v>39</v>
      </c>
      <c r="H494" t="s">
        <v>39</v>
      </c>
      <c r="I494" t="s">
        <v>45</v>
      </c>
      <c r="J494" t="s">
        <v>490</v>
      </c>
      <c r="K494" t="s">
        <v>157</v>
      </c>
      <c r="L494" s="19">
        <v>44118</v>
      </c>
      <c r="M494" s="19">
        <v>44147</v>
      </c>
      <c r="N494" s="27" t="s">
        <v>557</v>
      </c>
    </row>
    <row r="495" spans="1:14" x14ac:dyDescent="0.25">
      <c r="A495" s="38" t="str">
        <f>HYPERLINK("http://reports.ofsted.gov.uk/inspection-reports/find-inspection-report/provider/CARE/1263270","Ofsted Social Care Provider Webpage")</f>
        <v>Ofsted Social Care Provider Webpage</v>
      </c>
      <c r="B495" s="3">
        <v>1263270</v>
      </c>
      <c r="C495" t="s">
        <v>34</v>
      </c>
      <c r="D495" s="19">
        <v>42965</v>
      </c>
      <c r="E495" t="s">
        <v>154</v>
      </c>
      <c r="F495" t="s">
        <v>155</v>
      </c>
      <c r="G495" t="s">
        <v>114</v>
      </c>
      <c r="H495" t="s">
        <v>114</v>
      </c>
      <c r="I495" t="s">
        <v>117</v>
      </c>
      <c r="J495" t="s">
        <v>997</v>
      </c>
      <c r="K495" t="s">
        <v>157</v>
      </c>
      <c r="L495" s="19">
        <v>44119</v>
      </c>
      <c r="M495" s="19">
        <v>44152</v>
      </c>
      <c r="N495" s="27" t="s">
        <v>557</v>
      </c>
    </row>
    <row r="496" spans="1:14" x14ac:dyDescent="0.25">
      <c r="A496" s="38" t="str">
        <f>HYPERLINK("http://reports.ofsted.gov.uk/inspection-reports/find-inspection-report/provider/CARE/SC063219","Ofsted Social Care Provider Webpage")</f>
        <v>Ofsted Social Care Provider Webpage</v>
      </c>
      <c r="B496" s="3" t="s">
        <v>998</v>
      </c>
      <c r="C496" t="s">
        <v>34</v>
      </c>
      <c r="D496" s="19">
        <v>38555</v>
      </c>
      <c r="E496" t="s">
        <v>154</v>
      </c>
      <c r="F496" t="s">
        <v>155</v>
      </c>
      <c r="G496" t="s">
        <v>57</v>
      </c>
      <c r="H496" t="s">
        <v>57</v>
      </c>
      <c r="I496" t="s">
        <v>61</v>
      </c>
      <c r="J496" t="s">
        <v>265</v>
      </c>
      <c r="K496" t="s">
        <v>157</v>
      </c>
      <c r="L496" s="19">
        <v>44119</v>
      </c>
      <c r="M496" s="19">
        <v>44154</v>
      </c>
      <c r="N496" s="27" t="s">
        <v>557</v>
      </c>
    </row>
    <row r="497" spans="1:14" x14ac:dyDescent="0.25">
      <c r="A497" s="38" t="str">
        <f>HYPERLINK("http://reports.ofsted.gov.uk/inspection-reports/find-inspection-report/provider/CARE/2580890","Ofsted Social Care Provider Webpage")</f>
        <v>Ofsted Social Care Provider Webpage</v>
      </c>
      <c r="B497" s="3">
        <v>2580890</v>
      </c>
      <c r="C497" t="s">
        <v>34</v>
      </c>
      <c r="D497" s="19">
        <v>43950</v>
      </c>
      <c r="E497" t="s">
        <v>154</v>
      </c>
      <c r="F497" t="s">
        <v>155</v>
      </c>
      <c r="G497" t="s">
        <v>114</v>
      </c>
      <c r="H497" t="s">
        <v>114</v>
      </c>
      <c r="I497" t="s">
        <v>123</v>
      </c>
      <c r="J497" t="s">
        <v>319</v>
      </c>
      <c r="K497" t="s">
        <v>157</v>
      </c>
      <c r="L497" s="19">
        <v>44119</v>
      </c>
      <c r="M497" s="19">
        <v>44154</v>
      </c>
      <c r="N497" s="27" t="s">
        <v>557</v>
      </c>
    </row>
    <row r="498" spans="1:14" x14ac:dyDescent="0.25">
      <c r="A498" s="38" t="str">
        <f>HYPERLINK("http://reports.ofsted.gov.uk/inspection-reports/find-inspection-report/provider/CARE/1250186","Ofsted Social Care Provider Webpage")</f>
        <v>Ofsted Social Care Provider Webpage</v>
      </c>
      <c r="B498" s="3">
        <v>1250186</v>
      </c>
      <c r="C498" t="s">
        <v>34</v>
      </c>
      <c r="D498" s="19">
        <v>42872</v>
      </c>
      <c r="E498" t="s">
        <v>154</v>
      </c>
      <c r="F498" t="s">
        <v>155</v>
      </c>
      <c r="G498" t="s">
        <v>128</v>
      </c>
      <c r="H498" t="s">
        <v>128</v>
      </c>
      <c r="I498" t="s">
        <v>136</v>
      </c>
      <c r="J498" t="s">
        <v>354</v>
      </c>
      <c r="K498" t="s">
        <v>157</v>
      </c>
      <c r="L498" s="19">
        <v>44119</v>
      </c>
      <c r="M498" s="19">
        <v>44161</v>
      </c>
      <c r="N498" s="27" t="s">
        <v>557</v>
      </c>
    </row>
    <row r="499" spans="1:14" x14ac:dyDescent="0.25">
      <c r="A499" s="38" t="str">
        <f>HYPERLINK("http://reports.ofsted.gov.uk/inspection-reports/find-inspection-report/provider/CARE/SC446261","Ofsted Social Care Provider Webpage")</f>
        <v>Ofsted Social Care Provider Webpage</v>
      </c>
      <c r="B499" s="3" t="s">
        <v>999</v>
      </c>
      <c r="C499" t="s">
        <v>34</v>
      </c>
      <c r="D499" s="19">
        <v>41022</v>
      </c>
      <c r="E499" t="s">
        <v>154</v>
      </c>
      <c r="F499" t="s">
        <v>155</v>
      </c>
      <c r="G499" t="s">
        <v>128</v>
      </c>
      <c r="H499" t="s">
        <v>128</v>
      </c>
      <c r="I499" t="s">
        <v>134</v>
      </c>
      <c r="J499" t="s">
        <v>378</v>
      </c>
      <c r="K499" t="s">
        <v>157</v>
      </c>
      <c r="L499" s="19">
        <v>44119</v>
      </c>
      <c r="M499" s="19">
        <v>44158</v>
      </c>
      <c r="N499" s="27" t="s">
        <v>557</v>
      </c>
    </row>
    <row r="500" spans="1:14" x14ac:dyDescent="0.25">
      <c r="A500" s="38" t="str">
        <f>HYPERLINK("http://reports.ofsted.gov.uk/inspection-reports/find-inspection-report/provider/CARE/SC018958","Ofsted Social Care Provider Webpage")</f>
        <v>Ofsted Social Care Provider Webpage</v>
      </c>
      <c r="B500" s="3" t="s">
        <v>1000</v>
      </c>
      <c r="C500" t="s">
        <v>35</v>
      </c>
      <c r="D500" s="19">
        <v>37302</v>
      </c>
      <c r="E500" t="s">
        <v>154</v>
      </c>
      <c r="F500" t="s">
        <v>1001</v>
      </c>
      <c r="G500" t="s">
        <v>87</v>
      </c>
      <c r="H500" t="s">
        <v>87</v>
      </c>
      <c r="I500" t="s">
        <v>104</v>
      </c>
      <c r="J500" t="s">
        <v>1002</v>
      </c>
      <c r="K500" t="s">
        <v>168</v>
      </c>
      <c r="L500" s="19">
        <v>44119</v>
      </c>
      <c r="M500" s="19">
        <v>44154</v>
      </c>
      <c r="N500" s="27" t="s">
        <v>557</v>
      </c>
    </row>
    <row r="501" spans="1:14" x14ac:dyDescent="0.25">
      <c r="A501" s="38" t="str">
        <f>HYPERLINK("http://reports.ofsted.gov.uk/inspection-reports/find-inspection-report/provider/CARE/SC489416","Ofsted Social Care Provider Webpage")</f>
        <v>Ofsted Social Care Provider Webpage</v>
      </c>
      <c r="B501" s="3" t="s">
        <v>1003</v>
      </c>
      <c r="C501" t="s">
        <v>34</v>
      </c>
      <c r="D501" s="19">
        <v>42228</v>
      </c>
      <c r="E501" t="s">
        <v>154</v>
      </c>
      <c r="F501" t="s">
        <v>155</v>
      </c>
      <c r="G501" t="s">
        <v>87</v>
      </c>
      <c r="H501" t="s">
        <v>87</v>
      </c>
      <c r="I501" t="s">
        <v>93</v>
      </c>
      <c r="J501" t="s">
        <v>250</v>
      </c>
      <c r="K501" t="s">
        <v>157</v>
      </c>
      <c r="L501" s="19">
        <v>44119</v>
      </c>
      <c r="M501" s="19">
        <v>44155</v>
      </c>
      <c r="N501" s="27" t="s">
        <v>557</v>
      </c>
    </row>
    <row r="502" spans="1:14" x14ac:dyDescent="0.25">
      <c r="A502" s="38" t="str">
        <f>HYPERLINK("http://reports.ofsted.gov.uk/inspection-reports/find-inspection-report/provider/CARE/SC040719","Ofsted Social Care Provider Webpage")</f>
        <v>Ofsted Social Care Provider Webpage</v>
      </c>
      <c r="B502" s="3" t="s">
        <v>1030</v>
      </c>
      <c r="C502" t="s">
        <v>34</v>
      </c>
      <c r="D502" s="19">
        <v>37820</v>
      </c>
      <c r="E502" t="s">
        <v>154</v>
      </c>
      <c r="F502" t="s">
        <v>155</v>
      </c>
      <c r="G502" t="s">
        <v>87</v>
      </c>
      <c r="H502" t="s">
        <v>87</v>
      </c>
      <c r="I502" t="s">
        <v>89</v>
      </c>
      <c r="J502" t="s">
        <v>208</v>
      </c>
      <c r="K502" t="s">
        <v>172</v>
      </c>
      <c r="L502" s="19">
        <v>44120</v>
      </c>
      <c r="M502" s="19">
        <v>44152</v>
      </c>
      <c r="N502" s="27" t="s">
        <v>557</v>
      </c>
    </row>
    <row r="503" spans="1:14" x14ac:dyDescent="0.25">
      <c r="A503" s="38" t="str">
        <f>HYPERLINK("http://reports.ofsted.gov.uk/inspection-reports/find-inspection-report/provider/CARE/SC461865","Ofsted Social Care Provider Webpage")</f>
        <v>Ofsted Social Care Provider Webpage</v>
      </c>
      <c r="B503" s="3" t="s">
        <v>1065</v>
      </c>
      <c r="C503" t="s">
        <v>34</v>
      </c>
      <c r="D503" s="19">
        <v>41586</v>
      </c>
      <c r="E503" t="s">
        <v>154</v>
      </c>
      <c r="F503" t="s">
        <v>155</v>
      </c>
      <c r="G503" t="s">
        <v>57</v>
      </c>
      <c r="H503" t="s">
        <v>57</v>
      </c>
      <c r="I503" t="s">
        <v>62</v>
      </c>
      <c r="J503" t="s">
        <v>324</v>
      </c>
      <c r="K503" t="s">
        <v>157</v>
      </c>
      <c r="L503" s="19">
        <v>44123</v>
      </c>
      <c r="M503" s="19">
        <v>44153</v>
      </c>
      <c r="N503" s="27" t="s">
        <v>557</v>
      </c>
    </row>
    <row r="504" spans="1:14" x14ac:dyDescent="0.25">
      <c r="A504" s="38" t="str">
        <f>HYPERLINK("http://reports.ofsted.gov.uk/inspection-reports/find-inspection-report/provider/CARE/SC435152","Ofsted Social Care Provider Webpage")</f>
        <v>Ofsted Social Care Provider Webpage</v>
      </c>
      <c r="B504" s="3" t="s">
        <v>1066</v>
      </c>
      <c r="C504" t="s">
        <v>34</v>
      </c>
      <c r="D504" s="19">
        <v>41234</v>
      </c>
      <c r="E504" t="s">
        <v>154</v>
      </c>
      <c r="F504" t="s">
        <v>155</v>
      </c>
      <c r="G504" t="s">
        <v>105</v>
      </c>
      <c r="H504" t="s">
        <v>105</v>
      </c>
      <c r="I504" t="s">
        <v>109</v>
      </c>
      <c r="J504" t="s">
        <v>1067</v>
      </c>
      <c r="K504" t="s">
        <v>168</v>
      </c>
      <c r="L504" s="19">
        <v>44123</v>
      </c>
      <c r="M504" s="19">
        <v>44183</v>
      </c>
      <c r="N504" s="27" t="s">
        <v>557</v>
      </c>
    </row>
    <row r="505" spans="1:14" x14ac:dyDescent="0.25">
      <c r="A505" s="38" t="str">
        <f>HYPERLINK("http://reports.ofsted.gov.uk/inspection-reports/find-inspection-report/provider/CARE/SC037454","Ofsted Social Care Provider Webpage")</f>
        <v>Ofsted Social Care Provider Webpage</v>
      </c>
      <c r="B505" s="3" t="s">
        <v>1068</v>
      </c>
      <c r="C505" t="s">
        <v>34</v>
      </c>
      <c r="D505" s="19">
        <v>37673</v>
      </c>
      <c r="E505" t="s">
        <v>154</v>
      </c>
      <c r="F505" t="s">
        <v>155</v>
      </c>
      <c r="G505" t="s">
        <v>105</v>
      </c>
      <c r="H505" t="s">
        <v>105</v>
      </c>
      <c r="I505" t="s">
        <v>113</v>
      </c>
      <c r="J505" t="s">
        <v>212</v>
      </c>
      <c r="K505" t="s">
        <v>172</v>
      </c>
      <c r="L505" s="19">
        <v>44123</v>
      </c>
      <c r="M505" s="19">
        <v>44168</v>
      </c>
      <c r="N505" s="27" t="s">
        <v>557</v>
      </c>
    </row>
    <row r="506" spans="1:14" x14ac:dyDescent="0.25">
      <c r="A506" s="38" t="str">
        <f>HYPERLINK("http://reports.ofsted.gov.uk/inspection-reports/find-inspection-report/provider/CARE/SC066129","Ofsted Social Care Provider Webpage")</f>
        <v>Ofsted Social Care Provider Webpage</v>
      </c>
      <c r="B506" s="3" t="s">
        <v>1069</v>
      </c>
      <c r="C506" t="s">
        <v>34</v>
      </c>
      <c r="D506" s="19">
        <v>38856</v>
      </c>
      <c r="E506" t="s">
        <v>154</v>
      </c>
      <c r="F506" t="s">
        <v>155</v>
      </c>
      <c r="G506" t="s">
        <v>105</v>
      </c>
      <c r="H506" t="s">
        <v>105</v>
      </c>
      <c r="I506" t="s">
        <v>109</v>
      </c>
      <c r="J506" t="s">
        <v>162</v>
      </c>
      <c r="K506" t="s">
        <v>157</v>
      </c>
      <c r="L506" s="19">
        <v>44123</v>
      </c>
      <c r="M506" s="19">
        <v>44154</v>
      </c>
      <c r="N506" s="27" t="s">
        <v>557</v>
      </c>
    </row>
    <row r="507" spans="1:14" x14ac:dyDescent="0.25">
      <c r="A507" s="38" t="str">
        <f>HYPERLINK("http://reports.ofsted.gov.uk/inspection-reports/find-inspection-report/provider/CARE/SC063813","Ofsted Social Care Provider Webpage")</f>
        <v>Ofsted Social Care Provider Webpage</v>
      </c>
      <c r="B507" s="3" t="s">
        <v>624</v>
      </c>
      <c r="C507" t="s">
        <v>34</v>
      </c>
      <c r="D507" s="19">
        <v>38516</v>
      </c>
      <c r="E507" t="s">
        <v>154</v>
      </c>
      <c r="F507" t="s">
        <v>155</v>
      </c>
      <c r="G507" t="s">
        <v>128</v>
      </c>
      <c r="H507" t="s">
        <v>128</v>
      </c>
      <c r="I507" t="s">
        <v>134</v>
      </c>
      <c r="J507" t="s">
        <v>625</v>
      </c>
      <c r="K507" t="s">
        <v>157</v>
      </c>
      <c r="L507" s="19">
        <v>44123</v>
      </c>
      <c r="M507" s="19">
        <v>44148</v>
      </c>
      <c r="N507" s="27" t="s">
        <v>557</v>
      </c>
    </row>
    <row r="508" spans="1:14" x14ac:dyDescent="0.25">
      <c r="A508" s="38" t="str">
        <f>HYPERLINK("http://reports.ofsted.gov.uk/inspection-reports/find-inspection-report/provider/CARE/2502918","Ofsted Social Care Provider Webpage")</f>
        <v>Ofsted Social Care Provider Webpage</v>
      </c>
      <c r="B508" s="3">
        <v>2502918</v>
      </c>
      <c r="C508" t="s">
        <v>34</v>
      </c>
      <c r="D508" s="19">
        <v>43486</v>
      </c>
      <c r="E508" t="s">
        <v>154</v>
      </c>
      <c r="F508" t="s">
        <v>155</v>
      </c>
      <c r="G508" t="s">
        <v>39</v>
      </c>
      <c r="H508" t="s">
        <v>39</v>
      </c>
      <c r="I508" t="s">
        <v>44</v>
      </c>
      <c r="J508" t="s">
        <v>242</v>
      </c>
      <c r="K508" t="s">
        <v>157</v>
      </c>
      <c r="L508" s="19">
        <v>44123</v>
      </c>
      <c r="M508" s="19">
        <v>44151</v>
      </c>
      <c r="N508" s="27" t="s">
        <v>557</v>
      </c>
    </row>
    <row r="509" spans="1:14" x14ac:dyDescent="0.25">
      <c r="A509" s="38" t="str">
        <f>HYPERLINK("http://reports.ofsted.gov.uk/inspection-reports/find-inspection-report/provider/CARE/2567658","Ofsted Social Care Provider Webpage")</f>
        <v>Ofsted Social Care Provider Webpage</v>
      </c>
      <c r="B509" s="3">
        <v>2567658</v>
      </c>
      <c r="C509" t="s">
        <v>34</v>
      </c>
      <c r="D509" s="19">
        <v>43992</v>
      </c>
      <c r="E509" t="s">
        <v>154</v>
      </c>
      <c r="F509" t="s">
        <v>155</v>
      </c>
      <c r="G509" t="s">
        <v>128</v>
      </c>
      <c r="H509" t="s">
        <v>128</v>
      </c>
      <c r="I509" t="s">
        <v>129</v>
      </c>
      <c r="J509" t="s">
        <v>410</v>
      </c>
      <c r="K509" t="s">
        <v>157</v>
      </c>
      <c r="L509" s="19">
        <v>44123</v>
      </c>
      <c r="M509" s="19">
        <v>44155</v>
      </c>
      <c r="N509" s="27" t="s">
        <v>557</v>
      </c>
    </row>
    <row r="510" spans="1:14" x14ac:dyDescent="0.25">
      <c r="A510" s="38" t="str">
        <f>HYPERLINK("http://reports.ofsted.gov.uk/inspection-reports/find-inspection-report/provider/CARE/SC478852","Ofsted Social Care Provider Webpage")</f>
        <v>Ofsted Social Care Provider Webpage</v>
      </c>
      <c r="B510" s="3" t="s">
        <v>1070</v>
      </c>
      <c r="C510" t="s">
        <v>34</v>
      </c>
      <c r="D510" s="19">
        <v>41815</v>
      </c>
      <c r="E510" t="s">
        <v>154</v>
      </c>
      <c r="F510" t="s">
        <v>155</v>
      </c>
      <c r="G510" t="s">
        <v>128</v>
      </c>
      <c r="H510" t="s">
        <v>128</v>
      </c>
      <c r="I510" t="s">
        <v>134</v>
      </c>
      <c r="J510" t="s">
        <v>448</v>
      </c>
      <c r="K510" t="s">
        <v>157</v>
      </c>
      <c r="L510" s="19">
        <v>44123</v>
      </c>
      <c r="M510" s="19">
        <v>44151</v>
      </c>
      <c r="N510" s="27" t="s">
        <v>557</v>
      </c>
    </row>
    <row r="511" spans="1:14" x14ac:dyDescent="0.25">
      <c r="A511" s="38" t="str">
        <f>HYPERLINK("http://reports.ofsted.gov.uk/inspection-reports/find-inspection-report/provider/CARE/SC005067","Ofsted Social Care Provider Webpage")</f>
        <v>Ofsted Social Care Provider Webpage</v>
      </c>
      <c r="B511" s="3" t="s">
        <v>652</v>
      </c>
      <c r="C511" t="s">
        <v>34</v>
      </c>
      <c r="D511" s="19">
        <v>35800</v>
      </c>
      <c r="E511" t="s">
        <v>154</v>
      </c>
      <c r="F511" t="s">
        <v>155</v>
      </c>
      <c r="G511" t="s">
        <v>128</v>
      </c>
      <c r="H511" t="s">
        <v>128</v>
      </c>
      <c r="I511" t="s">
        <v>134</v>
      </c>
      <c r="J511" t="s">
        <v>378</v>
      </c>
      <c r="K511" t="s">
        <v>157</v>
      </c>
      <c r="L511" s="19">
        <v>44123</v>
      </c>
      <c r="M511" s="19">
        <v>44148</v>
      </c>
      <c r="N511" s="27" t="s">
        <v>557</v>
      </c>
    </row>
    <row r="512" spans="1:14" x14ac:dyDescent="0.25">
      <c r="A512" s="38" t="str">
        <f>HYPERLINK("http://reports.ofsted.gov.uk/inspection-reports/find-inspection-report/provider/CARE/SC396721","Ofsted Social Care Provider Webpage")</f>
        <v>Ofsted Social Care Provider Webpage</v>
      </c>
      <c r="B512" s="3" t="s">
        <v>1071</v>
      </c>
      <c r="C512" t="s">
        <v>34</v>
      </c>
      <c r="D512" s="19">
        <v>39989</v>
      </c>
      <c r="E512" t="s">
        <v>154</v>
      </c>
      <c r="F512" t="s">
        <v>155</v>
      </c>
      <c r="G512" t="s">
        <v>128</v>
      </c>
      <c r="H512" t="s">
        <v>128</v>
      </c>
      <c r="I512" t="s">
        <v>133</v>
      </c>
      <c r="J512" t="s">
        <v>381</v>
      </c>
      <c r="K512" t="s">
        <v>157</v>
      </c>
      <c r="L512" s="19">
        <v>44123</v>
      </c>
      <c r="M512" s="19">
        <v>44152</v>
      </c>
      <c r="N512" s="27" t="s">
        <v>557</v>
      </c>
    </row>
    <row r="513" spans="1:14" x14ac:dyDescent="0.25">
      <c r="A513" s="38" t="str">
        <f>HYPERLINK("http://reports.ofsted.gov.uk/inspection-reports/find-inspection-report/provider/CARE/2501397","Ofsted Social Care Provider Webpage")</f>
        <v>Ofsted Social Care Provider Webpage</v>
      </c>
      <c r="B513" s="3">
        <v>2501397</v>
      </c>
      <c r="C513" t="s">
        <v>34</v>
      </c>
      <c r="D513" s="19">
        <v>43437</v>
      </c>
      <c r="E513" t="s">
        <v>154</v>
      </c>
      <c r="F513" t="s">
        <v>155</v>
      </c>
      <c r="G513" t="s">
        <v>39</v>
      </c>
      <c r="H513" t="s">
        <v>39</v>
      </c>
      <c r="I513" t="s">
        <v>46</v>
      </c>
      <c r="J513" t="s">
        <v>992</v>
      </c>
      <c r="K513" t="s">
        <v>157</v>
      </c>
      <c r="L513" s="19">
        <v>44123</v>
      </c>
      <c r="M513" s="19">
        <v>44165</v>
      </c>
      <c r="N513" s="27" t="s">
        <v>557</v>
      </c>
    </row>
    <row r="514" spans="1:14" x14ac:dyDescent="0.25">
      <c r="A514" s="38" t="str">
        <f>HYPERLINK("http://reports.ofsted.gov.uk/inspection-reports/find-inspection-report/provider/CARE/1236278","Ofsted Social Care Provider Webpage")</f>
        <v>Ofsted Social Care Provider Webpage</v>
      </c>
      <c r="B514" s="3">
        <v>1236278</v>
      </c>
      <c r="C514" t="s">
        <v>34</v>
      </c>
      <c r="D514" s="19">
        <v>42527</v>
      </c>
      <c r="E514" t="s">
        <v>154</v>
      </c>
      <c r="F514" t="s">
        <v>155</v>
      </c>
      <c r="G514" t="s">
        <v>114</v>
      </c>
      <c r="H514" t="s">
        <v>114</v>
      </c>
      <c r="I514" t="s">
        <v>117</v>
      </c>
      <c r="J514" t="s">
        <v>997</v>
      </c>
      <c r="K514" t="s">
        <v>157</v>
      </c>
      <c r="L514" s="19">
        <v>44123</v>
      </c>
      <c r="M514" s="19">
        <v>44152</v>
      </c>
      <c r="N514" s="27" t="s">
        <v>557</v>
      </c>
    </row>
    <row r="515" spans="1:14" x14ac:dyDescent="0.25">
      <c r="A515" s="38" t="str">
        <f>HYPERLINK("http://reports.ofsted.gov.uk/inspection-reports/find-inspection-report/provider/CARE/1270767","Ofsted Social Care Provider Webpage")</f>
        <v>Ofsted Social Care Provider Webpage</v>
      </c>
      <c r="B515" s="3">
        <v>1270767</v>
      </c>
      <c r="C515" t="s">
        <v>34</v>
      </c>
      <c r="D515" s="19">
        <v>43147</v>
      </c>
      <c r="E515" t="s">
        <v>154</v>
      </c>
      <c r="F515" t="s">
        <v>155</v>
      </c>
      <c r="G515" t="s">
        <v>39</v>
      </c>
      <c r="H515" t="s">
        <v>39</v>
      </c>
      <c r="I515" t="s">
        <v>46</v>
      </c>
      <c r="J515" t="s">
        <v>501</v>
      </c>
      <c r="K515" t="s">
        <v>157</v>
      </c>
      <c r="L515" s="19">
        <v>44123</v>
      </c>
      <c r="M515" s="19">
        <v>44161</v>
      </c>
      <c r="N515" s="27" t="s">
        <v>557</v>
      </c>
    </row>
    <row r="516" spans="1:14" x14ac:dyDescent="0.25">
      <c r="A516" s="38" t="str">
        <f>HYPERLINK("http://reports.ofsted.gov.uk/inspection-reports/find-inspection-report/provider/CARE/SC031490","Ofsted Social Care Provider Webpage")</f>
        <v>Ofsted Social Care Provider Webpage</v>
      </c>
      <c r="B516" s="3" t="s">
        <v>1072</v>
      </c>
      <c r="C516" t="s">
        <v>37</v>
      </c>
      <c r="D516" s="19">
        <v>37844</v>
      </c>
      <c r="E516" t="s">
        <v>154</v>
      </c>
      <c r="F516" t="s">
        <v>155</v>
      </c>
      <c r="G516" t="s">
        <v>105</v>
      </c>
      <c r="H516" t="s">
        <v>105</v>
      </c>
      <c r="I516" t="s">
        <v>107</v>
      </c>
      <c r="J516" t="s">
        <v>1073</v>
      </c>
      <c r="K516" t="s">
        <v>172</v>
      </c>
      <c r="L516" s="19">
        <v>44123</v>
      </c>
      <c r="M516" s="19">
        <v>44155</v>
      </c>
      <c r="N516" s="27" t="s">
        <v>557</v>
      </c>
    </row>
    <row r="517" spans="1:14" x14ac:dyDescent="0.25">
      <c r="A517" s="38" t="str">
        <f>HYPERLINK("http://reports.ofsted.gov.uk/inspection-reports/find-inspection-report/provider/CARE/1264335","Ofsted Social Care Provider Webpage")</f>
        <v>Ofsted Social Care Provider Webpage</v>
      </c>
      <c r="B517" s="3">
        <v>1264335</v>
      </c>
      <c r="C517" t="s">
        <v>581</v>
      </c>
      <c r="D517" s="19">
        <v>43091</v>
      </c>
      <c r="E517" t="s">
        <v>154</v>
      </c>
      <c r="F517" t="s">
        <v>1074</v>
      </c>
      <c r="G517" t="s">
        <v>128</v>
      </c>
      <c r="H517" t="s">
        <v>128</v>
      </c>
      <c r="I517" t="s">
        <v>140</v>
      </c>
      <c r="J517" t="s">
        <v>256</v>
      </c>
      <c r="K517" t="s">
        <v>157</v>
      </c>
      <c r="L517" s="19">
        <v>44123</v>
      </c>
      <c r="M517" s="19">
        <v>44159</v>
      </c>
      <c r="N517" s="27" t="s">
        <v>557</v>
      </c>
    </row>
    <row r="518" spans="1:14" x14ac:dyDescent="0.25">
      <c r="A518" s="38" t="str">
        <f>HYPERLINK("http://reports.ofsted.gov.uk/inspection-reports/find-inspection-report/provider/CARE/2527312","Ofsted Social Care Provider Webpage")</f>
        <v>Ofsted Social Care Provider Webpage</v>
      </c>
      <c r="B518" s="3">
        <v>2527312</v>
      </c>
      <c r="C518" t="s">
        <v>34</v>
      </c>
      <c r="D518" s="19">
        <v>43668</v>
      </c>
      <c r="E518" t="s">
        <v>154</v>
      </c>
      <c r="F518" t="s">
        <v>155</v>
      </c>
      <c r="G518" t="s">
        <v>114</v>
      </c>
      <c r="H518" t="s">
        <v>114</v>
      </c>
      <c r="I518" t="s">
        <v>118</v>
      </c>
      <c r="J518" t="s">
        <v>636</v>
      </c>
      <c r="K518" t="s">
        <v>157</v>
      </c>
      <c r="L518" s="19">
        <v>44123</v>
      </c>
      <c r="M518" s="19">
        <v>44151</v>
      </c>
      <c r="N518" s="27" t="s">
        <v>557</v>
      </c>
    </row>
    <row r="519" spans="1:14" x14ac:dyDescent="0.25">
      <c r="A519" s="38" t="str">
        <f>HYPERLINK("http://reports.ofsted.gov.uk/inspection-reports/find-inspection-report/provider/CARE/SC412175","Ofsted Social Care Provider Webpage")</f>
        <v>Ofsted Social Care Provider Webpage</v>
      </c>
      <c r="B519" s="3" t="s">
        <v>1075</v>
      </c>
      <c r="C519" t="s">
        <v>34</v>
      </c>
      <c r="D519" s="19">
        <v>40377</v>
      </c>
      <c r="E519" t="s">
        <v>154</v>
      </c>
      <c r="F519" t="s">
        <v>155</v>
      </c>
      <c r="G519" t="s">
        <v>128</v>
      </c>
      <c r="H519" t="s">
        <v>128</v>
      </c>
      <c r="I519" t="s">
        <v>129</v>
      </c>
      <c r="J519" t="s">
        <v>410</v>
      </c>
      <c r="K519" t="s">
        <v>157</v>
      </c>
      <c r="L519" s="19">
        <v>44123</v>
      </c>
      <c r="M519" s="19">
        <v>44179</v>
      </c>
      <c r="N519" s="27" t="s">
        <v>557</v>
      </c>
    </row>
    <row r="520" spans="1:14" x14ac:dyDescent="0.25">
      <c r="A520" s="38" t="str">
        <f>HYPERLINK("http://reports.ofsted.gov.uk/inspection-reports/find-inspection-report/provider/CARE/SC475703","Ofsted Social Care Provider Webpage")</f>
        <v>Ofsted Social Care Provider Webpage</v>
      </c>
      <c r="B520" s="3" t="s">
        <v>1076</v>
      </c>
      <c r="C520" t="s">
        <v>34</v>
      </c>
      <c r="D520" s="19">
        <v>41767</v>
      </c>
      <c r="E520" t="s">
        <v>154</v>
      </c>
      <c r="F520" t="s">
        <v>155</v>
      </c>
      <c r="G520" t="s">
        <v>64</v>
      </c>
      <c r="H520" t="s">
        <v>164</v>
      </c>
      <c r="I520" t="s">
        <v>79</v>
      </c>
      <c r="J520" t="s">
        <v>318</v>
      </c>
      <c r="K520" t="s">
        <v>157</v>
      </c>
      <c r="L520" s="19">
        <v>44124</v>
      </c>
      <c r="M520" s="19">
        <v>44161</v>
      </c>
      <c r="N520" s="27" t="s">
        <v>557</v>
      </c>
    </row>
    <row r="521" spans="1:14" x14ac:dyDescent="0.25">
      <c r="A521" s="38" t="str">
        <f>HYPERLINK("http://reports.ofsted.gov.uk/inspection-reports/find-inspection-report/provider/CARE/1264048","Ofsted Social Care Provider Webpage")</f>
        <v>Ofsted Social Care Provider Webpage</v>
      </c>
      <c r="B521" s="3">
        <v>1264048</v>
      </c>
      <c r="C521" t="s">
        <v>34</v>
      </c>
      <c r="D521" s="19">
        <v>42990</v>
      </c>
      <c r="E521" t="s">
        <v>154</v>
      </c>
      <c r="F521" t="s">
        <v>155</v>
      </c>
      <c r="G521" t="s">
        <v>57</v>
      </c>
      <c r="H521" t="s">
        <v>57</v>
      </c>
      <c r="I521" t="s">
        <v>668</v>
      </c>
      <c r="J521" t="s">
        <v>1077</v>
      </c>
      <c r="K521" t="s">
        <v>157</v>
      </c>
      <c r="L521" s="19">
        <v>44124</v>
      </c>
      <c r="M521" s="19">
        <v>44153</v>
      </c>
      <c r="N521" s="27" t="s">
        <v>557</v>
      </c>
    </row>
    <row r="522" spans="1:14" x14ac:dyDescent="0.25">
      <c r="A522" s="38" t="str">
        <f>HYPERLINK("http://reports.ofsted.gov.uk/inspection-reports/find-inspection-report/provider/CARE/1221437","Ofsted Social Care Provider Webpage")</f>
        <v>Ofsted Social Care Provider Webpage</v>
      </c>
      <c r="B522" s="3">
        <v>1221437</v>
      </c>
      <c r="C522" t="s">
        <v>34</v>
      </c>
      <c r="D522" s="19">
        <v>42444</v>
      </c>
      <c r="E522" t="s">
        <v>154</v>
      </c>
      <c r="F522" t="s">
        <v>155</v>
      </c>
      <c r="G522" t="s">
        <v>114</v>
      </c>
      <c r="H522" t="s">
        <v>114</v>
      </c>
      <c r="I522" t="s">
        <v>119</v>
      </c>
      <c r="J522" t="s">
        <v>529</v>
      </c>
      <c r="K522" t="s">
        <v>157</v>
      </c>
      <c r="L522" s="19">
        <v>44124</v>
      </c>
      <c r="M522" s="19">
        <v>44154</v>
      </c>
      <c r="N522" s="27" t="s">
        <v>557</v>
      </c>
    </row>
    <row r="523" spans="1:14" x14ac:dyDescent="0.25">
      <c r="A523" s="38" t="str">
        <f>HYPERLINK("http://reports.ofsted.gov.uk/inspection-reports/find-inspection-report/provider/CARE/SC481844","Ofsted Social Care Provider Webpage")</f>
        <v>Ofsted Social Care Provider Webpage</v>
      </c>
      <c r="B523" s="3" t="s">
        <v>1078</v>
      </c>
      <c r="C523" t="s">
        <v>34</v>
      </c>
      <c r="D523" s="19">
        <v>41913</v>
      </c>
      <c r="E523" t="s">
        <v>154</v>
      </c>
      <c r="F523" t="s">
        <v>155</v>
      </c>
      <c r="G523" t="s">
        <v>39</v>
      </c>
      <c r="H523" t="s">
        <v>39</v>
      </c>
      <c r="I523" t="s">
        <v>44</v>
      </c>
      <c r="J523" t="s">
        <v>194</v>
      </c>
      <c r="K523" t="s">
        <v>157</v>
      </c>
      <c r="L523" s="19">
        <v>44124</v>
      </c>
      <c r="M523" s="19">
        <v>44154</v>
      </c>
      <c r="N523" s="27" t="s">
        <v>557</v>
      </c>
    </row>
    <row r="524" spans="1:14" x14ac:dyDescent="0.25">
      <c r="A524" s="38" t="str">
        <f>HYPERLINK("http://reports.ofsted.gov.uk/inspection-reports/find-inspection-report/provider/CARE/SC012450","Ofsted Social Care Provider Webpage")</f>
        <v>Ofsted Social Care Provider Webpage</v>
      </c>
      <c r="B524" s="3" t="s">
        <v>1079</v>
      </c>
      <c r="C524" t="s">
        <v>35</v>
      </c>
      <c r="D524" s="19">
        <v>37301</v>
      </c>
      <c r="E524" t="s">
        <v>154</v>
      </c>
      <c r="F524" t="s">
        <v>1080</v>
      </c>
      <c r="G524" t="s">
        <v>105</v>
      </c>
      <c r="H524" t="s">
        <v>105</v>
      </c>
      <c r="I524" t="s">
        <v>108</v>
      </c>
      <c r="J524" t="s">
        <v>206</v>
      </c>
      <c r="K524" t="s">
        <v>157</v>
      </c>
      <c r="L524" s="19">
        <v>44124</v>
      </c>
      <c r="M524" s="19">
        <v>44194</v>
      </c>
      <c r="N524" s="27" t="s">
        <v>559</v>
      </c>
    </row>
    <row r="525" spans="1:14" x14ac:dyDescent="0.25">
      <c r="A525" s="38" t="str">
        <f>HYPERLINK("http://reports.ofsted.gov.uk/inspection-reports/find-inspection-report/provider/CARE/2536455","Ofsted Social Care Provider Webpage")</f>
        <v>Ofsted Social Care Provider Webpage</v>
      </c>
      <c r="B525" s="3">
        <v>2536455</v>
      </c>
      <c r="C525" t="s">
        <v>34</v>
      </c>
      <c r="D525" s="19">
        <v>43692</v>
      </c>
      <c r="E525" t="s">
        <v>154</v>
      </c>
      <c r="F525" t="s">
        <v>155</v>
      </c>
      <c r="G525" t="s">
        <v>48</v>
      </c>
      <c r="H525" t="s">
        <v>48</v>
      </c>
      <c r="I525" t="s">
        <v>50</v>
      </c>
      <c r="J525" t="s">
        <v>243</v>
      </c>
      <c r="K525" t="s">
        <v>157</v>
      </c>
      <c r="L525" s="19">
        <v>44124</v>
      </c>
      <c r="M525" s="19">
        <v>44146</v>
      </c>
      <c r="N525" s="27" t="s">
        <v>557</v>
      </c>
    </row>
    <row r="526" spans="1:14" x14ac:dyDescent="0.25">
      <c r="A526" s="38" t="str">
        <f>HYPERLINK("http://reports.ofsted.gov.uk/inspection-reports/find-inspection-report/provider/CARE/2536967","Ofsted Social Care Provider Webpage")</f>
        <v>Ofsted Social Care Provider Webpage</v>
      </c>
      <c r="B526" s="3">
        <v>2536967</v>
      </c>
      <c r="C526" t="s">
        <v>34</v>
      </c>
      <c r="D526" s="19">
        <v>43823</v>
      </c>
      <c r="E526" t="s">
        <v>154</v>
      </c>
      <c r="F526" t="s">
        <v>155</v>
      </c>
      <c r="G526" t="s">
        <v>105</v>
      </c>
      <c r="H526" t="s">
        <v>105</v>
      </c>
      <c r="I526" t="s">
        <v>109</v>
      </c>
      <c r="J526" t="s">
        <v>588</v>
      </c>
      <c r="K526" t="s">
        <v>172</v>
      </c>
      <c r="L526" s="19">
        <v>44124</v>
      </c>
      <c r="M526" s="19">
        <v>44181</v>
      </c>
      <c r="N526" s="27" t="s">
        <v>557</v>
      </c>
    </row>
    <row r="527" spans="1:14" x14ac:dyDescent="0.25">
      <c r="A527" s="38" t="str">
        <f>HYPERLINK("http://reports.ofsted.gov.uk/inspection-reports/find-inspection-report/provider/CARE/SC030439","Ofsted Social Care Provider Webpage")</f>
        <v>Ofsted Social Care Provider Webpage</v>
      </c>
      <c r="B527" s="3" t="s">
        <v>1081</v>
      </c>
      <c r="C527" t="s">
        <v>34</v>
      </c>
      <c r="D527" s="19">
        <v>38114</v>
      </c>
      <c r="E527" t="s">
        <v>154</v>
      </c>
      <c r="F527" t="s">
        <v>155</v>
      </c>
      <c r="G527" t="s">
        <v>114</v>
      </c>
      <c r="H527" t="s">
        <v>114</v>
      </c>
      <c r="I527" t="s">
        <v>123</v>
      </c>
      <c r="J527" t="s">
        <v>201</v>
      </c>
      <c r="K527" t="s">
        <v>172</v>
      </c>
      <c r="L527" s="19">
        <v>44124</v>
      </c>
      <c r="M527" s="19">
        <v>44154</v>
      </c>
      <c r="N527" s="27" t="s">
        <v>557</v>
      </c>
    </row>
    <row r="528" spans="1:14" x14ac:dyDescent="0.25">
      <c r="A528" s="38" t="str">
        <f>HYPERLINK("http://reports.ofsted.gov.uk/inspection-reports/find-inspection-report/provider/CARE/SC425071","Ofsted Social Care Provider Webpage")</f>
        <v>Ofsted Social Care Provider Webpage</v>
      </c>
      <c r="B528" s="3" t="s">
        <v>1082</v>
      </c>
      <c r="C528" t="s">
        <v>34</v>
      </c>
      <c r="D528" s="19">
        <v>40980</v>
      </c>
      <c r="E528" t="s">
        <v>154</v>
      </c>
      <c r="F528" t="s">
        <v>155</v>
      </c>
      <c r="G528" t="s">
        <v>105</v>
      </c>
      <c r="H528" t="s">
        <v>105</v>
      </c>
      <c r="I528" t="s">
        <v>109</v>
      </c>
      <c r="J528" t="s">
        <v>600</v>
      </c>
      <c r="K528" t="s">
        <v>157</v>
      </c>
      <c r="L528" s="19">
        <v>44124</v>
      </c>
      <c r="M528" s="19">
        <v>44181</v>
      </c>
      <c r="N528" s="27" t="s">
        <v>557</v>
      </c>
    </row>
    <row r="529" spans="1:14" x14ac:dyDescent="0.25">
      <c r="A529" s="38" t="str">
        <f>HYPERLINK("http://reports.ofsted.gov.uk/inspection-reports/find-inspection-report/provider/CARE/SC370956","Ofsted Social Care Provider Webpage")</f>
        <v>Ofsted Social Care Provider Webpage</v>
      </c>
      <c r="B529" s="3" t="s">
        <v>618</v>
      </c>
      <c r="C529" t="s">
        <v>34</v>
      </c>
      <c r="D529" s="19">
        <v>39493</v>
      </c>
      <c r="E529" t="s">
        <v>154</v>
      </c>
      <c r="F529" t="s">
        <v>155</v>
      </c>
      <c r="G529" t="s">
        <v>39</v>
      </c>
      <c r="H529" t="s">
        <v>39</v>
      </c>
      <c r="I529" t="s">
        <v>43</v>
      </c>
      <c r="J529" t="s">
        <v>300</v>
      </c>
      <c r="K529" t="s">
        <v>157</v>
      </c>
      <c r="L529" s="19">
        <v>44124</v>
      </c>
      <c r="M529" s="19">
        <v>44147</v>
      </c>
      <c r="N529" s="27" t="s">
        <v>557</v>
      </c>
    </row>
    <row r="530" spans="1:14" x14ac:dyDescent="0.25">
      <c r="A530" s="38" t="str">
        <f>HYPERLINK("http://reports.ofsted.gov.uk/inspection-reports/find-inspection-report/provider/CARE/2509731","Ofsted Social Care Provider Webpage")</f>
        <v>Ofsted Social Care Provider Webpage</v>
      </c>
      <c r="B530" s="3">
        <v>2509731</v>
      </c>
      <c r="C530" t="s">
        <v>34</v>
      </c>
      <c r="D530" s="19">
        <v>43563</v>
      </c>
      <c r="E530" t="s">
        <v>154</v>
      </c>
      <c r="F530" t="s">
        <v>155</v>
      </c>
      <c r="G530" t="s">
        <v>128</v>
      </c>
      <c r="H530" t="s">
        <v>128</v>
      </c>
      <c r="I530" t="s">
        <v>134</v>
      </c>
      <c r="J530" t="s">
        <v>1083</v>
      </c>
      <c r="K530" t="s">
        <v>157</v>
      </c>
      <c r="L530" s="19">
        <v>44124</v>
      </c>
      <c r="M530" s="19">
        <v>44159</v>
      </c>
      <c r="N530" s="27" t="s">
        <v>557</v>
      </c>
    </row>
    <row r="531" spans="1:14" x14ac:dyDescent="0.25">
      <c r="A531" s="38" t="str">
        <f>HYPERLINK("http://reports.ofsted.gov.uk/inspection-reports/find-inspection-report/provider/CARE/SC063653","Ofsted Social Care Provider Webpage")</f>
        <v>Ofsted Social Care Provider Webpage</v>
      </c>
      <c r="B531" s="3" t="s">
        <v>1084</v>
      </c>
      <c r="C531" t="s">
        <v>34</v>
      </c>
      <c r="D531" s="19">
        <v>38481</v>
      </c>
      <c r="E531" t="s">
        <v>154</v>
      </c>
      <c r="F531" t="s">
        <v>155</v>
      </c>
      <c r="G531" t="s">
        <v>128</v>
      </c>
      <c r="H531" t="s">
        <v>128</v>
      </c>
      <c r="I531" t="s">
        <v>134</v>
      </c>
      <c r="J531" t="s">
        <v>323</v>
      </c>
      <c r="K531" t="s">
        <v>157</v>
      </c>
      <c r="L531" s="19">
        <v>44124</v>
      </c>
      <c r="M531" s="19">
        <v>44158</v>
      </c>
      <c r="N531" s="27" t="s">
        <v>557</v>
      </c>
    </row>
    <row r="532" spans="1:14" x14ac:dyDescent="0.25">
      <c r="A532" s="38" t="str">
        <f>HYPERLINK("http://reports.ofsted.gov.uk/inspection-reports/find-inspection-report/provider/CARE/2537252","Ofsted Social Care Provider Webpage")</f>
        <v>Ofsted Social Care Provider Webpage</v>
      </c>
      <c r="B532" s="3">
        <v>2537252</v>
      </c>
      <c r="C532" t="s">
        <v>34</v>
      </c>
      <c r="D532" s="19">
        <v>43628</v>
      </c>
      <c r="E532" t="s">
        <v>154</v>
      </c>
      <c r="F532" t="s">
        <v>155</v>
      </c>
      <c r="G532" t="s">
        <v>39</v>
      </c>
      <c r="H532" t="s">
        <v>39</v>
      </c>
      <c r="I532" t="s">
        <v>46</v>
      </c>
      <c r="J532" t="s">
        <v>501</v>
      </c>
      <c r="K532" t="s">
        <v>157</v>
      </c>
      <c r="L532" s="19">
        <v>44124</v>
      </c>
      <c r="M532" s="19">
        <v>44154</v>
      </c>
      <c r="N532" s="27" t="s">
        <v>557</v>
      </c>
    </row>
    <row r="533" spans="1:14" x14ac:dyDescent="0.25">
      <c r="A533" s="38" t="str">
        <f>HYPERLINK("http://reports.ofsted.gov.uk/inspection-reports/find-inspection-report/provider/CARE/2572248","Ofsted Social Care Provider Webpage")</f>
        <v>Ofsted Social Care Provider Webpage</v>
      </c>
      <c r="B533" s="3">
        <v>2572248</v>
      </c>
      <c r="C533" t="s">
        <v>34</v>
      </c>
      <c r="D533" s="19">
        <v>43871</v>
      </c>
      <c r="E533" t="s">
        <v>215</v>
      </c>
      <c r="F533" t="s">
        <v>155</v>
      </c>
      <c r="G533" t="s">
        <v>39</v>
      </c>
      <c r="H533" t="s">
        <v>39</v>
      </c>
      <c r="I533" t="s">
        <v>44</v>
      </c>
      <c r="J533" t="s">
        <v>1085</v>
      </c>
      <c r="K533" t="s">
        <v>172</v>
      </c>
      <c r="L533" s="19">
        <v>44124</v>
      </c>
      <c r="M533" s="19">
        <v>44152</v>
      </c>
      <c r="N533" s="27" t="s">
        <v>557</v>
      </c>
    </row>
    <row r="534" spans="1:14" x14ac:dyDescent="0.25">
      <c r="A534" s="38" t="str">
        <f>HYPERLINK("http://reports.ofsted.gov.uk/inspection-reports/find-inspection-report/provider/CARE/SC063689","Ofsted Social Care Provider Webpage")</f>
        <v>Ofsted Social Care Provider Webpage</v>
      </c>
      <c r="B534" s="3" t="s">
        <v>1086</v>
      </c>
      <c r="C534" t="s">
        <v>34</v>
      </c>
      <c r="D534" s="19">
        <v>38624</v>
      </c>
      <c r="E534" t="s">
        <v>154</v>
      </c>
      <c r="F534" t="s">
        <v>155</v>
      </c>
      <c r="G534" t="s">
        <v>105</v>
      </c>
      <c r="H534" t="s">
        <v>105</v>
      </c>
      <c r="I534" t="s">
        <v>109</v>
      </c>
      <c r="J534" t="s">
        <v>1087</v>
      </c>
      <c r="K534" t="s">
        <v>157</v>
      </c>
      <c r="L534" s="19">
        <v>44124</v>
      </c>
      <c r="M534" s="19">
        <v>44169</v>
      </c>
      <c r="N534" s="27" t="s">
        <v>557</v>
      </c>
    </row>
    <row r="535" spans="1:14" x14ac:dyDescent="0.25">
      <c r="A535" s="38" t="str">
        <f>HYPERLINK("http://reports.ofsted.gov.uk/inspection-reports/find-inspection-report/provider/CARE/2591911","Ofsted Social Care Provider Webpage")</f>
        <v>Ofsted Social Care Provider Webpage</v>
      </c>
      <c r="B535" s="3">
        <v>2591911</v>
      </c>
      <c r="C535" t="s">
        <v>34</v>
      </c>
      <c r="D535" s="19">
        <v>43998</v>
      </c>
      <c r="E535" t="s">
        <v>154</v>
      </c>
      <c r="F535" t="s">
        <v>155</v>
      </c>
      <c r="G535" t="s">
        <v>39</v>
      </c>
      <c r="H535" t="s">
        <v>39</v>
      </c>
      <c r="I535" t="s">
        <v>40</v>
      </c>
      <c r="J535" t="s">
        <v>402</v>
      </c>
      <c r="K535" t="s">
        <v>157</v>
      </c>
      <c r="L535" s="19">
        <v>44124</v>
      </c>
      <c r="M535" s="19">
        <v>44194</v>
      </c>
      <c r="N535" s="27" t="s">
        <v>559</v>
      </c>
    </row>
    <row r="536" spans="1:14" x14ac:dyDescent="0.25">
      <c r="A536" s="38" t="str">
        <f>HYPERLINK("http://reports.ofsted.gov.uk/inspection-reports/find-inspection-report/provider/CARE/2559317","Ofsted Social Care Provider Webpage")</f>
        <v>Ofsted Social Care Provider Webpage</v>
      </c>
      <c r="B536" s="3">
        <v>2559317</v>
      </c>
      <c r="C536" t="s">
        <v>34</v>
      </c>
      <c r="D536" s="19">
        <v>43962</v>
      </c>
      <c r="E536" t="s">
        <v>154</v>
      </c>
      <c r="F536" t="s">
        <v>155</v>
      </c>
      <c r="G536" t="s">
        <v>87</v>
      </c>
      <c r="H536" t="s">
        <v>87</v>
      </c>
      <c r="I536" t="s">
        <v>570</v>
      </c>
      <c r="J536" t="s">
        <v>571</v>
      </c>
      <c r="K536" t="s">
        <v>157</v>
      </c>
      <c r="L536" s="19">
        <v>44124</v>
      </c>
      <c r="M536" s="19">
        <v>44160</v>
      </c>
      <c r="N536" s="27" t="s">
        <v>557</v>
      </c>
    </row>
    <row r="537" spans="1:14" x14ac:dyDescent="0.25">
      <c r="A537" s="38" t="str">
        <f>HYPERLINK("http://reports.ofsted.gov.uk/inspection-reports/find-inspection-report/provider/CARE/2526875","Ofsted Social Care Provider Webpage")</f>
        <v>Ofsted Social Care Provider Webpage</v>
      </c>
      <c r="B537" s="3">
        <v>2526875</v>
      </c>
      <c r="C537" t="s">
        <v>34</v>
      </c>
      <c r="D537" s="19">
        <v>43707</v>
      </c>
      <c r="E537" t="s">
        <v>154</v>
      </c>
      <c r="F537" t="s">
        <v>155</v>
      </c>
      <c r="G537" t="s">
        <v>128</v>
      </c>
      <c r="H537" t="s">
        <v>128</v>
      </c>
      <c r="I537" t="s">
        <v>134</v>
      </c>
      <c r="J537" t="s">
        <v>378</v>
      </c>
      <c r="K537" t="s">
        <v>157</v>
      </c>
      <c r="L537" s="19">
        <v>44124</v>
      </c>
      <c r="M537" s="19">
        <v>44153</v>
      </c>
      <c r="N537" s="27" t="s">
        <v>557</v>
      </c>
    </row>
    <row r="538" spans="1:14" x14ac:dyDescent="0.25">
      <c r="A538" s="38" t="str">
        <f>HYPERLINK("http://reports.ofsted.gov.uk/inspection-reports/find-inspection-report/provider/CARE/1232200","Ofsted Social Care Provider Webpage")</f>
        <v>Ofsted Social Care Provider Webpage</v>
      </c>
      <c r="B538" s="3">
        <v>1232200</v>
      </c>
      <c r="C538" t="s">
        <v>34</v>
      </c>
      <c r="D538" s="19">
        <v>42529</v>
      </c>
      <c r="E538" t="s">
        <v>154</v>
      </c>
      <c r="F538" t="s">
        <v>155</v>
      </c>
      <c r="G538" t="s">
        <v>39</v>
      </c>
      <c r="H538" t="s">
        <v>39</v>
      </c>
      <c r="I538" t="s">
        <v>44</v>
      </c>
      <c r="J538" t="s">
        <v>1085</v>
      </c>
      <c r="K538" t="s">
        <v>157</v>
      </c>
      <c r="L538" s="19">
        <v>44124</v>
      </c>
      <c r="M538" s="19">
        <v>44153</v>
      </c>
      <c r="N538" s="27" t="s">
        <v>557</v>
      </c>
    </row>
    <row r="539" spans="1:14" x14ac:dyDescent="0.25">
      <c r="A539" s="38" t="str">
        <f>HYPERLINK("http://reports.ofsted.gov.uk/inspection-reports/find-inspection-report/provider/CARE/1254740","Ofsted Social Care Provider Webpage")</f>
        <v>Ofsted Social Care Provider Webpage</v>
      </c>
      <c r="B539" s="3">
        <v>1254740</v>
      </c>
      <c r="C539" t="s">
        <v>34</v>
      </c>
      <c r="D539" s="19">
        <v>42832</v>
      </c>
      <c r="E539" t="s">
        <v>154</v>
      </c>
      <c r="F539" t="s">
        <v>155</v>
      </c>
      <c r="G539" t="s">
        <v>114</v>
      </c>
      <c r="H539" t="s">
        <v>114</v>
      </c>
      <c r="I539" t="s">
        <v>122</v>
      </c>
      <c r="J539" t="s">
        <v>1088</v>
      </c>
      <c r="K539" t="s">
        <v>157</v>
      </c>
      <c r="L539" s="19">
        <v>44124</v>
      </c>
      <c r="M539" s="19">
        <v>44158</v>
      </c>
      <c r="N539" s="27" t="s">
        <v>557</v>
      </c>
    </row>
    <row r="540" spans="1:14" x14ac:dyDescent="0.25">
      <c r="A540" s="38" t="str">
        <f>HYPERLINK("http://reports.ofsted.gov.uk/inspection-reports/find-inspection-report/provider/CARE/SC429918","Ofsted Social Care Provider Webpage")</f>
        <v>Ofsted Social Care Provider Webpage</v>
      </c>
      <c r="B540" s="3" t="s">
        <v>1089</v>
      </c>
      <c r="C540" t="s">
        <v>34</v>
      </c>
      <c r="D540" s="19">
        <v>40746</v>
      </c>
      <c r="E540" t="s">
        <v>154</v>
      </c>
      <c r="F540" t="s">
        <v>155</v>
      </c>
      <c r="G540" t="s">
        <v>128</v>
      </c>
      <c r="H540" t="s">
        <v>128</v>
      </c>
      <c r="I540" t="s">
        <v>138</v>
      </c>
      <c r="J540" t="s">
        <v>332</v>
      </c>
      <c r="K540" t="s">
        <v>157</v>
      </c>
      <c r="L540" s="19">
        <v>44124</v>
      </c>
      <c r="M540" s="19">
        <v>44154</v>
      </c>
      <c r="N540" s="27" t="s">
        <v>557</v>
      </c>
    </row>
    <row r="541" spans="1:14" x14ac:dyDescent="0.25">
      <c r="A541" s="38" t="str">
        <f>HYPERLINK("http://reports.ofsted.gov.uk/inspection-reports/find-inspection-report/provider/CARE/SC034211","Ofsted Social Care Provider Webpage")</f>
        <v>Ofsted Social Care Provider Webpage</v>
      </c>
      <c r="B541" s="3" t="s">
        <v>1090</v>
      </c>
      <c r="C541" t="s">
        <v>34</v>
      </c>
      <c r="D541" s="19">
        <v>37728</v>
      </c>
      <c r="E541" t="s">
        <v>154</v>
      </c>
      <c r="F541" t="s">
        <v>155</v>
      </c>
      <c r="G541" t="s">
        <v>114</v>
      </c>
      <c r="H541" t="s">
        <v>114</v>
      </c>
      <c r="I541" t="s">
        <v>116</v>
      </c>
      <c r="J541" t="s">
        <v>457</v>
      </c>
      <c r="K541" t="s">
        <v>172</v>
      </c>
      <c r="L541" s="19">
        <v>44124</v>
      </c>
      <c r="M541" s="19">
        <v>44158</v>
      </c>
      <c r="N541" s="27" t="s">
        <v>557</v>
      </c>
    </row>
    <row r="542" spans="1:14" x14ac:dyDescent="0.25">
      <c r="A542" s="38" t="str">
        <f>HYPERLINK("http://reports.ofsted.gov.uk/inspection-reports/find-inspection-report/provider/CARE/2517433","Ofsted Social Care Provider Webpage")</f>
        <v>Ofsted Social Care Provider Webpage</v>
      </c>
      <c r="B542" s="3">
        <v>2517433</v>
      </c>
      <c r="C542" t="s">
        <v>34</v>
      </c>
      <c r="D542" s="19">
        <v>43679</v>
      </c>
      <c r="E542" t="s">
        <v>154</v>
      </c>
      <c r="F542" t="s">
        <v>155</v>
      </c>
      <c r="G542" t="s">
        <v>39</v>
      </c>
      <c r="H542" t="s">
        <v>39</v>
      </c>
      <c r="I542" t="s">
        <v>41</v>
      </c>
      <c r="J542" t="s">
        <v>484</v>
      </c>
      <c r="K542" t="s">
        <v>157</v>
      </c>
      <c r="L542" s="19">
        <v>44124</v>
      </c>
      <c r="M542" s="19">
        <v>44158</v>
      </c>
      <c r="N542" s="27" t="s">
        <v>557</v>
      </c>
    </row>
    <row r="543" spans="1:14" x14ac:dyDescent="0.25">
      <c r="A543" s="38" t="str">
        <f>HYPERLINK("http://reports.ofsted.gov.uk/inspection-reports/find-inspection-report/provider/CARE/SC466284","Ofsted Social Care Provider Webpage")</f>
        <v>Ofsted Social Care Provider Webpage</v>
      </c>
      <c r="B543" s="3" t="s">
        <v>1091</v>
      </c>
      <c r="C543" t="s">
        <v>34</v>
      </c>
      <c r="D543" s="19">
        <v>41613</v>
      </c>
      <c r="E543" t="s">
        <v>154</v>
      </c>
      <c r="F543" t="s">
        <v>155</v>
      </c>
      <c r="G543" t="s">
        <v>39</v>
      </c>
      <c r="H543" t="s">
        <v>39</v>
      </c>
      <c r="I543" t="s">
        <v>46</v>
      </c>
      <c r="J543" t="s">
        <v>501</v>
      </c>
      <c r="K543" t="s">
        <v>168</v>
      </c>
      <c r="L543" s="19">
        <v>44124</v>
      </c>
      <c r="M543" s="19">
        <v>44152</v>
      </c>
      <c r="N543" s="27" t="s">
        <v>557</v>
      </c>
    </row>
    <row r="544" spans="1:14" x14ac:dyDescent="0.25">
      <c r="A544" s="38" t="str">
        <f>HYPERLINK("http://reports.ofsted.gov.uk/inspection-reports/find-inspection-report/provider/CARE/SC458746","Ofsted Social Care Provider Webpage")</f>
        <v>Ofsted Social Care Provider Webpage</v>
      </c>
      <c r="B544" s="3" t="s">
        <v>1092</v>
      </c>
      <c r="C544" t="s">
        <v>34</v>
      </c>
      <c r="D544" s="19">
        <v>41297</v>
      </c>
      <c r="E544" t="s">
        <v>154</v>
      </c>
      <c r="F544" t="s">
        <v>155</v>
      </c>
      <c r="G544" t="s">
        <v>128</v>
      </c>
      <c r="H544" t="s">
        <v>128</v>
      </c>
      <c r="I544" t="s">
        <v>137</v>
      </c>
      <c r="J544" t="s">
        <v>968</v>
      </c>
      <c r="K544" t="s">
        <v>157</v>
      </c>
      <c r="L544" s="19">
        <v>44124</v>
      </c>
      <c r="M544" s="19">
        <v>44155</v>
      </c>
      <c r="N544" s="27" t="s">
        <v>559</v>
      </c>
    </row>
    <row r="545" spans="1:14" x14ac:dyDescent="0.25">
      <c r="A545" s="38" t="str">
        <f>HYPERLINK("http://reports.ofsted.gov.uk/inspection-reports/find-inspection-report/provider/CARE/SC033370","Ofsted Social Care Provider Webpage")</f>
        <v>Ofsted Social Care Provider Webpage</v>
      </c>
      <c r="B545" s="3" t="s">
        <v>1093</v>
      </c>
      <c r="C545" t="s">
        <v>34</v>
      </c>
      <c r="D545" s="19">
        <v>37819</v>
      </c>
      <c r="E545" t="s">
        <v>154</v>
      </c>
      <c r="F545" t="s">
        <v>155</v>
      </c>
      <c r="G545" t="s">
        <v>64</v>
      </c>
      <c r="H545" t="s">
        <v>164</v>
      </c>
      <c r="I545" t="s">
        <v>74</v>
      </c>
      <c r="J545" t="s">
        <v>192</v>
      </c>
      <c r="K545" t="s">
        <v>172</v>
      </c>
      <c r="L545" s="19">
        <v>44124</v>
      </c>
      <c r="M545" s="19">
        <v>44161</v>
      </c>
      <c r="N545" s="27" t="s">
        <v>557</v>
      </c>
    </row>
    <row r="546" spans="1:14" x14ac:dyDescent="0.25">
      <c r="A546" s="38" t="str">
        <f>HYPERLINK("http://reports.ofsted.gov.uk/inspection-reports/find-inspection-report/provider/CARE/SC413678","Ofsted Social Care Provider Webpage")</f>
        <v>Ofsted Social Care Provider Webpage</v>
      </c>
      <c r="B546" s="3" t="s">
        <v>1094</v>
      </c>
      <c r="C546" t="s">
        <v>34</v>
      </c>
      <c r="D546" s="19">
        <v>40736</v>
      </c>
      <c r="E546" t="s">
        <v>154</v>
      </c>
      <c r="F546" t="s">
        <v>155</v>
      </c>
      <c r="G546" t="s">
        <v>64</v>
      </c>
      <c r="H546" t="s">
        <v>164</v>
      </c>
      <c r="I546" t="s">
        <v>72</v>
      </c>
      <c r="J546" t="s">
        <v>1095</v>
      </c>
      <c r="K546" t="s">
        <v>157</v>
      </c>
      <c r="L546" s="19">
        <v>44124</v>
      </c>
      <c r="M546" s="19">
        <v>44161</v>
      </c>
      <c r="N546" s="27" t="s">
        <v>557</v>
      </c>
    </row>
    <row r="547" spans="1:14" x14ac:dyDescent="0.25">
      <c r="A547" s="38" t="str">
        <f>HYPERLINK("http://reports.ofsted.gov.uk/inspection-reports/find-inspection-report/provider/CARE/2589537","Ofsted Social Care Provider Webpage")</f>
        <v>Ofsted Social Care Provider Webpage</v>
      </c>
      <c r="B547" s="3">
        <v>2589537</v>
      </c>
      <c r="C547" t="s">
        <v>34</v>
      </c>
      <c r="D547" s="19">
        <v>43984</v>
      </c>
      <c r="E547" t="s">
        <v>154</v>
      </c>
      <c r="F547" t="s">
        <v>155</v>
      </c>
      <c r="G547" t="s">
        <v>64</v>
      </c>
      <c r="H547" t="s">
        <v>164</v>
      </c>
      <c r="I547" t="s">
        <v>69</v>
      </c>
      <c r="J547" t="s">
        <v>446</v>
      </c>
      <c r="K547" t="s">
        <v>157</v>
      </c>
      <c r="L547" s="19">
        <v>44124</v>
      </c>
      <c r="M547" s="19">
        <v>44153</v>
      </c>
      <c r="N547" s="27" t="s">
        <v>557</v>
      </c>
    </row>
    <row r="548" spans="1:14" x14ac:dyDescent="0.25">
      <c r="A548" s="38" t="str">
        <f>HYPERLINK("http://reports.ofsted.gov.uk/inspection-reports/find-inspection-report/provider/CARE/2591431","Ofsted Social Care Provider Webpage")</f>
        <v>Ofsted Social Care Provider Webpage</v>
      </c>
      <c r="B548" s="3">
        <v>2591431</v>
      </c>
      <c r="C548" t="s">
        <v>34</v>
      </c>
      <c r="D548" s="19">
        <v>44032</v>
      </c>
      <c r="E548" t="s">
        <v>154</v>
      </c>
      <c r="F548" t="s">
        <v>155</v>
      </c>
      <c r="G548" t="s">
        <v>48</v>
      </c>
      <c r="H548" t="s">
        <v>48</v>
      </c>
      <c r="I548" t="s">
        <v>51</v>
      </c>
      <c r="J548" t="s">
        <v>897</v>
      </c>
      <c r="K548" t="s">
        <v>157</v>
      </c>
      <c r="L548" s="19">
        <v>44124</v>
      </c>
      <c r="M548" s="19">
        <v>44151</v>
      </c>
      <c r="N548" s="27" t="s">
        <v>557</v>
      </c>
    </row>
    <row r="549" spans="1:14" x14ac:dyDescent="0.25">
      <c r="A549" s="38" t="str">
        <f>HYPERLINK("http://reports.ofsted.gov.uk/inspection-reports/find-inspection-report/provider/CARE/1272220","Ofsted Social Care Provider Webpage")</f>
        <v>Ofsted Social Care Provider Webpage</v>
      </c>
      <c r="B549" s="3">
        <v>1272220</v>
      </c>
      <c r="C549" t="s">
        <v>34</v>
      </c>
      <c r="D549" s="19">
        <v>43229</v>
      </c>
      <c r="E549" t="s">
        <v>154</v>
      </c>
      <c r="F549" t="s">
        <v>155</v>
      </c>
      <c r="G549" t="s">
        <v>64</v>
      </c>
      <c r="H549" t="s">
        <v>213</v>
      </c>
      <c r="I549" t="s">
        <v>81</v>
      </c>
      <c r="J549" t="s">
        <v>1096</v>
      </c>
      <c r="K549" t="s">
        <v>157</v>
      </c>
      <c r="L549" s="19">
        <v>44124</v>
      </c>
      <c r="M549" s="19">
        <v>44155</v>
      </c>
      <c r="N549" s="27" t="s">
        <v>557</v>
      </c>
    </row>
    <row r="550" spans="1:14" x14ac:dyDescent="0.25">
      <c r="A550" s="38" t="str">
        <f>HYPERLINK("http://reports.ofsted.gov.uk/inspection-reports/find-inspection-report/provider/CARE/SC461275","Ofsted Social Care Provider Webpage")</f>
        <v>Ofsted Social Care Provider Webpage</v>
      </c>
      <c r="B550" s="3" t="s">
        <v>1097</v>
      </c>
      <c r="C550" t="s">
        <v>34</v>
      </c>
      <c r="D550" s="19">
        <v>41383</v>
      </c>
      <c r="E550" t="s">
        <v>154</v>
      </c>
      <c r="F550" t="s">
        <v>155</v>
      </c>
      <c r="G550" t="s">
        <v>128</v>
      </c>
      <c r="H550" t="s">
        <v>128</v>
      </c>
      <c r="I550" t="s">
        <v>134</v>
      </c>
      <c r="J550" t="s">
        <v>632</v>
      </c>
      <c r="K550" t="s">
        <v>157</v>
      </c>
      <c r="L550" s="19">
        <v>44124</v>
      </c>
      <c r="M550" s="19">
        <v>44151</v>
      </c>
      <c r="N550" s="27" t="s">
        <v>557</v>
      </c>
    </row>
    <row r="551" spans="1:14" x14ac:dyDescent="0.25">
      <c r="A551" s="38" t="str">
        <f>HYPERLINK("http://reports.ofsted.gov.uk/inspection-reports/find-inspection-report/provider/CARE/1267324","Ofsted Social Care Provider Webpage")</f>
        <v>Ofsted Social Care Provider Webpage</v>
      </c>
      <c r="B551" s="3">
        <v>1267324</v>
      </c>
      <c r="C551" t="s">
        <v>581</v>
      </c>
      <c r="D551" s="19">
        <v>43166</v>
      </c>
      <c r="E551" t="s">
        <v>154</v>
      </c>
      <c r="F551" t="s">
        <v>1098</v>
      </c>
      <c r="G551" t="s">
        <v>128</v>
      </c>
      <c r="H551" t="s">
        <v>128</v>
      </c>
      <c r="I551" t="s">
        <v>132</v>
      </c>
      <c r="J551" t="s">
        <v>1099</v>
      </c>
      <c r="K551" t="s">
        <v>168</v>
      </c>
      <c r="L551" s="19">
        <v>44124</v>
      </c>
      <c r="M551" s="19">
        <v>44176</v>
      </c>
      <c r="N551" s="27" t="s">
        <v>557</v>
      </c>
    </row>
    <row r="552" spans="1:14" x14ac:dyDescent="0.25">
      <c r="A552" s="38" t="str">
        <f>HYPERLINK("http://reports.ofsted.gov.uk/inspection-reports/find-inspection-report/provider/CARE/2483823","Ofsted Social Care Provider Webpage")</f>
        <v>Ofsted Social Care Provider Webpage</v>
      </c>
      <c r="B552" s="3">
        <v>2483823</v>
      </c>
      <c r="C552" t="s">
        <v>34</v>
      </c>
      <c r="D552" s="19">
        <v>43402</v>
      </c>
      <c r="E552" t="s">
        <v>154</v>
      </c>
      <c r="F552" t="s">
        <v>155</v>
      </c>
      <c r="G552" t="s">
        <v>39</v>
      </c>
      <c r="H552" t="s">
        <v>39</v>
      </c>
      <c r="I552" t="s">
        <v>42</v>
      </c>
      <c r="J552" t="s">
        <v>177</v>
      </c>
      <c r="K552" t="s">
        <v>157</v>
      </c>
      <c r="L552" s="19">
        <v>44124</v>
      </c>
      <c r="M552" s="19">
        <v>44153</v>
      </c>
      <c r="N552" s="27" t="s">
        <v>557</v>
      </c>
    </row>
    <row r="553" spans="1:14" x14ac:dyDescent="0.25">
      <c r="A553" s="38" t="str">
        <f>HYPERLINK("http://reports.ofsted.gov.uk/inspection-reports/find-inspection-report/provider/CARE/1244117","Ofsted Social Care Provider Webpage")</f>
        <v>Ofsted Social Care Provider Webpage</v>
      </c>
      <c r="B553" s="3">
        <v>1244117</v>
      </c>
      <c r="C553" t="s">
        <v>34</v>
      </c>
      <c r="D553" s="19">
        <v>42705</v>
      </c>
      <c r="E553" t="s">
        <v>154</v>
      </c>
      <c r="F553" t="s">
        <v>155</v>
      </c>
      <c r="G553" t="s">
        <v>39</v>
      </c>
      <c r="H553" t="s">
        <v>39</v>
      </c>
      <c r="I553" t="s">
        <v>46</v>
      </c>
      <c r="J553" t="s">
        <v>190</v>
      </c>
      <c r="K553" t="s">
        <v>168</v>
      </c>
      <c r="L553" s="19">
        <v>44124</v>
      </c>
      <c r="M553" s="19">
        <v>44153</v>
      </c>
      <c r="N553" s="27" t="s">
        <v>557</v>
      </c>
    </row>
    <row r="554" spans="1:14" x14ac:dyDescent="0.25">
      <c r="A554" s="38" t="str">
        <f>HYPERLINK("http://reports.ofsted.gov.uk/inspection-reports/find-inspection-report/provider/CARE/1258095","Ofsted Social Care Provider Webpage")</f>
        <v>Ofsted Social Care Provider Webpage</v>
      </c>
      <c r="B554" s="3">
        <v>1258095</v>
      </c>
      <c r="C554" t="s">
        <v>34</v>
      </c>
      <c r="D554" s="19">
        <v>42950</v>
      </c>
      <c r="E554" t="s">
        <v>154</v>
      </c>
      <c r="F554" t="s">
        <v>155</v>
      </c>
      <c r="G554" t="s">
        <v>128</v>
      </c>
      <c r="H554" t="s">
        <v>128</v>
      </c>
      <c r="I554" t="s">
        <v>134</v>
      </c>
      <c r="J554" t="s">
        <v>228</v>
      </c>
      <c r="K554" t="s">
        <v>157</v>
      </c>
      <c r="L554" s="19">
        <v>44125</v>
      </c>
      <c r="M554" s="19">
        <v>44159</v>
      </c>
      <c r="N554" s="27" t="s">
        <v>557</v>
      </c>
    </row>
    <row r="555" spans="1:14" x14ac:dyDescent="0.25">
      <c r="A555" s="38" t="str">
        <f>HYPERLINK("http://reports.ofsted.gov.uk/inspection-reports/find-inspection-report/provider/CARE/1263129","Ofsted Social Care Provider Webpage")</f>
        <v>Ofsted Social Care Provider Webpage</v>
      </c>
      <c r="B555" s="3">
        <v>1263129</v>
      </c>
      <c r="C555" t="s">
        <v>34</v>
      </c>
      <c r="D555" s="19">
        <v>43045</v>
      </c>
      <c r="E555" t="s">
        <v>154</v>
      </c>
      <c r="F555" t="s">
        <v>155</v>
      </c>
      <c r="G555" t="s">
        <v>105</v>
      </c>
      <c r="H555" t="s">
        <v>105</v>
      </c>
      <c r="I555" t="s">
        <v>107</v>
      </c>
      <c r="J555" t="s">
        <v>337</v>
      </c>
      <c r="K555" t="s">
        <v>157</v>
      </c>
      <c r="L555" s="19">
        <v>44125</v>
      </c>
      <c r="M555" s="19">
        <v>44172</v>
      </c>
      <c r="N555" s="27" t="s">
        <v>557</v>
      </c>
    </row>
    <row r="556" spans="1:14" x14ac:dyDescent="0.25">
      <c r="A556" s="38" t="str">
        <f>HYPERLINK("http://reports.ofsted.gov.uk/inspection-reports/find-inspection-report/provider/CARE/2548333","Ofsted Social Care Provider Webpage")</f>
        <v>Ofsted Social Care Provider Webpage</v>
      </c>
      <c r="B556" s="3">
        <v>2548333</v>
      </c>
      <c r="C556" t="s">
        <v>34</v>
      </c>
      <c r="D556" s="19">
        <v>43854</v>
      </c>
      <c r="E556" t="s">
        <v>154</v>
      </c>
      <c r="F556" t="s">
        <v>155</v>
      </c>
      <c r="G556" t="s">
        <v>128</v>
      </c>
      <c r="H556" t="s">
        <v>128</v>
      </c>
      <c r="I556" t="s">
        <v>129</v>
      </c>
      <c r="J556" t="s">
        <v>410</v>
      </c>
      <c r="K556" t="s">
        <v>157</v>
      </c>
      <c r="L556" s="19">
        <v>44125</v>
      </c>
      <c r="M556" s="19">
        <v>44162</v>
      </c>
      <c r="N556" s="27" t="s">
        <v>559</v>
      </c>
    </row>
    <row r="557" spans="1:14" x14ac:dyDescent="0.25">
      <c r="A557" s="38" t="str">
        <f>HYPERLINK("http://reports.ofsted.gov.uk/inspection-reports/find-inspection-report/provider/CARE/1271380","Ofsted Social Care Provider Webpage")</f>
        <v>Ofsted Social Care Provider Webpage</v>
      </c>
      <c r="B557" s="3">
        <v>1271380</v>
      </c>
      <c r="C557" t="s">
        <v>34</v>
      </c>
      <c r="D557" s="19">
        <v>43306</v>
      </c>
      <c r="E557" t="s">
        <v>154</v>
      </c>
      <c r="F557" t="s">
        <v>155</v>
      </c>
      <c r="G557" t="s">
        <v>105</v>
      </c>
      <c r="H557" t="s">
        <v>105</v>
      </c>
      <c r="I557" t="s">
        <v>106</v>
      </c>
      <c r="J557" t="s">
        <v>239</v>
      </c>
      <c r="K557" t="s">
        <v>157</v>
      </c>
      <c r="L557" s="19">
        <v>44125</v>
      </c>
      <c r="M557" s="19">
        <v>44176</v>
      </c>
      <c r="N557" s="27" t="s">
        <v>557</v>
      </c>
    </row>
    <row r="558" spans="1:14" x14ac:dyDescent="0.25">
      <c r="A558" s="38" t="str">
        <f>HYPERLINK("http://reports.ofsted.gov.uk/inspection-reports/find-inspection-report/provider/CARE/SC487764","Ofsted Social Care Provider Webpage")</f>
        <v>Ofsted Social Care Provider Webpage</v>
      </c>
      <c r="B558" s="3" t="s">
        <v>1105</v>
      </c>
      <c r="C558" t="s">
        <v>34</v>
      </c>
      <c r="D558" s="19">
        <v>42270</v>
      </c>
      <c r="E558" t="s">
        <v>154</v>
      </c>
      <c r="F558" t="s">
        <v>155</v>
      </c>
      <c r="G558" t="s">
        <v>128</v>
      </c>
      <c r="H558" t="s">
        <v>128</v>
      </c>
      <c r="I558" t="s">
        <v>134</v>
      </c>
      <c r="J558" t="s">
        <v>1083</v>
      </c>
      <c r="K558" t="s">
        <v>157</v>
      </c>
      <c r="L558" s="19">
        <v>44125</v>
      </c>
      <c r="M558" s="19">
        <v>44168</v>
      </c>
      <c r="N558" s="27" t="s">
        <v>557</v>
      </c>
    </row>
    <row r="559" spans="1:14" x14ac:dyDescent="0.25">
      <c r="A559" s="38" t="str">
        <f>HYPERLINK("http://reports.ofsted.gov.uk/inspection-reports/find-inspection-report/provider/CARE/2547560","Ofsted Social Care Provider Webpage")</f>
        <v>Ofsted Social Care Provider Webpage</v>
      </c>
      <c r="B559" s="3">
        <v>2547560</v>
      </c>
      <c r="C559" t="s">
        <v>34</v>
      </c>
      <c r="D559" s="19">
        <v>43768</v>
      </c>
      <c r="E559" t="s">
        <v>154</v>
      </c>
      <c r="F559" t="s">
        <v>155</v>
      </c>
      <c r="G559" t="s">
        <v>57</v>
      </c>
      <c r="H559" t="s">
        <v>57</v>
      </c>
      <c r="I559" t="s">
        <v>683</v>
      </c>
      <c r="J559" t="s">
        <v>1106</v>
      </c>
      <c r="K559" t="s">
        <v>157</v>
      </c>
      <c r="L559" s="19">
        <v>44125</v>
      </c>
      <c r="M559" s="19">
        <v>44194</v>
      </c>
      <c r="N559" s="27" t="s">
        <v>557</v>
      </c>
    </row>
    <row r="560" spans="1:14" x14ac:dyDescent="0.25">
      <c r="A560" s="38" t="str">
        <f>HYPERLINK("http://reports.ofsted.gov.uk/inspection-reports/find-inspection-report/provider/CARE/1249264","Ofsted Social Care Provider Webpage")</f>
        <v>Ofsted Social Care Provider Webpage</v>
      </c>
      <c r="B560" s="3">
        <v>1249264</v>
      </c>
      <c r="C560" t="s">
        <v>34</v>
      </c>
      <c r="D560" s="19">
        <v>42781</v>
      </c>
      <c r="E560" t="s">
        <v>154</v>
      </c>
      <c r="F560" t="s">
        <v>155</v>
      </c>
      <c r="G560" t="s">
        <v>87</v>
      </c>
      <c r="H560" t="s">
        <v>87</v>
      </c>
      <c r="I560" t="s">
        <v>92</v>
      </c>
      <c r="J560" t="s">
        <v>254</v>
      </c>
      <c r="K560" t="s">
        <v>157</v>
      </c>
      <c r="L560" s="19">
        <v>44125</v>
      </c>
      <c r="M560" s="19">
        <v>44166</v>
      </c>
      <c r="N560" s="27" t="s">
        <v>557</v>
      </c>
    </row>
    <row r="561" spans="1:14" x14ac:dyDescent="0.25">
      <c r="A561" s="38" t="str">
        <f>HYPERLINK("http://reports.ofsted.gov.uk/inspection-reports/find-inspection-report/provider/CARE/1249035","Ofsted Social Care Provider Webpage")</f>
        <v>Ofsted Social Care Provider Webpage</v>
      </c>
      <c r="B561" s="3">
        <v>1249035</v>
      </c>
      <c r="C561" t="s">
        <v>34</v>
      </c>
      <c r="D561" s="19">
        <v>42815</v>
      </c>
      <c r="E561" t="s">
        <v>154</v>
      </c>
      <c r="F561" t="s">
        <v>155</v>
      </c>
      <c r="G561" t="s">
        <v>87</v>
      </c>
      <c r="H561" t="s">
        <v>87</v>
      </c>
      <c r="I561" t="s">
        <v>93</v>
      </c>
      <c r="J561" t="s">
        <v>408</v>
      </c>
      <c r="K561" t="s">
        <v>157</v>
      </c>
      <c r="L561" s="19">
        <v>44125</v>
      </c>
      <c r="M561" s="19">
        <v>44148</v>
      </c>
      <c r="N561" s="27" t="s">
        <v>557</v>
      </c>
    </row>
    <row r="562" spans="1:14" x14ac:dyDescent="0.25">
      <c r="A562" s="38" t="str">
        <f>HYPERLINK("http://reports.ofsted.gov.uk/inspection-reports/find-inspection-report/provider/CARE/SC417351","Ofsted Social Care Provider Webpage")</f>
        <v>Ofsted Social Care Provider Webpage</v>
      </c>
      <c r="B562" s="3" t="s">
        <v>1107</v>
      </c>
      <c r="C562" t="s">
        <v>34</v>
      </c>
      <c r="D562" s="19">
        <v>40513</v>
      </c>
      <c r="E562" t="s">
        <v>215</v>
      </c>
      <c r="F562" t="s">
        <v>155</v>
      </c>
      <c r="G562" t="s">
        <v>48</v>
      </c>
      <c r="H562" t="s">
        <v>48</v>
      </c>
      <c r="I562" t="s">
        <v>51</v>
      </c>
      <c r="J562" t="s">
        <v>274</v>
      </c>
      <c r="K562" t="s">
        <v>157</v>
      </c>
      <c r="L562" s="19">
        <v>44125</v>
      </c>
      <c r="M562" s="19">
        <v>44152</v>
      </c>
      <c r="N562" s="27" t="s">
        <v>559</v>
      </c>
    </row>
    <row r="563" spans="1:14" x14ac:dyDescent="0.25">
      <c r="A563" s="38" t="str">
        <f>HYPERLINK("http://reports.ofsted.gov.uk/inspection-reports/find-inspection-report/provider/CARE/SC457435","Ofsted Social Care Provider Webpage")</f>
        <v>Ofsted Social Care Provider Webpage</v>
      </c>
      <c r="B563" s="3" t="s">
        <v>1108</v>
      </c>
      <c r="C563" t="s">
        <v>34</v>
      </c>
      <c r="D563" s="19">
        <v>41294</v>
      </c>
      <c r="E563" t="s">
        <v>154</v>
      </c>
      <c r="F563" t="s">
        <v>155</v>
      </c>
      <c r="G563" t="s">
        <v>64</v>
      </c>
      <c r="H563" t="s">
        <v>164</v>
      </c>
      <c r="I563" t="s">
        <v>79</v>
      </c>
      <c r="J563" t="s">
        <v>1028</v>
      </c>
      <c r="K563" t="s">
        <v>157</v>
      </c>
      <c r="L563" s="19">
        <v>44125</v>
      </c>
      <c r="M563" s="19">
        <v>44169</v>
      </c>
      <c r="N563" s="27" t="s">
        <v>557</v>
      </c>
    </row>
    <row r="564" spans="1:14" x14ac:dyDescent="0.25">
      <c r="A564" s="38" t="str">
        <f>HYPERLINK("http://reports.ofsted.gov.uk/inspection-reports/find-inspection-report/provider/CARE/SC359818","Ofsted Social Care Provider Webpage")</f>
        <v>Ofsted Social Care Provider Webpage</v>
      </c>
      <c r="B564" s="3" t="s">
        <v>1109</v>
      </c>
      <c r="C564" t="s">
        <v>34</v>
      </c>
      <c r="D564" s="19">
        <v>39171</v>
      </c>
      <c r="E564" t="s">
        <v>154</v>
      </c>
      <c r="F564" t="s">
        <v>155</v>
      </c>
      <c r="G564" t="s">
        <v>128</v>
      </c>
      <c r="H564" t="s">
        <v>128</v>
      </c>
      <c r="I564" t="s">
        <v>139</v>
      </c>
      <c r="J564" t="s">
        <v>224</v>
      </c>
      <c r="K564" t="s">
        <v>157</v>
      </c>
      <c r="L564" s="19">
        <v>44125</v>
      </c>
      <c r="M564" s="19">
        <v>44159</v>
      </c>
      <c r="N564" s="27" t="s">
        <v>557</v>
      </c>
    </row>
    <row r="565" spans="1:14" x14ac:dyDescent="0.25">
      <c r="A565" s="38" t="str">
        <f>HYPERLINK("http://reports.ofsted.gov.uk/inspection-reports/find-inspection-report/provider/CARE/SC356929","Ofsted Social Care Provider Webpage")</f>
        <v>Ofsted Social Care Provider Webpage</v>
      </c>
      <c r="B565" s="3" t="s">
        <v>1110</v>
      </c>
      <c r="C565" t="s">
        <v>34</v>
      </c>
      <c r="D565" s="19">
        <v>39169</v>
      </c>
      <c r="E565" t="s">
        <v>154</v>
      </c>
      <c r="F565" t="s">
        <v>155</v>
      </c>
      <c r="G565" t="s">
        <v>87</v>
      </c>
      <c r="H565" t="s">
        <v>87</v>
      </c>
      <c r="I565" t="s">
        <v>563</v>
      </c>
      <c r="J565" t="s">
        <v>563</v>
      </c>
      <c r="K565" t="s">
        <v>157</v>
      </c>
      <c r="L565" s="19">
        <v>44125</v>
      </c>
      <c r="M565" s="19">
        <v>44154</v>
      </c>
      <c r="N565" s="27" t="s">
        <v>557</v>
      </c>
    </row>
    <row r="566" spans="1:14" x14ac:dyDescent="0.25">
      <c r="A566" s="38" t="str">
        <f>HYPERLINK("http://reports.ofsted.gov.uk/inspection-reports/find-inspection-report/provider/CARE/2510737","Ofsted Social Care Provider Webpage")</f>
        <v>Ofsted Social Care Provider Webpage</v>
      </c>
      <c r="B566" s="3">
        <v>2510737</v>
      </c>
      <c r="C566" t="s">
        <v>34</v>
      </c>
      <c r="D566" s="19">
        <v>43602</v>
      </c>
      <c r="E566" t="s">
        <v>154</v>
      </c>
      <c r="F566" t="s">
        <v>155</v>
      </c>
      <c r="G566" t="s">
        <v>87</v>
      </c>
      <c r="H566" t="s">
        <v>87</v>
      </c>
      <c r="I566" t="s">
        <v>570</v>
      </c>
      <c r="J566" t="s">
        <v>571</v>
      </c>
      <c r="K566" t="s">
        <v>157</v>
      </c>
      <c r="L566" s="19">
        <v>44125</v>
      </c>
      <c r="M566" s="19">
        <v>44159</v>
      </c>
      <c r="N566" s="27" t="s">
        <v>557</v>
      </c>
    </row>
    <row r="567" spans="1:14" x14ac:dyDescent="0.25">
      <c r="A567" s="38" t="str">
        <f>HYPERLINK("http://reports.ofsted.gov.uk/inspection-reports/find-inspection-report/provider/CARE/SC025799","Ofsted Social Care Provider Webpage")</f>
        <v>Ofsted Social Care Provider Webpage</v>
      </c>
      <c r="B567" s="3" t="s">
        <v>1111</v>
      </c>
      <c r="C567" t="s">
        <v>34</v>
      </c>
      <c r="D567" s="19">
        <v>35087</v>
      </c>
      <c r="E567" t="s">
        <v>154</v>
      </c>
      <c r="F567" t="s">
        <v>155</v>
      </c>
      <c r="G567" t="s">
        <v>57</v>
      </c>
      <c r="H567" t="s">
        <v>57</v>
      </c>
      <c r="I567" t="s">
        <v>672</v>
      </c>
      <c r="J567" t="s">
        <v>1112</v>
      </c>
      <c r="K567" t="s">
        <v>157</v>
      </c>
      <c r="L567" s="19">
        <v>44125</v>
      </c>
      <c r="M567" s="19">
        <v>44160</v>
      </c>
      <c r="N567" s="27" t="s">
        <v>557</v>
      </c>
    </row>
    <row r="568" spans="1:14" x14ac:dyDescent="0.25">
      <c r="A568" s="38" t="str">
        <f>HYPERLINK("http://reports.ofsted.gov.uk/inspection-reports/find-inspection-report/provider/CARE/SC467704","Ofsted Social Care Provider Webpage")</f>
        <v>Ofsted Social Care Provider Webpage</v>
      </c>
      <c r="B568" s="3" t="s">
        <v>1113</v>
      </c>
      <c r="C568" t="s">
        <v>34</v>
      </c>
      <c r="D568" s="19">
        <v>41495</v>
      </c>
      <c r="E568" t="s">
        <v>154</v>
      </c>
      <c r="F568" t="s">
        <v>155</v>
      </c>
      <c r="G568" t="s">
        <v>114</v>
      </c>
      <c r="H568" t="s">
        <v>114</v>
      </c>
      <c r="I568" t="s">
        <v>118</v>
      </c>
      <c r="J568" t="s">
        <v>506</v>
      </c>
      <c r="K568" t="s">
        <v>157</v>
      </c>
      <c r="L568" s="19">
        <v>44125</v>
      </c>
      <c r="M568" s="19">
        <v>44155</v>
      </c>
      <c r="N568" s="27" t="s">
        <v>557</v>
      </c>
    </row>
    <row r="569" spans="1:14" x14ac:dyDescent="0.25">
      <c r="A569" s="38" t="str">
        <f>HYPERLINK("http://reports.ofsted.gov.uk/inspection-reports/find-inspection-report/provider/CARE/SC391993","Ofsted Social Care Provider Webpage")</f>
        <v>Ofsted Social Care Provider Webpage</v>
      </c>
      <c r="B569" s="3" t="s">
        <v>1114</v>
      </c>
      <c r="C569" t="s">
        <v>34</v>
      </c>
      <c r="D569" s="19">
        <v>39995</v>
      </c>
      <c r="E569" t="s">
        <v>154</v>
      </c>
      <c r="F569" t="s">
        <v>155</v>
      </c>
      <c r="G569" t="s">
        <v>64</v>
      </c>
      <c r="H569" t="s">
        <v>213</v>
      </c>
      <c r="I569" t="s">
        <v>68</v>
      </c>
      <c r="J569" t="s">
        <v>68</v>
      </c>
      <c r="K569" t="s">
        <v>168</v>
      </c>
      <c r="L569" s="19">
        <v>44125</v>
      </c>
      <c r="M569" s="19">
        <v>44168</v>
      </c>
      <c r="N569" s="27" t="s">
        <v>557</v>
      </c>
    </row>
    <row r="570" spans="1:14" x14ac:dyDescent="0.25">
      <c r="A570" s="38" t="str">
        <f>HYPERLINK("http://reports.ofsted.gov.uk/inspection-reports/find-inspection-report/provider/CARE/SC449954","Ofsted Social Care Provider Webpage")</f>
        <v>Ofsted Social Care Provider Webpage</v>
      </c>
      <c r="B570" s="3" t="s">
        <v>1115</v>
      </c>
      <c r="C570" t="s">
        <v>34</v>
      </c>
      <c r="D570" s="19">
        <v>41197</v>
      </c>
      <c r="E570" t="s">
        <v>154</v>
      </c>
      <c r="F570" t="s">
        <v>155</v>
      </c>
      <c r="G570" t="s">
        <v>39</v>
      </c>
      <c r="H570" t="s">
        <v>39</v>
      </c>
      <c r="I570" t="s">
        <v>45</v>
      </c>
      <c r="J570" t="s">
        <v>432</v>
      </c>
      <c r="K570" t="s">
        <v>157</v>
      </c>
      <c r="L570" s="19">
        <v>44125</v>
      </c>
      <c r="M570" s="19">
        <v>44159</v>
      </c>
      <c r="N570" s="27" t="s">
        <v>557</v>
      </c>
    </row>
    <row r="571" spans="1:14" x14ac:dyDescent="0.25">
      <c r="A571" s="38" t="str">
        <f>HYPERLINK("http://reports.ofsted.gov.uk/inspection-reports/find-inspection-report/provider/CARE/1259178","Ofsted Social Care Provider Webpage")</f>
        <v>Ofsted Social Care Provider Webpage</v>
      </c>
      <c r="B571" s="3">
        <v>1259178</v>
      </c>
      <c r="C571" t="s">
        <v>34</v>
      </c>
      <c r="D571" s="19">
        <v>43146</v>
      </c>
      <c r="E571" t="s">
        <v>154</v>
      </c>
      <c r="F571" t="s">
        <v>155</v>
      </c>
      <c r="G571" t="s">
        <v>128</v>
      </c>
      <c r="H571" t="s">
        <v>128</v>
      </c>
      <c r="I571" t="s">
        <v>129</v>
      </c>
      <c r="J571" t="s">
        <v>475</v>
      </c>
      <c r="K571" t="s">
        <v>157</v>
      </c>
      <c r="L571" s="19">
        <v>44125</v>
      </c>
      <c r="M571" s="19">
        <v>44154</v>
      </c>
      <c r="N571" s="27" t="s">
        <v>557</v>
      </c>
    </row>
    <row r="572" spans="1:14" x14ac:dyDescent="0.25">
      <c r="A572" s="38" t="str">
        <f>HYPERLINK("http://reports.ofsted.gov.uk/inspection-reports/find-inspection-report/provider/CARE/2589621","Ofsted Social Care Provider Webpage")</f>
        <v>Ofsted Social Care Provider Webpage</v>
      </c>
      <c r="B572" s="3">
        <v>2589621</v>
      </c>
      <c r="C572" t="s">
        <v>34</v>
      </c>
      <c r="D572" s="19">
        <v>43948</v>
      </c>
      <c r="E572" t="s">
        <v>154</v>
      </c>
      <c r="F572" t="s">
        <v>155</v>
      </c>
      <c r="G572" t="s">
        <v>87</v>
      </c>
      <c r="H572" t="s">
        <v>87</v>
      </c>
      <c r="I572" t="s">
        <v>94</v>
      </c>
      <c r="J572" t="s">
        <v>995</v>
      </c>
      <c r="K572" t="s">
        <v>157</v>
      </c>
      <c r="L572" s="19">
        <v>44125</v>
      </c>
      <c r="M572" s="19">
        <v>44161</v>
      </c>
      <c r="N572" s="27" t="s">
        <v>557</v>
      </c>
    </row>
    <row r="573" spans="1:14" x14ac:dyDescent="0.25">
      <c r="A573" s="38" t="str">
        <f>HYPERLINK("http://reports.ofsted.gov.uk/inspection-reports/find-inspection-report/provider/CARE/SC485529","Ofsted Social Care Provider Webpage")</f>
        <v>Ofsted Social Care Provider Webpage</v>
      </c>
      <c r="B573" s="3" t="s">
        <v>1116</v>
      </c>
      <c r="C573" t="s">
        <v>34</v>
      </c>
      <c r="D573" s="19">
        <v>42024</v>
      </c>
      <c r="E573" t="s">
        <v>154</v>
      </c>
      <c r="F573" t="s">
        <v>155</v>
      </c>
      <c r="G573" t="s">
        <v>105</v>
      </c>
      <c r="H573" t="s">
        <v>105</v>
      </c>
      <c r="I573" t="s">
        <v>108</v>
      </c>
      <c r="J573" t="s">
        <v>187</v>
      </c>
      <c r="K573" t="s">
        <v>157</v>
      </c>
      <c r="L573" s="19">
        <v>44125</v>
      </c>
      <c r="M573" s="19">
        <v>44175</v>
      </c>
      <c r="N573" s="27" t="s">
        <v>557</v>
      </c>
    </row>
    <row r="574" spans="1:14" x14ac:dyDescent="0.25">
      <c r="A574" s="38" t="str">
        <f>HYPERLINK("http://reports.ofsted.gov.uk/inspection-reports/find-inspection-report/provider/CARE/SC403234","Ofsted Social Care Provider Webpage")</f>
        <v>Ofsted Social Care Provider Webpage</v>
      </c>
      <c r="B574" s="3" t="s">
        <v>1117</v>
      </c>
      <c r="C574" t="s">
        <v>34</v>
      </c>
      <c r="D574" s="19">
        <v>40169</v>
      </c>
      <c r="E574" t="s">
        <v>154</v>
      </c>
      <c r="F574" t="s">
        <v>155</v>
      </c>
      <c r="G574" t="s">
        <v>114</v>
      </c>
      <c r="H574" t="s">
        <v>114</v>
      </c>
      <c r="I574" t="s">
        <v>118</v>
      </c>
      <c r="J574" t="s">
        <v>589</v>
      </c>
      <c r="K574" t="s">
        <v>157</v>
      </c>
      <c r="L574" s="19">
        <v>44125</v>
      </c>
      <c r="M574" s="19">
        <v>44152</v>
      </c>
      <c r="N574" s="27" t="s">
        <v>557</v>
      </c>
    </row>
    <row r="575" spans="1:14" x14ac:dyDescent="0.25">
      <c r="A575" s="38" t="str">
        <f>HYPERLINK("http://reports.ofsted.gov.uk/inspection-reports/find-inspection-report/provider/CARE/SC390751","Ofsted Social Care Provider Webpage")</f>
        <v>Ofsted Social Care Provider Webpage</v>
      </c>
      <c r="B575" s="3" t="s">
        <v>1118</v>
      </c>
      <c r="C575" t="s">
        <v>34</v>
      </c>
      <c r="D575" s="19">
        <v>39925</v>
      </c>
      <c r="E575" t="s">
        <v>154</v>
      </c>
      <c r="F575" t="s">
        <v>155</v>
      </c>
      <c r="G575" t="s">
        <v>64</v>
      </c>
      <c r="H575" t="s">
        <v>213</v>
      </c>
      <c r="I575" t="s">
        <v>68</v>
      </c>
      <c r="J575" t="s">
        <v>68</v>
      </c>
      <c r="K575" t="s">
        <v>157</v>
      </c>
      <c r="L575" s="19">
        <v>44125</v>
      </c>
      <c r="M575" s="19">
        <v>44194</v>
      </c>
      <c r="N575" s="27" t="s">
        <v>557</v>
      </c>
    </row>
    <row r="576" spans="1:14" x14ac:dyDescent="0.25">
      <c r="A576" s="38" t="str">
        <f>HYPERLINK("http://reports.ofsted.gov.uk/inspection-reports/find-inspection-report/provider/CARE/2567806","Ofsted Social Care Provider Webpage")</f>
        <v>Ofsted Social Care Provider Webpage</v>
      </c>
      <c r="B576" s="3">
        <v>2567806</v>
      </c>
      <c r="C576" t="s">
        <v>34</v>
      </c>
      <c r="D576" s="19">
        <v>43957</v>
      </c>
      <c r="E576" t="s">
        <v>154</v>
      </c>
      <c r="F576" t="s">
        <v>155</v>
      </c>
      <c r="G576" t="s">
        <v>64</v>
      </c>
      <c r="H576" t="s">
        <v>164</v>
      </c>
      <c r="I576" t="s">
        <v>79</v>
      </c>
      <c r="J576" t="s">
        <v>601</v>
      </c>
      <c r="K576" t="s">
        <v>157</v>
      </c>
      <c r="L576" s="19">
        <v>44125</v>
      </c>
      <c r="M576" s="19">
        <v>44148</v>
      </c>
      <c r="N576" s="27" t="s">
        <v>557</v>
      </c>
    </row>
    <row r="577" spans="1:14" x14ac:dyDescent="0.25">
      <c r="A577" s="38" t="str">
        <f>HYPERLINK("http://reports.ofsted.gov.uk/inspection-reports/find-inspection-report/provider/CARE/SC456795","Ofsted Social Care Provider Webpage")</f>
        <v>Ofsted Social Care Provider Webpage</v>
      </c>
      <c r="B577" s="3" t="s">
        <v>1119</v>
      </c>
      <c r="C577" t="s">
        <v>34</v>
      </c>
      <c r="D577" s="19">
        <v>41319</v>
      </c>
      <c r="E577" t="s">
        <v>154</v>
      </c>
      <c r="F577" t="s">
        <v>155</v>
      </c>
      <c r="G577" t="s">
        <v>87</v>
      </c>
      <c r="H577" t="s">
        <v>87</v>
      </c>
      <c r="I577" t="s">
        <v>102</v>
      </c>
      <c r="J577" t="s">
        <v>510</v>
      </c>
      <c r="K577" t="s">
        <v>157</v>
      </c>
      <c r="L577" s="19">
        <v>44125</v>
      </c>
      <c r="M577" s="19">
        <v>44154</v>
      </c>
      <c r="N577" s="27" t="s">
        <v>557</v>
      </c>
    </row>
    <row r="578" spans="1:14" x14ac:dyDescent="0.25">
      <c r="A578" s="38" t="str">
        <f>HYPERLINK("http://reports.ofsted.gov.uk/inspection-reports/find-inspection-report/provider/CARE/1280623","Ofsted Social Care Provider Webpage")</f>
        <v>Ofsted Social Care Provider Webpage</v>
      </c>
      <c r="B578" s="3">
        <v>1280623</v>
      </c>
      <c r="C578" t="s">
        <v>34</v>
      </c>
      <c r="D578" s="19">
        <v>43389</v>
      </c>
      <c r="E578" t="s">
        <v>154</v>
      </c>
      <c r="F578" t="s">
        <v>155</v>
      </c>
      <c r="G578" t="s">
        <v>128</v>
      </c>
      <c r="H578" t="s">
        <v>128</v>
      </c>
      <c r="I578" t="s">
        <v>139</v>
      </c>
      <c r="J578" t="s">
        <v>640</v>
      </c>
      <c r="K578" t="s">
        <v>157</v>
      </c>
      <c r="L578" s="19">
        <v>44125</v>
      </c>
      <c r="M578" s="19">
        <v>44152</v>
      </c>
      <c r="N578" s="27" t="s">
        <v>557</v>
      </c>
    </row>
    <row r="579" spans="1:14" x14ac:dyDescent="0.25">
      <c r="A579" s="38" t="str">
        <f>HYPERLINK("http://reports.ofsted.gov.uk/inspection-reports/find-inspection-report/provider/CARE/1234432","Ofsted Social Care Provider Webpage")</f>
        <v>Ofsted Social Care Provider Webpage</v>
      </c>
      <c r="B579" s="3">
        <v>1234432</v>
      </c>
      <c r="C579" t="s">
        <v>34</v>
      </c>
      <c r="D579" s="19">
        <v>42524</v>
      </c>
      <c r="E579" t="s">
        <v>154</v>
      </c>
      <c r="F579" t="s">
        <v>155</v>
      </c>
      <c r="G579" t="s">
        <v>87</v>
      </c>
      <c r="H579" t="s">
        <v>87</v>
      </c>
      <c r="I579" t="s">
        <v>563</v>
      </c>
      <c r="J579" t="s">
        <v>563</v>
      </c>
      <c r="K579" t="s">
        <v>157</v>
      </c>
      <c r="L579" s="19">
        <v>44125</v>
      </c>
      <c r="M579" s="19">
        <v>44147</v>
      </c>
      <c r="N579" s="27" t="s">
        <v>557</v>
      </c>
    </row>
    <row r="580" spans="1:14" x14ac:dyDescent="0.25">
      <c r="A580" s="38" t="str">
        <f>HYPERLINK("http://reports.ofsted.gov.uk/inspection-reports/find-inspection-report/provider/CARE/SC420876","Ofsted Social Care Provider Webpage")</f>
        <v>Ofsted Social Care Provider Webpage</v>
      </c>
      <c r="B580" s="3" t="s">
        <v>1120</v>
      </c>
      <c r="C580" t="s">
        <v>34</v>
      </c>
      <c r="D580" s="19">
        <v>40532</v>
      </c>
      <c r="E580" t="s">
        <v>154</v>
      </c>
      <c r="F580" t="s">
        <v>155</v>
      </c>
      <c r="G580" t="s">
        <v>128</v>
      </c>
      <c r="H580" t="s">
        <v>128</v>
      </c>
      <c r="I580" t="s">
        <v>134</v>
      </c>
      <c r="J580" t="s">
        <v>378</v>
      </c>
      <c r="K580" t="s">
        <v>157</v>
      </c>
      <c r="L580" s="19">
        <v>44125</v>
      </c>
      <c r="M580" s="19">
        <v>44168</v>
      </c>
      <c r="N580" s="27" t="s">
        <v>557</v>
      </c>
    </row>
    <row r="581" spans="1:14" x14ac:dyDescent="0.25">
      <c r="A581" s="38" t="str">
        <f>HYPERLINK("http://reports.ofsted.gov.uk/inspection-reports/find-inspection-report/provider/CARE/1256452","Ofsted Social Care Provider Webpage")</f>
        <v>Ofsted Social Care Provider Webpage</v>
      </c>
      <c r="B581" s="3">
        <v>1256452</v>
      </c>
      <c r="C581" t="s">
        <v>34</v>
      </c>
      <c r="D581" s="19">
        <v>42929</v>
      </c>
      <c r="E581" t="s">
        <v>154</v>
      </c>
      <c r="F581" t="s">
        <v>155</v>
      </c>
      <c r="G581" t="s">
        <v>48</v>
      </c>
      <c r="H581" t="s">
        <v>48</v>
      </c>
      <c r="I581" t="s">
        <v>51</v>
      </c>
      <c r="J581" t="s">
        <v>759</v>
      </c>
      <c r="K581" t="s">
        <v>157</v>
      </c>
      <c r="L581" s="19">
        <v>44125</v>
      </c>
      <c r="M581" s="19">
        <v>44152</v>
      </c>
      <c r="N581" s="27" t="s">
        <v>557</v>
      </c>
    </row>
    <row r="582" spans="1:14" x14ac:dyDescent="0.25">
      <c r="A582" s="38" t="str">
        <f>HYPERLINK("http://reports.ofsted.gov.uk/inspection-reports/find-inspection-report/provider/CARE/SC457175","Ofsted Social Care Provider Webpage")</f>
        <v>Ofsted Social Care Provider Webpage</v>
      </c>
      <c r="B582" s="3" t="s">
        <v>1123</v>
      </c>
      <c r="C582" t="s">
        <v>34</v>
      </c>
      <c r="D582" s="19">
        <v>41319</v>
      </c>
      <c r="E582" t="s">
        <v>154</v>
      </c>
      <c r="F582" t="s">
        <v>155</v>
      </c>
      <c r="G582" t="s">
        <v>87</v>
      </c>
      <c r="H582" t="s">
        <v>87</v>
      </c>
      <c r="I582" t="s">
        <v>562</v>
      </c>
      <c r="J582" t="s">
        <v>562</v>
      </c>
      <c r="K582" t="s">
        <v>157</v>
      </c>
      <c r="L582" s="19">
        <v>44126</v>
      </c>
      <c r="M582" s="19">
        <v>44173</v>
      </c>
      <c r="N582" s="27" t="s">
        <v>557</v>
      </c>
    </row>
    <row r="583" spans="1:14" x14ac:dyDescent="0.25">
      <c r="A583" s="38" t="str">
        <f>HYPERLINK("http://reports.ofsted.gov.uk/inspection-reports/find-inspection-report/provider/CARE/SC364812","Ofsted Social Care Provider Webpage")</f>
        <v>Ofsted Social Care Provider Webpage</v>
      </c>
      <c r="B583" s="3" t="s">
        <v>1124</v>
      </c>
      <c r="C583" t="s">
        <v>34</v>
      </c>
      <c r="D583" s="19">
        <v>39423</v>
      </c>
      <c r="E583" t="s">
        <v>154</v>
      </c>
      <c r="F583" t="s">
        <v>155</v>
      </c>
      <c r="G583" t="s">
        <v>105</v>
      </c>
      <c r="H583" t="s">
        <v>105</v>
      </c>
      <c r="I583" t="s">
        <v>113</v>
      </c>
      <c r="J583" t="s">
        <v>360</v>
      </c>
      <c r="K583" t="s">
        <v>157</v>
      </c>
      <c r="L583" s="19">
        <v>44126</v>
      </c>
      <c r="M583" s="19">
        <v>44209</v>
      </c>
      <c r="N583" s="27" t="s">
        <v>557</v>
      </c>
    </row>
    <row r="584" spans="1:14" x14ac:dyDescent="0.25">
      <c r="A584" s="38" t="str">
        <f>HYPERLINK("http://reports.ofsted.gov.uk/inspection-reports/find-inspection-report/provider/CARE/2581237","Ofsted Social Care Provider Webpage")</f>
        <v>Ofsted Social Care Provider Webpage</v>
      </c>
      <c r="B584" s="3">
        <v>2581237</v>
      </c>
      <c r="C584" t="s">
        <v>34</v>
      </c>
      <c r="D584" s="19">
        <v>43950</v>
      </c>
      <c r="E584" t="s">
        <v>154</v>
      </c>
      <c r="F584" t="s">
        <v>155</v>
      </c>
      <c r="G584" t="s">
        <v>87</v>
      </c>
      <c r="H584" t="s">
        <v>87</v>
      </c>
      <c r="I584" t="s">
        <v>93</v>
      </c>
      <c r="J584" t="s">
        <v>356</v>
      </c>
      <c r="K584" t="s">
        <v>157</v>
      </c>
      <c r="L584" s="19">
        <v>44126</v>
      </c>
      <c r="M584" s="19">
        <v>44166</v>
      </c>
      <c r="N584" s="27" t="s">
        <v>559</v>
      </c>
    </row>
    <row r="585" spans="1:14" x14ac:dyDescent="0.25">
      <c r="A585" s="38" t="str">
        <f>HYPERLINK("http://reports.ofsted.gov.uk/inspection-reports/find-inspection-report/provider/CARE/SC034383","Ofsted Social Care Provider Webpage")</f>
        <v>Ofsted Social Care Provider Webpage</v>
      </c>
      <c r="B585" s="3" t="s">
        <v>1125</v>
      </c>
      <c r="C585" t="s">
        <v>35</v>
      </c>
      <c r="D585" s="19">
        <v>37461</v>
      </c>
      <c r="E585" t="s">
        <v>154</v>
      </c>
      <c r="F585" t="s">
        <v>1126</v>
      </c>
      <c r="G585" t="s">
        <v>114</v>
      </c>
      <c r="H585" t="s">
        <v>114</v>
      </c>
      <c r="I585" t="s">
        <v>120</v>
      </c>
      <c r="J585" t="s">
        <v>342</v>
      </c>
      <c r="K585" t="s">
        <v>168</v>
      </c>
      <c r="L585" s="19">
        <v>44126</v>
      </c>
      <c r="M585" s="19">
        <v>44159</v>
      </c>
      <c r="N585" s="27" t="s">
        <v>557</v>
      </c>
    </row>
    <row r="586" spans="1:14" x14ac:dyDescent="0.25">
      <c r="A586" s="38" t="str">
        <f>HYPERLINK("http://reports.ofsted.gov.uk/inspection-reports/find-inspection-report/provider/CARE/1230411","Ofsted Social Care Provider Webpage")</f>
        <v>Ofsted Social Care Provider Webpage</v>
      </c>
      <c r="B586" s="3">
        <v>1230411</v>
      </c>
      <c r="C586" t="s">
        <v>34</v>
      </c>
      <c r="D586" s="19">
        <v>42486</v>
      </c>
      <c r="E586" t="s">
        <v>154</v>
      </c>
      <c r="F586" t="s">
        <v>155</v>
      </c>
      <c r="G586" t="s">
        <v>105</v>
      </c>
      <c r="H586" t="s">
        <v>105</v>
      </c>
      <c r="I586" t="s">
        <v>112</v>
      </c>
      <c r="J586" t="s">
        <v>1127</v>
      </c>
      <c r="K586" t="s">
        <v>172</v>
      </c>
      <c r="L586" s="19">
        <v>44126</v>
      </c>
      <c r="M586" s="19">
        <v>44172</v>
      </c>
      <c r="N586" s="27" t="s">
        <v>557</v>
      </c>
    </row>
    <row r="587" spans="1:14" x14ac:dyDescent="0.25">
      <c r="A587" s="38" t="str">
        <f>HYPERLINK("http://reports.ofsted.gov.uk/inspection-reports/find-inspection-report/provider/CARE/2545082","Ofsted Social Care Provider Webpage")</f>
        <v>Ofsted Social Care Provider Webpage</v>
      </c>
      <c r="B587" s="3">
        <v>2545082</v>
      </c>
      <c r="C587" t="s">
        <v>34</v>
      </c>
      <c r="D587" s="19">
        <v>43713</v>
      </c>
      <c r="E587" t="s">
        <v>154</v>
      </c>
      <c r="F587" t="s">
        <v>155</v>
      </c>
      <c r="G587" t="s">
        <v>87</v>
      </c>
      <c r="H587" t="s">
        <v>87</v>
      </c>
      <c r="I587" t="s">
        <v>91</v>
      </c>
      <c r="J587" t="s">
        <v>836</v>
      </c>
      <c r="K587" t="s">
        <v>157</v>
      </c>
      <c r="L587" s="19">
        <v>44126</v>
      </c>
      <c r="M587" s="19">
        <v>44153</v>
      </c>
      <c r="N587" s="27" t="s">
        <v>557</v>
      </c>
    </row>
    <row r="588" spans="1:14" x14ac:dyDescent="0.25">
      <c r="A588" s="38" t="str">
        <f>HYPERLINK("http://reports.ofsted.gov.uk/inspection-reports/find-inspection-report/provider/CARE/SC443337","Ofsted Social Care Provider Webpage")</f>
        <v>Ofsted Social Care Provider Webpage</v>
      </c>
      <c r="B588" s="3" t="s">
        <v>1128</v>
      </c>
      <c r="C588" t="s">
        <v>34</v>
      </c>
      <c r="D588" s="19">
        <v>40949</v>
      </c>
      <c r="E588" t="s">
        <v>154</v>
      </c>
      <c r="F588" t="s">
        <v>155</v>
      </c>
      <c r="G588" t="s">
        <v>57</v>
      </c>
      <c r="H588" t="s">
        <v>57</v>
      </c>
      <c r="I588" t="s">
        <v>676</v>
      </c>
      <c r="J588" t="s">
        <v>1129</v>
      </c>
      <c r="K588" t="s">
        <v>172</v>
      </c>
      <c r="L588" s="19">
        <v>44126</v>
      </c>
      <c r="M588" s="19">
        <v>44162</v>
      </c>
      <c r="N588" s="27" t="s">
        <v>557</v>
      </c>
    </row>
    <row r="589" spans="1:14" x14ac:dyDescent="0.25">
      <c r="A589" s="38" t="str">
        <f>HYPERLINK("http://reports.ofsted.gov.uk/inspection-reports/find-inspection-report/provider/CARE/2545027","Ofsted Social Care Provider Webpage")</f>
        <v>Ofsted Social Care Provider Webpage</v>
      </c>
      <c r="B589" s="3">
        <v>2545027</v>
      </c>
      <c r="C589" t="s">
        <v>34</v>
      </c>
      <c r="D589" s="19">
        <v>43728</v>
      </c>
      <c r="E589" t="s">
        <v>154</v>
      </c>
      <c r="F589" t="s">
        <v>155</v>
      </c>
      <c r="G589" t="s">
        <v>39</v>
      </c>
      <c r="H589" t="s">
        <v>39</v>
      </c>
      <c r="I589" t="s">
        <v>44</v>
      </c>
      <c r="J589" t="s">
        <v>194</v>
      </c>
      <c r="K589" t="s">
        <v>157</v>
      </c>
      <c r="L589" s="19">
        <v>44130</v>
      </c>
      <c r="M589" s="19">
        <v>44158</v>
      </c>
      <c r="N589" s="27" t="s">
        <v>557</v>
      </c>
    </row>
    <row r="590" spans="1:14" x14ac:dyDescent="0.25">
      <c r="A590" s="38" t="str">
        <f>HYPERLINK("http://reports.ofsted.gov.uk/inspection-reports/find-inspection-report/provider/CARE/SC437825","Ofsted Social Care Provider Webpage")</f>
        <v>Ofsted Social Care Provider Webpage</v>
      </c>
      <c r="B590" s="3" t="s">
        <v>1146</v>
      </c>
      <c r="C590" t="s">
        <v>34</v>
      </c>
      <c r="D590" s="19">
        <v>40911</v>
      </c>
      <c r="E590" t="s">
        <v>154</v>
      </c>
      <c r="F590" t="s">
        <v>155</v>
      </c>
      <c r="G590" t="s">
        <v>39</v>
      </c>
      <c r="H590" t="s">
        <v>39</v>
      </c>
      <c r="I590" t="s">
        <v>42</v>
      </c>
      <c r="J590" t="s">
        <v>499</v>
      </c>
      <c r="K590" t="s">
        <v>157</v>
      </c>
      <c r="L590" s="19">
        <v>44130</v>
      </c>
      <c r="M590" s="19">
        <v>44176</v>
      </c>
      <c r="N590" s="27" t="s">
        <v>557</v>
      </c>
    </row>
    <row r="591" spans="1:14" x14ac:dyDescent="0.25">
      <c r="A591" s="38" t="str">
        <f>HYPERLINK("http://reports.ofsted.gov.uk/inspection-reports/find-inspection-report/provider/CARE/2561020","Ofsted Social Care Provider Webpage")</f>
        <v>Ofsted Social Care Provider Webpage</v>
      </c>
      <c r="B591" s="3">
        <v>2561020</v>
      </c>
      <c r="C591" t="s">
        <v>34</v>
      </c>
      <c r="D591" s="19">
        <v>43783</v>
      </c>
      <c r="E591" t="s">
        <v>154</v>
      </c>
      <c r="F591" t="s">
        <v>155</v>
      </c>
      <c r="G591" t="s">
        <v>39</v>
      </c>
      <c r="H591" t="s">
        <v>39</v>
      </c>
      <c r="I591" t="s">
        <v>40</v>
      </c>
      <c r="J591" t="s">
        <v>329</v>
      </c>
      <c r="K591" t="s">
        <v>157</v>
      </c>
      <c r="L591" s="19">
        <v>44130</v>
      </c>
      <c r="M591" s="19">
        <v>44174</v>
      </c>
      <c r="N591" s="27" t="s">
        <v>559</v>
      </c>
    </row>
    <row r="592" spans="1:14" x14ac:dyDescent="0.25">
      <c r="A592" s="38" t="str">
        <f>HYPERLINK("http://reports.ofsted.gov.uk/inspection-reports/find-inspection-report/provider/CARE/1255095","Ofsted Social Care Provider Webpage")</f>
        <v>Ofsted Social Care Provider Webpage</v>
      </c>
      <c r="B592" s="3">
        <v>1255095</v>
      </c>
      <c r="C592" t="s">
        <v>34</v>
      </c>
      <c r="D592" s="19">
        <v>42920</v>
      </c>
      <c r="E592" t="s">
        <v>154</v>
      </c>
      <c r="F592" t="s">
        <v>155</v>
      </c>
      <c r="G592" t="s">
        <v>128</v>
      </c>
      <c r="H592" t="s">
        <v>128</v>
      </c>
      <c r="I592" t="s">
        <v>134</v>
      </c>
      <c r="J592" t="s">
        <v>323</v>
      </c>
      <c r="K592" t="s">
        <v>157</v>
      </c>
      <c r="L592" s="19">
        <v>44130</v>
      </c>
      <c r="M592" s="19">
        <v>44168</v>
      </c>
      <c r="N592" s="27" t="s">
        <v>557</v>
      </c>
    </row>
    <row r="593" spans="1:14" x14ac:dyDescent="0.25">
      <c r="A593" s="38" t="str">
        <f>HYPERLINK("http://reports.ofsted.gov.uk/inspection-reports/find-inspection-report/provider/CARE/SC031479","Ofsted Social Care Provider Webpage")</f>
        <v>Ofsted Social Care Provider Webpage</v>
      </c>
      <c r="B593" s="3" t="s">
        <v>1147</v>
      </c>
      <c r="C593" t="s">
        <v>34</v>
      </c>
      <c r="D593" s="19">
        <v>37708</v>
      </c>
      <c r="E593" t="s">
        <v>154</v>
      </c>
      <c r="F593" t="s">
        <v>155</v>
      </c>
      <c r="G593" t="s">
        <v>57</v>
      </c>
      <c r="H593" t="s">
        <v>57</v>
      </c>
      <c r="I593" t="s">
        <v>686</v>
      </c>
      <c r="J593" t="s">
        <v>1148</v>
      </c>
      <c r="K593" t="s">
        <v>172</v>
      </c>
      <c r="L593" s="19">
        <v>44131</v>
      </c>
      <c r="M593" s="19">
        <v>44161</v>
      </c>
      <c r="N593" s="27" t="s">
        <v>557</v>
      </c>
    </row>
    <row r="594" spans="1:14" x14ac:dyDescent="0.25">
      <c r="A594" s="38" t="str">
        <f>HYPERLINK("http://reports.ofsted.gov.uk/inspection-reports/find-inspection-report/provider/CARE/SC065261","Ofsted Social Care Provider Webpage")</f>
        <v>Ofsted Social Care Provider Webpage</v>
      </c>
      <c r="B594" s="3" t="s">
        <v>1149</v>
      </c>
      <c r="C594" t="s">
        <v>36</v>
      </c>
      <c r="D594" s="19">
        <v>38651</v>
      </c>
      <c r="E594" t="s">
        <v>154</v>
      </c>
      <c r="F594" t="s">
        <v>155</v>
      </c>
      <c r="G594" t="s">
        <v>114</v>
      </c>
      <c r="H594" t="s">
        <v>114</v>
      </c>
      <c r="I594" t="s">
        <v>119</v>
      </c>
      <c r="J594" t="s">
        <v>529</v>
      </c>
      <c r="K594" t="s">
        <v>157</v>
      </c>
      <c r="L594" s="19">
        <v>44131</v>
      </c>
      <c r="M594" s="19">
        <v>44159</v>
      </c>
      <c r="N594" s="27" t="s">
        <v>557</v>
      </c>
    </row>
    <row r="595" spans="1:14" x14ac:dyDescent="0.25">
      <c r="A595" s="38" t="str">
        <f>HYPERLINK("http://reports.ofsted.gov.uk/inspection-reports/find-inspection-report/provider/CARE/SC030367","Ofsted Social Care Provider Webpage")</f>
        <v>Ofsted Social Care Provider Webpage</v>
      </c>
      <c r="B595" s="3" t="s">
        <v>1150</v>
      </c>
      <c r="C595" t="s">
        <v>36</v>
      </c>
      <c r="D595" s="19">
        <v>37895</v>
      </c>
      <c r="E595" t="s">
        <v>154</v>
      </c>
      <c r="F595" t="s">
        <v>155</v>
      </c>
      <c r="G595" t="s">
        <v>114</v>
      </c>
      <c r="H595" t="s">
        <v>114</v>
      </c>
      <c r="I595" t="s">
        <v>120</v>
      </c>
      <c r="J595" t="s">
        <v>1151</v>
      </c>
      <c r="K595" t="s">
        <v>168</v>
      </c>
      <c r="L595" s="19">
        <v>44131</v>
      </c>
      <c r="M595" s="19">
        <v>44161</v>
      </c>
      <c r="N595" s="27" t="s">
        <v>557</v>
      </c>
    </row>
    <row r="596" spans="1:14" x14ac:dyDescent="0.25">
      <c r="A596" s="38" t="str">
        <f>HYPERLINK("http://reports.ofsted.gov.uk/inspection-reports/find-inspection-report/provider/CARE/1222089","Ofsted Social Care Provider Webpage")</f>
        <v>Ofsted Social Care Provider Webpage</v>
      </c>
      <c r="B596" s="3">
        <v>1222089</v>
      </c>
      <c r="C596" t="s">
        <v>34</v>
      </c>
      <c r="D596" s="19">
        <v>42417</v>
      </c>
      <c r="E596" t="s">
        <v>154</v>
      </c>
      <c r="F596" t="s">
        <v>155</v>
      </c>
      <c r="G596" t="s">
        <v>128</v>
      </c>
      <c r="H596" t="s">
        <v>128</v>
      </c>
      <c r="I596" t="s">
        <v>135</v>
      </c>
      <c r="J596" t="s">
        <v>390</v>
      </c>
      <c r="K596" t="s">
        <v>157</v>
      </c>
      <c r="L596" s="19">
        <v>44131</v>
      </c>
      <c r="M596" s="19">
        <v>44167</v>
      </c>
      <c r="N596" s="27" t="s">
        <v>557</v>
      </c>
    </row>
    <row r="597" spans="1:14" x14ac:dyDescent="0.25">
      <c r="A597" s="38" t="str">
        <f>HYPERLINK("http://reports.ofsted.gov.uk/inspection-reports/find-inspection-report/provider/CARE/1228522","Ofsted Social Care Provider Webpage")</f>
        <v>Ofsted Social Care Provider Webpage</v>
      </c>
      <c r="B597" s="3">
        <v>1228522</v>
      </c>
      <c r="C597" t="s">
        <v>34</v>
      </c>
      <c r="D597" s="19">
        <v>42377</v>
      </c>
      <c r="E597" t="s">
        <v>154</v>
      </c>
      <c r="F597" t="s">
        <v>155</v>
      </c>
      <c r="G597" t="s">
        <v>87</v>
      </c>
      <c r="H597" t="s">
        <v>87</v>
      </c>
      <c r="I597" t="s">
        <v>93</v>
      </c>
      <c r="J597" t="s">
        <v>829</v>
      </c>
      <c r="K597" t="s">
        <v>157</v>
      </c>
      <c r="L597" s="19">
        <v>44131</v>
      </c>
      <c r="M597" s="19">
        <v>44161</v>
      </c>
      <c r="N597" s="27" t="s">
        <v>557</v>
      </c>
    </row>
    <row r="598" spans="1:14" x14ac:dyDescent="0.25">
      <c r="A598" s="38" t="str">
        <f>HYPERLINK("http://reports.ofsted.gov.uk/inspection-reports/find-inspection-report/provider/CARE/SC008269","Ofsted Social Care Provider Webpage")</f>
        <v>Ofsted Social Care Provider Webpage</v>
      </c>
      <c r="B598" s="3" t="s">
        <v>1152</v>
      </c>
      <c r="C598" t="s">
        <v>34</v>
      </c>
      <c r="D598" s="19">
        <v>36882</v>
      </c>
      <c r="E598" t="s">
        <v>154</v>
      </c>
      <c r="F598" t="s">
        <v>155</v>
      </c>
      <c r="G598" t="s">
        <v>128</v>
      </c>
      <c r="H598" t="s">
        <v>128</v>
      </c>
      <c r="I598" t="s">
        <v>135</v>
      </c>
      <c r="J598" t="s">
        <v>1153</v>
      </c>
      <c r="K598" t="s">
        <v>157</v>
      </c>
      <c r="L598" s="19">
        <v>44131</v>
      </c>
      <c r="M598" s="19">
        <v>44168</v>
      </c>
      <c r="N598" s="27" t="s">
        <v>557</v>
      </c>
    </row>
    <row r="599" spans="1:14" x14ac:dyDescent="0.25">
      <c r="A599" s="38" t="str">
        <f>HYPERLINK("http://reports.ofsted.gov.uk/inspection-reports/find-inspection-report/provider/CARE/1255747","Ofsted Social Care Provider Webpage")</f>
        <v>Ofsted Social Care Provider Webpage</v>
      </c>
      <c r="B599" s="3">
        <v>1255747</v>
      </c>
      <c r="C599" t="s">
        <v>34</v>
      </c>
      <c r="D599" s="19">
        <v>42879</v>
      </c>
      <c r="E599" t="s">
        <v>154</v>
      </c>
      <c r="F599" t="s">
        <v>155</v>
      </c>
      <c r="G599" t="s">
        <v>39</v>
      </c>
      <c r="H599" t="s">
        <v>39</v>
      </c>
      <c r="I599" t="s">
        <v>44</v>
      </c>
      <c r="J599" t="s">
        <v>1154</v>
      </c>
      <c r="K599" t="s">
        <v>157</v>
      </c>
      <c r="L599" s="19">
        <v>44131</v>
      </c>
      <c r="M599" s="19">
        <v>44158</v>
      </c>
      <c r="N599" s="27" t="s">
        <v>557</v>
      </c>
    </row>
    <row r="600" spans="1:14" x14ac:dyDescent="0.25">
      <c r="A600" s="38" t="str">
        <f>HYPERLINK("http://reports.ofsted.gov.uk/inspection-reports/find-inspection-report/provider/CARE/2517429","Ofsted Social Care Provider Webpage")</f>
        <v>Ofsted Social Care Provider Webpage</v>
      </c>
      <c r="B600" s="3">
        <v>2517429</v>
      </c>
      <c r="C600" t="s">
        <v>34</v>
      </c>
      <c r="D600" s="19">
        <v>43729</v>
      </c>
      <c r="E600" t="s">
        <v>154</v>
      </c>
      <c r="F600" t="s">
        <v>155</v>
      </c>
      <c r="G600" t="s">
        <v>87</v>
      </c>
      <c r="H600" t="s">
        <v>87</v>
      </c>
      <c r="I600" t="s">
        <v>88</v>
      </c>
      <c r="J600" t="s">
        <v>235</v>
      </c>
      <c r="K600" t="s">
        <v>157</v>
      </c>
      <c r="L600" s="19">
        <v>44131</v>
      </c>
      <c r="M600" s="19">
        <v>44155</v>
      </c>
      <c r="N600" s="27" t="s">
        <v>557</v>
      </c>
    </row>
    <row r="601" spans="1:14" x14ac:dyDescent="0.25">
      <c r="A601" s="38" t="str">
        <f>HYPERLINK("http://reports.ofsted.gov.uk/inspection-reports/find-inspection-report/provider/CARE/SC403462","Ofsted Social Care Provider Webpage")</f>
        <v>Ofsted Social Care Provider Webpage</v>
      </c>
      <c r="B601" s="3" t="s">
        <v>1155</v>
      </c>
      <c r="C601" t="s">
        <v>34</v>
      </c>
      <c r="D601" s="19">
        <v>40155</v>
      </c>
      <c r="E601" t="s">
        <v>154</v>
      </c>
      <c r="F601" t="s">
        <v>155</v>
      </c>
      <c r="G601" t="s">
        <v>87</v>
      </c>
      <c r="H601" t="s">
        <v>87</v>
      </c>
      <c r="I601" t="s">
        <v>93</v>
      </c>
      <c r="J601" t="s">
        <v>1156</v>
      </c>
      <c r="K601" t="s">
        <v>157</v>
      </c>
      <c r="L601" s="19">
        <v>44131</v>
      </c>
      <c r="M601" s="19">
        <v>44165</v>
      </c>
      <c r="N601" s="27" t="s">
        <v>557</v>
      </c>
    </row>
    <row r="602" spans="1:14" x14ac:dyDescent="0.25">
      <c r="A602" s="38" t="str">
        <f>HYPERLINK("http://reports.ofsted.gov.uk/inspection-reports/find-inspection-report/provider/CARE/SC025417","Ofsted Social Care Provider Webpage")</f>
        <v>Ofsted Social Care Provider Webpage</v>
      </c>
      <c r="B602" s="3" t="s">
        <v>1157</v>
      </c>
      <c r="C602" t="s">
        <v>34</v>
      </c>
      <c r="D602" s="19">
        <v>37071</v>
      </c>
      <c r="E602" t="s">
        <v>154</v>
      </c>
      <c r="F602" t="s">
        <v>155</v>
      </c>
      <c r="G602" t="s">
        <v>87</v>
      </c>
      <c r="H602" t="s">
        <v>87</v>
      </c>
      <c r="I602" t="s">
        <v>94</v>
      </c>
      <c r="J602" t="s">
        <v>633</v>
      </c>
      <c r="K602" t="s">
        <v>157</v>
      </c>
      <c r="L602" s="19">
        <v>44131</v>
      </c>
      <c r="M602" s="19">
        <v>44176</v>
      </c>
      <c r="N602" s="27" t="s">
        <v>557</v>
      </c>
    </row>
    <row r="603" spans="1:14" x14ac:dyDescent="0.25">
      <c r="A603" s="38" t="str">
        <f>HYPERLINK("http://reports.ofsted.gov.uk/inspection-reports/find-inspection-report/provider/CARE/SC014650","Ofsted Social Care Provider Webpage")</f>
        <v>Ofsted Social Care Provider Webpage</v>
      </c>
      <c r="B603" s="3" t="s">
        <v>1158</v>
      </c>
      <c r="C603" t="s">
        <v>34</v>
      </c>
      <c r="D603" s="19">
        <v>37073</v>
      </c>
      <c r="E603" t="s">
        <v>154</v>
      </c>
      <c r="F603" t="s">
        <v>155</v>
      </c>
      <c r="G603" t="s">
        <v>105</v>
      </c>
      <c r="H603" t="s">
        <v>105</v>
      </c>
      <c r="I603" t="s">
        <v>113</v>
      </c>
      <c r="J603" t="s">
        <v>796</v>
      </c>
      <c r="K603" t="s">
        <v>157</v>
      </c>
      <c r="L603" s="19">
        <v>44131</v>
      </c>
      <c r="M603" s="19">
        <v>44183</v>
      </c>
      <c r="N603" s="27" t="s">
        <v>557</v>
      </c>
    </row>
    <row r="604" spans="1:14" x14ac:dyDescent="0.25">
      <c r="A604" s="38" t="str">
        <f>HYPERLINK("http://reports.ofsted.gov.uk/inspection-reports/find-inspection-report/provider/CARE/SC448997","Ofsted Social Care Provider Webpage")</f>
        <v>Ofsted Social Care Provider Webpage</v>
      </c>
      <c r="B604" s="3" t="s">
        <v>1159</v>
      </c>
      <c r="C604" t="s">
        <v>34</v>
      </c>
      <c r="D604" s="19">
        <v>41066</v>
      </c>
      <c r="E604" t="s">
        <v>154</v>
      </c>
      <c r="F604" t="s">
        <v>155</v>
      </c>
      <c r="G604" t="s">
        <v>105</v>
      </c>
      <c r="H604" t="s">
        <v>105</v>
      </c>
      <c r="I604" t="s">
        <v>109</v>
      </c>
      <c r="J604" t="s">
        <v>322</v>
      </c>
      <c r="K604" t="s">
        <v>157</v>
      </c>
      <c r="L604" s="19">
        <v>44131</v>
      </c>
      <c r="M604" s="19">
        <v>44195</v>
      </c>
      <c r="N604" s="27" t="s">
        <v>557</v>
      </c>
    </row>
    <row r="605" spans="1:14" x14ac:dyDescent="0.25">
      <c r="A605" s="38" t="str">
        <f>HYPERLINK("http://reports.ofsted.gov.uk/inspection-reports/find-inspection-report/provider/CARE/SC066796","Ofsted Social Care Provider Webpage")</f>
        <v>Ofsted Social Care Provider Webpage</v>
      </c>
      <c r="B605" s="3" t="s">
        <v>1160</v>
      </c>
      <c r="C605" t="s">
        <v>34</v>
      </c>
      <c r="D605" s="19">
        <v>38754</v>
      </c>
      <c r="E605" t="s">
        <v>154</v>
      </c>
      <c r="F605" t="s">
        <v>155</v>
      </c>
      <c r="G605" t="s">
        <v>64</v>
      </c>
      <c r="H605" t="s">
        <v>164</v>
      </c>
      <c r="I605" t="s">
        <v>86</v>
      </c>
      <c r="J605" t="s">
        <v>86</v>
      </c>
      <c r="K605" t="s">
        <v>172</v>
      </c>
      <c r="L605" s="19">
        <v>44131</v>
      </c>
      <c r="M605" s="19">
        <v>44160</v>
      </c>
      <c r="N605" s="27" t="s">
        <v>557</v>
      </c>
    </row>
    <row r="606" spans="1:14" x14ac:dyDescent="0.25">
      <c r="A606" s="38" t="str">
        <f>HYPERLINK("http://reports.ofsted.gov.uk/inspection-reports/find-inspection-report/provider/CARE/SC066912","Ofsted Social Care Provider Webpage")</f>
        <v>Ofsted Social Care Provider Webpage</v>
      </c>
      <c r="B606" s="3" t="s">
        <v>1161</v>
      </c>
      <c r="C606" t="s">
        <v>34</v>
      </c>
      <c r="D606" s="19">
        <v>38862</v>
      </c>
      <c r="E606" t="s">
        <v>154</v>
      </c>
      <c r="F606" t="s">
        <v>155</v>
      </c>
      <c r="G606" t="s">
        <v>128</v>
      </c>
      <c r="H606" t="s">
        <v>128</v>
      </c>
      <c r="I606" t="s">
        <v>134</v>
      </c>
      <c r="J606" t="s">
        <v>934</v>
      </c>
      <c r="K606" t="s">
        <v>157</v>
      </c>
      <c r="L606" s="19">
        <v>44131</v>
      </c>
      <c r="M606" s="19">
        <v>44155</v>
      </c>
      <c r="N606" s="27" t="s">
        <v>557</v>
      </c>
    </row>
    <row r="607" spans="1:14" x14ac:dyDescent="0.25">
      <c r="A607" s="38" t="str">
        <f>HYPERLINK("http://reports.ofsted.gov.uk/inspection-reports/find-inspection-report/provider/CARE/1240803","Ofsted Social Care Provider Webpage")</f>
        <v>Ofsted Social Care Provider Webpage</v>
      </c>
      <c r="B607" s="3">
        <v>1240803</v>
      </c>
      <c r="C607" t="s">
        <v>34</v>
      </c>
      <c r="D607" s="19">
        <v>42625</v>
      </c>
      <c r="E607" t="s">
        <v>154</v>
      </c>
      <c r="F607" t="s">
        <v>155</v>
      </c>
      <c r="G607" t="s">
        <v>87</v>
      </c>
      <c r="H607" t="s">
        <v>87</v>
      </c>
      <c r="I607" t="s">
        <v>88</v>
      </c>
      <c r="J607" t="s">
        <v>996</v>
      </c>
      <c r="K607" t="s">
        <v>157</v>
      </c>
      <c r="L607" s="19">
        <v>44131</v>
      </c>
      <c r="M607" s="19">
        <v>44166</v>
      </c>
      <c r="N607" s="27" t="s">
        <v>557</v>
      </c>
    </row>
    <row r="608" spans="1:14" x14ac:dyDescent="0.25">
      <c r="A608" s="38" t="str">
        <f>HYPERLINK("http://reports.ofsted.gov.uk/inspection-reports/find-inspection-report/provider/CARE/SC489516","Ofsted Social Care Provider Webpage")</f>
        <v>Ofsted Social Care Provider Webpage</v>
      </c>
      <c r="B608" s="3" t="s">
        <v>1162</v>
      </c>
      <c r="C608" t="s">
        <v>34</v>
      </c>
      <c r="D608" s="19">
        <v>42151</v>
      </c>
      <c r="E608" t="s">
        <v>154</v>
      </c>
      <c r="F608" t="s">
        <v>155</v>
      </c>
      <c r="G608" t="s">
        <v>39</v>
      </c>
      <c r="H608" t="s">
        <v>39</v>
      </c>
      <c r="I608" t="s">
        <v>44</v>
      </c>
      <c r="J608" t="s">
        <v>1163</v>
      </c>
      <c r="K608" t="s">
        <v>157</v>
      </c>
      <c r="L608" s="19">
        <v>44131</v>
      </c>
      <c r="M608" s="19">
        <v>44154</v>
      </c>
      <c r="N608" s="27" t="s">
        <v>557</v>
      </c>
    </row>
    <row r="609" spans="1:14" x14ac:dyDescent="0.25">
      <c r="A609" s="38" t="str">
        <f>HYPERLINK("http://reports.ofsted.gov.uk/inspection-reports/find-inspection-report/provider/CARE/SC465475","Ofsted Social Care Provider Webpage")</f>
        <v>Ofsted Social Care Provider Webpage</v>
      </c>
      <c r="B609" s="3" t="s">
        <v>1164</v>
      </c>
      <c r="C609" t="s">
        <v>34</v>
      </c>
      <c r="D609" s="19">
        <v>41481</v>
      </c>
      <c r="E609" t="s">
        <v>154</v>
      </c>
      <c r="F609" t="s">
        <v>155</v>
      </c>
      <c r="G609" t="s">
        <v>64</v>
      </c>
      <c r="H609" t="s">
        <v>213</v>
      </c>
      <c r="I609" t="s">
        <v>76</v>
      </c>
      <c r="J609" t="s">
        <v>1165</v>
      </c>
      <c r="K609" t="s">
        <v>157</v>
      </c>
      <c r="L609" s="19">
        <v>44131</v>
      </c>
      <c r="M609" s="19">
        <v>44154</v>
      </c>
      <c r="N609" s="27" t="s">
        <v>557</v>
      </c>
    </row>
    <row r="610" spans="1:14" x14ac:dyDescent="0.25">
      <c r="A610" s="38" t="str">
        <f>HYPERLINK("http://reports.ofsted.gov.uk/inspection-reports/find-inspection-report/provider/CARE/SC407430","Ofsted Social Care Provider Webpage")</f>
        <v>Ofsted Social Care Provider Webpage</v>
      </c>
      <c r="B610" s="3" t="s">
        <v>1166</v>
      </c>
      <c r="C610" t="s">
        <v>34</v>
      </c>
      <c r="D610" s="19">
        <v>40290</v>
      </c>
      <c r="E610" t="s">
        <v>154</v>
      </c>
      <c r="F610" t="s">
        <v>155</v>
      </c>
      <c r="G610" t="s">
        <v>114</v>
      </c>
      <c r="H610" t="s">
        <v>114</v>
      </c>
      <c r="I610" t="s">
        <v>127</v>
      </c>
      <c r="J610" t="s">
        <v>156</v>
      </c>
      <c r="K610" t="s">
        <v>157</v>
      </c>
      <c r="L610" s="19">
        <v>44131</v>
      </c>
      <c r="M610" s="19">
        <v>44167</v>
      </c>
      <c r="N610" s="27" t="s">
        <v>557</v>
      </c>
    </row>
    <row r="611" spans="1:14" x14ac:dyDescent="0.25">
      <c r="A611" s="38" t="str">
        <f>HYPERLINK("http://reports.ofsted.gov.uk/inspection-reports/find-inspection-report/provider/CARE/SC060118","Ofsted Social Care Provider Webpage")</f>
        <v>Ofsted Social Care Provider Webpage</v>
      </c>
      <c r="B611" s="3" t="s">
        <v>1167</v>
      </c>
      <c r="C611" t="s">
        <v>34</v>
      </c>
      <c r="D611" s="19">
        <v>38070</v>
      </c>
      <c r="E611" t="s">
        <v>154</v>
      </c>
      <c r="F611" t="s">
        <v>155</v>
      </c>
      <c r="G611" t="s">
        <v>114</v>
      </c>
      <c r="H611" t="s">
        <v>114</v>
      </c>
      <c r="I611" t="s">
        <v>127</v>
      </c>
      <c r="J611" t="s">
        <v>245</v>
      </c>
      <c r="K611" t="s">
        <v>157</v>
      </c>
      <c r="L611" s="19">
        <v>44131</v>
      </c>
      <c r="M611" s="19">
        <v>44154</v>
      </c>
      <c r="N611" s="27" t="s">
        <v>557</v>
      </c>
    </row>
    <row r="612" spans="1:14" x14ac:dyDescent="0.25">
      <c r="A612" s="38" t="str">
        <f>HYPERLINK("http://reports.ofsted.gov.uk/inspection-reports/find-inspection-report/provider/CARE/SC020193","Ofsted Social Care Provider Webpage")</f>
        <v>Ofsted Social Care Provider Webpage</v>
      </c>
      <c r="B612" s="3" t="s">
        <v>1168</v>
      </c>
      <c r="C612" t="s">
        <v>36</v>
      </c>
      <c r="D612" s="19">
        <v>36920</v>
      </c>
      <c r="E612" t="s">
        <v>154</v>
      </c>
      <c r="F612" t="s">
        <v>155</v>
      </c>
      <c r="G612" t="s">
        <v>39</v>
      </c>
      <c r="H612" t="s">
        <v>39</v>
      </c>
      <c r="I612" t="s">
        <v>41</v>
      </c>
      <c r="J612" t="s">
        <v>484</v>
      </c>
      <c r="K612" t="s">
        <v>157</v>
      </c>
      <c r="L612" s="19">
        <v>44131</v>
      </c>
      <c r="M612" s="19">
        <v>44154</v>
      </c>
      <c r="N612" s="27" t="s">
        <v>557</v>
      </c>
    </row>
    <row r="613" spans="1:14" x14ac:dyDescent="0.25">
      <c r="A613" s="38" t="str">
        <f>HYPERLINK("http://reports.ofsted.gov.uk/inspection-reports/find-inspection-report/provider/CARE/SC457501","Ofsted Social Care Provider Webpage")</f>
        <v>Ofsted Social Care Provider Webpage</v>
      </c>
      <c r="B613" s="3" t="s">
        <v>1169</v>
      </c>
      <c r="C613" t="s">
        <v>34</v>
      </c>
      <c r="D613" s="19">
        <v>41347</v>
      </c>
      <c r="E613" t="s">
        <v>154</v>
      </c>
      <c r="F613" t="s">
        <v>155</v>
      </c>
      <c r="G613" t="s">
        <v>114</v>
      </c>
      <c r="H613" t="s">
        <v>114</v>
      </c>
      <c r="I613" t="s">
        <v>117</v>
      </c>
      <c r="J613" t="s">
        <v>997</v>
      </c>
      <c r="K613" t="s">
        <v>157</v>
      </c>
      <c r="L613" s="19">
        <v>44131</v>
      </c>
      <c r="M613" s="19">
        <v>44159</v>
      </c>
      <c r="N613" s="27" t="s">
        <v>557</v>
      </c>
    </row>
    <row r="614" spans="1:14" x14ac:dyDescent="0.25">
      <c r="A614" s="38" t="str">
        <f>HYPERLINK("http://reports.ofsted.gov.uk/inspection-reports/find-inspection-report/provider/CARE/SC020133","Ofsted Social Care Provider Webpage")</f>
        <v>Ofsted Social Care Provider Webpage</v>
      </c>
      <c r="B614" s="3" t="s">
        <v>1170</v>
      </c>
      <c r="C614" t="s">
        <v>34</v>
      </c>
      <c r="D614" s="19">
        <v>35607</v>
      </c>
      <c r="E614" t="s">
        <v>154</v>
      </c>
      <c r="F614" t="s">
        <v>155</v>
      </c>
      <c r="G614" t="s">
        <v>39</v>
      </c>
      <c r="H614" t="s">
        <v>39</v>
      </c>
      <c r="I614" t="s">
        <v>41</v>
      </c>
      <c r="J614" t="s">
        <v>1171</v>
      </c>
      <c r="K614" t="s">
        <v>157</v>
      </c>
      <c r="L614" s="19">
        <v>44131</v>
      </c>
      <c r="M614" s="19">
        <v>44162</v>
      </c>
      <c r="N614" s="27" t="s">
        <v>557</v>
      </c>
    </row>
    <row r="615" spans="1:14" x14ac:dyDescent="0.25">
      <c r="A615" s="38" t="str">
        <f>HYPERLINK("http://reports.ofsted.gov.uk/inspection-reports/find-inspection-report/provider/CARE/SC001016","Ofsted Social Care Provider Webpage")</f>
        <v>Ofsted Social Care Provider Webpage</v>
      </c>
      <c r="B615" s="3" t="s">
        <v>1172</v>
      </c>
      <c r="C615" t="s">
        <v>34</v>
      </c>
      <c r="D615" s="19">
        <v>36943</v>
      </c>
      <c r="E615" t="s">
        <v>154</v>
      </c>
      <c r="F615" t="s">
        <v>155</v>
      </c>
      <c r="G615" t="s">
        <v>64</v>
      </c>
      <c r="H615" t="s">
        <v>164</v>
      </c>
      <c r="I615" t="s">
        <v>67</v>
      </c>
      <c r="J615" t="s">
        <v>182</v>
      </c>
      <c r="K615" t="s">
        <v>157</v>
      </c>
      <c r="L615" s="19">
        <v>44131</v>
      </c>
      <c r="M615" s="19">
        <v>44168</v>
      </c>
      <c r="N615" s="27" t="s">
        <v>557</v>
      </c>
    </row>
    <row r="616" spans="1:14" x14ac:dyDescent="0.25">
      <c r="A616" s="38" t="str">
        <f>HYPERLINK("http://reports.ofsted.gov.uk/inspection-reports/find-inspection-report/provider/CARE/SC472977","Ofsted Social Care Provider Webpage")</f>
        <v>Ofsted Social Care Provider Webpage</v>
      </c>
      <c r="B616" s="3" t="s">
        <v>1173</v>
      </c>
      <c r="C616" t="s">
        <v>34</v>
      </c>
      <c r="D616" s="19">
        <v>41669</v>
      </c>
      <c r="E616" t="s">
        <v>154</v>
      </c>
      <c r="F616" t="s">
        <v>155</v>
      </c>
      <c r="G616" t="s">
        <v>64</v>
      </c>
      <c r="H616" t="s">
        <v>164</v>
      </c>
      <c r="I616" t="s">
        <v>66</v>
      </c>
      <c r="J616" t="s">
        <v>283</v>
      </c>
      <c r="K616" t="s">
        <v>172</v>
      </c>
      <c r="L616" s="19">
        <v>44131</v>
      </c>
      <c r="M616" s="19">
        <v>44223</v>
      </c>
      <c r="N616" s="27" t="s">
        <v>559</v>
      </c>
    </row>
    <row r="617" spans="1:14" x14ac:dyDescent="0.25">
      <c r="A617" s="38" t="str">
        <f>HYPERLINK("http://reports.ofsted.gov.uk/inspection-reports/find-inspection-report/provider/CARE/SC475723","Ofsted Social Care Provider Webpage")</f>
        <v>Ofsted Social Care Provider Webpage</v>
      </c>
      <c r="B617" s="3" t="s">
        <v>1174</v>
      </c>
      <c r="C617" t="s">
        <v>34</v>
      </c>
      <c r="D617" s="19">
        <v>41991</v>
      </c>
      <c r="E617" t="s">
        <v>154</v>
      </c>
      <c r="F617" t="s">
        <v>155</v>
      </c>
      <c r="G617" t="s">
        <v>87</v>
      </c>
      <c r="H617" t="s">
        <v>87</v>
      </c>
      <c r="I617" t="s">
        <v>93</v>
      </c>
      <c r="J617" t="s">
        <v>398</v>
      </c>
      <c r="K617" t="s">
        <v>157</v>
      </c>
      <c r="L617" s="19">
        <v>44131</v>
      </c>
      <c r="M617" s="19">
        <v>44166</v>
      </c>
      <c r="N617" s="27" t="s">
        <v>557</v>
      </c>
    </row>
    <row r="618" spans="1:14" x14ac:dyDescent="0.25">
      <c r="A618" s="38" t="str">
        <f>HYPERLINK("http://reports.ofsted.gov.uk/inspection-reports/find-inspection-report/provider/CARE/2510328","Ofsted Social Care Provider Webpage")</f>
        <v>Ofsted Social Care Provider Webpage</v>
      </c>
      <c r="B618" s="3">
        <v>2510328</v>
      </c>
      <c r="C618" t="s">
        <v>34</v>
      </c>
      <c r="D618" s="19">
        <v>43585</v>
      </c>
      <c r="E618" t="s">
        <v>154</v>
      </c>
      <c r="F618" t="s">
        <v>155</v>
      </c>
      <c r="G618" t="s">
        <v>128</v>
      </c>
      <c r="H618" t="s">
        <v>128</v>
      </c>
      <c r="I618" t="s">
        <v>129</v>
      </c>
      <c r="J618" t="s">
        <v>388</v>
      </c>
      <c r="K618" t="s">
        <v>157</v>
      </c>
      <c r="L618" s="19">
        <v>44132</v>
      </c>
      <c r="M618" s="19">
        <v>44175</v>
      </c>
      <c r="N618" s="27" t="s">
        <v>559</v>
      </c>
    </row>
    <row r="619" spans="1:14" x14ac:dyDescent="0.25">
      <c r="A619" s="38" t="str">
        <f>HYPERLINK("http://reports.ofsted.gov.uk/inspection-reports/find-inspection-report/provider/CARE/2580899","Ofsted Social Care Provider Webpage")</f>
        <v>Ofsted Social Care Provider Webpage</v>
      </c>
      <c r="B619" s="3">
        <v>2580899</v>
      </c>
      <c r="C619" t="s">
        <v>34</v>
      </c>
      <c r="D619" s="19">
        <v>43956</v>
      </c>
      <c r="E619" t="s">
        <v>154</v>
      </c>
      <c r="F619" t="s">
        <v>155</v>
      </c>
      <c r="G619" t="s">
        <v>64</v>
      </c>
      <c r="H619" t="s">
        <v>213</v>
      </c>
      <c r="I619" t="s">
        <v>81</v>
      </c>
      <c r="J619" t="s">
        <v>291</v>
      </c>
      <c r="K619" t="s">
        <v>157</v>
      </c>
      <c r="L619" s="19">
        <v>44132</v>
      </c>
      <c r="M619" s="19">
        <v>44183</v>
      </c>
      <c r="N619" s="27" t="s">
        <v>557</v>
      </c>
    </row>
    <row r="620" spans="1:14" x14ac:dyDescent="0.25">
      <c r="A620" s="38" t="str">
        <f>HYPERLINK("http://reports.ofsted.gov.uk/inspection-reports/find-inspection-report/provider/CARE/SC062013","Ofsted Social Care Provider Webpage")</f>
        <v>Ofsted Social Care Provider Webpage</v>
      </c>
      <c r="B620" s="3" t="s">
        <v>1178</v>
      </c>
      <c r="C620" t="s">
        <v>34</v>
      </c>
      <c r="D620" s="19">
        <v>38238</v>
      </c>
      <c r="E620" t="s">
        <v>154</v>
      </c>
      <c r="F620" t="s">
        <v>155</v>
      </c>
      <c r="G620" t="s">
        <v>87</v>
      </c>
      <c r="H620" t="s">
        <v>87</v>
      </c>
      <c r="I620" t="s">
        <v>570</v>
      </c>
      <c r="J620" t="s">
        <v>571</v>
      </c>
      <c r="K620" t="s">
        <v>157</v>
      </c>
      <c r="L620" s="19">
        <v>44132</v>
      </c>
      <c r="M620" s="19">
        <v>44165</v>
      </c>
      <c r="N620" s="27" t="s">
        <v>557</v>
      </c>
    </row>
    <row r="621" spans="1:14" x14ac:dyDescent="0.25">
      <c r="A621" s="38" t="str">
        <f>HYPERLINK("http://reports.ofsted.gov.uk/inspection-reports/find-inspection-report/provider/CARE/SC469761","Ofsted Social Care Provider Webpage")</f>
        <v>Ofsted Social Care Provider Webpage</v>
      </c>
      <c r="B621" s="3" t="s">
        <v>1179</v>
      </c>
      <c r="C621" t="s">
        <v>34</v>
      </c>
      <c r="D621" s="19">
        <v>41567</v>
      </c>
      <c r="E621" t="s">
        <v>154</v>
      </c>
      <c r="F621" t="s">
        <v>155</v>
      </c>
      <c r="G621" t="s">
        <v>128</v>
      </c>
      <c r="H621" t="s">
        <v>128</v>
      </c>
      <c r="I621" t="s">
        <v>136</v>
      </c>
      <c r="J621" t="s">
        <v>779</v>
      </c>
      <c r="K621" t="s">
        <v>157</v>
      </c>
      <c r="L621" s="19">
        <v>44132</v>
      </c>
      <c r="M621" s="19">
        <v>44173</v>
      </c>
      <c r="N621" s="27" t="s">
        <v>557</v>
      </c>
    </row>
    <row r="622" spans="1:14" x14ac:dyDescent="0.25">
      <c r="A622" s="38" t="str">
        <f>HYPERLINK("http://reports.ofsted.gov.uk/inspection-reports/find-inspection-report/provider/CARE/2550622","Ofsted Social Care Provider Webpage")</f>
        <v>Ofsted Social Care Provider Webpage</v>
      </c>
      <c r="B622" s="3">
        <v>2550622</v>
      </c>
      <c r="C622" t="s">
        <v>34</v>
      </c>
      <c r="D622" s="19">
        <v>43983</v>
      </c>
      <c r="E622" t="s">
        <v>154</v>
      </c>
      <c r="F622" t="s">
        <v>155</v>
      </c>
      <c r="G622" t="s">
        <v>87</v>
      </c>
      <c r="H622" t="s">
        <v>87</v>
      </c>
      <c r="I622" t="s">
        <v>96</v>
      </c>
      <c r="J622" t="s">
        <v>160</v>
      </c>
      <c r="K622" t="s">
        <v>157</v>
      </c>
      <c r="L622" s="19">
        <v>44132</v>
      </c>
      <c r="M622" s="19">
        <v>44173</v>
      </c>
      <c r="N622" s="27" t="s">
        <v>559</v>
      </c>
    </row>
    <row r="623" spans="1:14" x14ac:dyDescent="0.25">
      <c r="A623" s="38" t="str">
        <f>HYPERLINK("http://reports.ofsted.gov.uk/inspection-reports/find-inspection-report/provider/CARE/1263126","Ofsted Social Care Provider Webpage")</f>
        <v>Ofsted Social Care Provider Webpage</v>
      </c>
      <c r="B623" s="3">
        <v>1263126</v>
      </c>
      <c r="C623" t="s">
        <v>34</v>
      </c>
      <c r="D623" s="19">
        <v>42951</v>
      </c>
      <c r="E623" t="s">
        <v>154</v>
      </c>
      <c r="F623" t="s">
        <v>155</v>
      </c>
      <c r="G623" t="s">
        <v>87</v>
      </c>
      <c r="H623" t="s">
        <v>87</v>
      </c>
      <c r="I623" t="s">
        <v>92</v>
      </c>
      <c r="J623" t="s">
        <v>866</v>
      </c>
      <c r="K623" t="s">
        <v>157</v>
      </c>
      <c r="L623" s="19">
        <v>44132</v>
      </c>
      <c r="M623" s="19">
        <v>44165</v>
      </c>
      <c r="N623" s="27" t="s">
        <v>557</v>
      </c>
    </row>
    <row r="624" spans="1:14" x14ac:dyDescent="0.25">
      <c r="A624" s="38" t="str">
        <f>HYPERLINK("http://reports.ofsted.gov.uk/inspection-reports/find-inspection-report/provider/CARE/1257182","Ofsted Social Care Provider Webpage")</f>
        <v>Ofsted Social Care Provider Webpage</v>
      </c>
      <c r="B624" s="3">
        <v>1257182</v>
      </c>
      <c r="C624" t="s">
        <v>34</v>
      </c>
      <c r="D624" s="19">
        <v>42971</v>
      </c>
      <c r="E624" t="s">
        <v>154</v>
      </c>
      <c r="F624" t="s">
        <v>155</v>
      </c>
      <c r="G624" t="s">
        <v>57</v>
      </c>
      <c r="H624" t="s">
        <v>57</v>
      </c>
      <c r="I624" t="s">
        <v>666</v>
      </c>
      <c r="J624" t="s">
        <v>1180</v>
      </c>
      <c r="K624" t="s">
        <v>157</v>
      </c>
      <c r="L624" s="19">
        <v>44132</v>
      </c>
      <c r="M624" s="19">
        <v>44167</v>
      </c>
      <c r="N624" s="27" t="s">
        <v>557</v>
      </c>
    </row>
    <row r="625" spans="1:14" x14ac:dyDescent="0.25">
      <c r="A625" s="38" t="str">
        <f>HYPERLINK("http://reports.ofsted.gov.uk/inspection-reports/find-inspection-report/provider/CARE/1271607","Ofsted Social Care Provider Webpage")</f>
        <v>Ofsted Social Care Provider Webpage</v>
      </c>
      <c r="B625" s="3">
        <v>1271607</v>
      </c>
      <c r="C625" t="s">
        <v>532</v>
      </c>
      <c r="D625" s="19">
        <v>43238</v>
      </c>
      <c r="E625" t="s">
        <v>154</v>
      </c>
      <c r="F625" t="s">
        <v>155</v>
      </c>
      <c r="G625" t="s">
        <v>128</v>
      </c>
      <c r="H625" t="s">
        <v>128</v>
      </c>
      <c r="I625" t="s">
        <v>134</v>
      </c>
      <c r="J625" t="s">
        <v>625</v>
      </c>
      <c r="K625" t="s">
        <v>157</v>
      </c>
      <c r="L625" s="19">
        <v>44132</v>
      </c>
      <c r="M625" s="19">
        <v>44154</v>
      </c>
      <c r="N625" s="27" t="s">
        <v>557</v>
      </c>
    </row>
    <row r="626" spans="1:14" x14ac:dyDescent="0.25">
      <c r="A626" s="38" t="str">
        <f>HYPERLINK("http://reports.ofsted.gov.uk/inspection-reports/find-inspection-report/provider/CARE/SC456729","Ofsted Social Care Provider Webpage")</f>
        <v>Ofsted Social Care Provider Webpage</v>
      </c>
      <c r="B626" s="3" t="s">
        <v>1181</v>
      </c>
      <c r="C626" t="s">
        <v>34</v>
      </c>
      <c r="D626" s="19">
        <v>41319</v>
      </c>
      <c r="E626" t="s">
        <v>154</v>
      </c>
      <c r="F626" t="s">
        <v>155</v>
      </c>
      <c r="G626" t="s">
        <v>87</v>
      </c>
      <c r="H626" t="s">
        <v>87</v>
      </c>
      <c r="I626" t="s">
        <v>562</v>
      </c>
      <c r="J626" t="s">
        <v>562</v>
      </c>
      <c r="K626" t="s">
        <v>157</v>
      </c>
      <c r="L626" s="19">
        <v>44132</v>
      </c>
      <c r="M626" s="19">
        <v>44173</v>
      </c>
      <c r="N626" s="27" t="s">
        <v>557</v>
      </c>
    </row>
    <row r="627" spans="1:14" x14ac:dyDescent="0.25">
      <c r="A627" s="38" t="str">
        <f>HYPERLINK("http://reports.ofsted.gov.uk/inspection-reports/find-inspection-report/provider/CARE/SC022437","Ofsted Social Care Provider Webpage")</f>
        <v>Ofsted Social Care Provider Webpage</v>
      </c>
      <c r="B627" s="3" t="s">
        <v>1182</v>
      </c>
      <c r="C627" t="s">
        <v>34</v>
      </c>
      <c r="D627" s="19">
        <v>37092</v>
      </c>
      <c r="E627" t="s">
        <v>154</v>
      </c>
      <c r="F627" t="s">
        <v>155</v>
      </c>
      <c r="G627" t="s">
        <v>87</v>
      </c>
      <c r="H627" t="s">
        <v>87</v>
      </c>
      <c r="I627" t="s">
        <v>99</v>
      </c>
      <c r="J627" t="s">
        <v>180</v>
      </c>
      <c r="K627" t="s">
        <v>157</v>
      </c>
      <c r="L627" s="19">
        <v>44132</v>
      </c>
      <c r="M627" s="19">
        <v>44175</v>
      </c>
      <c r="N627" s="27" t="s">
        <v>559</v>
      </c>
    </row>
    <row r="628" spans="1:14" x14ac:dyDescent="0.25">
      <c r="A628" s="38" t="str">
        <f>HYPERLINK("http://reports.ofsted.gov.uk/inspection-reports/find-inspection-report/provider/CARE/SC453726","Ofsted Social Care Provider Webpage")</f>
        <v>Ofsted Social Care Provider Webpage</v>
      </c>
      <c r="B628" s="3" t="s">
        <v>1183</v>
      </c>
      <c r="C628" t="s">
        <v>34</v>
      </c>
      <c r="D628" s="19">
        <v>41215</v>
      </c>
      <c r="E628" t="s">
        <v>154</v>
      </c>
      <c r="F628" t="s">
        <v>155</v>
      </c>
      <c r="G628" t="s">
        <v>128</v>
      </c>
      <c r="H628" t="s">
        <v>128</v>
      </c>
      <c r="I628" t="s">
        <v>129</v>
      </c>
      <c r="J628" t="s">
        <v>475</v>
      </c>
      <c r="K628" t="s">
        <v>157</v>
      </c>
      <c r="L628" s="19">
        <v>44132</v>
      </c>
      <c r="M628" s="19">
        <v>44175</v>
      </c>
      <c r="N628" s="27" t="s">
        <v>557</v>
      </c>
    </row>
    <row r="629" spans="1:14" x14ac:dyDescent="0.25">
      <c r="A629" s="38" t="str">
        <f>HYPERLINK("http://reports.ofsted.gov.uk/inspection-reports/find-inspection-report/provider/CARE/1277045","Ofsted Social Care Provider Webpage")</f>
        <v>Ofsted Social Care Provider Webpage</v>
      </c>
      <c r="B629" s="3">
        <v>1277045</v>
      </c>
      <c r="C629" t="s">
        <v>34</v>
      </c>
      <c r="D629" s="19">
        <v>43315</v>
      </c>
      <c r="E629" t="s">
        <v>154</v>
      </c>
      <c r="F629" t="s">
        <v>155</v>
      </c>
      <c r="G629" t="s">
        <v>114</v>
      </c>
      <c r="H629" t="s">
        <v>114</v>
      </c>
      <c r="I629" t="s">
        <v>117</v>
      </c>
      <c r="J629" t="s">
        <v>523</v>
      </c>
      <c r="K629" t="s">
        <v>157</v>
      </c>
      <c r="L629" s="19">
        <v>44132</v>
      </c>
      <c r="M629" s="19">
        <v>44174</v>
      </c>
      <c r="N629" s="27" t="s">
        <v>557</v>
      </c>
    </row>
    <row r="630" spans="1:14" x14ac:dyDescent="0.25">
      <c r="A630" s="38" t="str">
        <f>HYPERLINK("http://reports.ofsted.gov.uk/inspection-reports/find-inspection-report/provider/CARE/SC441865","Ofsted Social Care Provider Webpage")</f>
        <v>Ofsted Social Care Provider Webpage</v>
      </c>
      <c r="B630" s="3" t="s">
        <v>1184</v>
      </c>
      <c r="C630" t="s">
        <v>34</v>
      </c>
      <c r="D630" s="19">
        <v>41119</v>
      </c>
      <c r="E630" t="s">
        <v>154</v>
      </c>
      <c r="F630" t="s">
        <v>155</v>
      </c>
      <c r="G630" t="s">
        <v>39</v>
      </c>
      <c r="H630" t="s">
        <v>39</v>
      </c>
      <c r="I630" t="s">
        <v>46</v>
      </c>
      <c r="J630" t="s">
        <v>574</v>
      </c>
      <c r="K630" t="s">
        <v>168</v>
      </c>
      <c r="L630" s="19">
        <v>44132</v>
      </c>
      <c r="M630" s="19">
        <v>44166</v>
      </c>
      <c r="N630" s="27" t="s">
        <v>557</v>
      </c>
    </row>
    <row r="631" spans="1:14" x14ac:dyDescent="0.25">
      <c r="A631" s="38" t="str">
        <f>HYPERLINK("http://reports.ofsted.gov.uk/inspection-reports/find-inspection-report/provider/CARE/SC474543","Ofsted Social Care Provider Webpage")</f>
        <v>Ofsted Social Care Provider Webpage</v>
      </c>
      <c r="B631" s="3" t="s">
        <v>1185</v>
      </c>
      <c r="C631" t="s">
        <v>34</v>
      </c>
      <c r="D631" s="19">
        <v>41696</v>
      </c>
      <c r="E631" t="s">
        <v>154</v>
      </c>
      <c r="F631" t="s">
        <v>155</v>
      </c>
      <c r="G631" t="s">
        <v>57</v>
      </c>
      <c r="H631" t="s">
        <v>57</v>
      </c>
      <c r="I631" t="s">
        <v>669</v>
      </c>
      <c r="J631" t="s">
        <v>1186</v>
      </c>
      <c r="K631" t="s">
        <v>524</v>
      </c>
      <c r="L631" s="19">
        <v>44132</v>
      </c>
      <c r="M631" s="19">
        <v>44183</v>
      </c>
      <c r="N631" s="27" t="s">
        <v>557</v>
      </c>
    </row>
    <row r="632" spans="1:14" x14ac:dyDescent="0.25">
      <c r="A632" s="38" t="str">
        <f>HYPERLINK("http://reports.ofsted.gov.uk/inspection-reports/find-inspection-report/provider/CARE/SC400219","Ofsted Social Care Provider Webpage")</f>
        <v>Ofsted Social Care Provider Webpage</v>
      </c>
      <c r="B632" s="3" t="s">
        <v>1187</v>
      </c>
      <c r="C632" t="s">
        <v>34</v>
      </c>
      <c r="D632" s="19">
        <v>40144</v>
      </c>
      <c r="E632" t="s">
        <v>154</v>
      </c>
      <c r="F632" t="s">
        <v>155</v>
      </c>
      <c r="G632" t="s">
        <v>87</v>
      </c>
      <c r="H632" t="s">
        <v>87</v>
      </c>
      <c r="I632" t="s">
        <v>93</v>
      </c>
      <c r="J632" t="s">
        <v>623</v>
      </c>
      <c r="K632" t="s">
        <v>157</v>
      </c>
      <c r="L632" s="19">
        <v>44132</v>
      </c>
      <c r="M632" s="19">
        <v>44165</v>
      </c>
      <c r="N632" s="27" t="s">
        <v>557</v>
      </c>
    </row>
    <row r="633" spans="1:14" x14ac:dyDescent="0.25">
      <c r="A633" s="38" t="str">
        <f>HYPERLINK("http://reports.ofsted.gov.uk/inspection-reports/find-inspection-report/provider/CARE/SC486167","Ofsted Social Care Provider Webpage")</f>
        <v>Ofsted Social Care Provider Webpage</v>
      </c>
      <c r="B633" s="3" t="s">
        <v>1188</v>
      </c>
      <c r="C633" t="s">
        <v>34</v>
      </c>
      <c r="D633" s="19">
        <v>42053</v>
      </c>
      <c r="E633" t="s">
        <v>154</v>
      </c>
      <c r="F633" t="s">
        <v>155</v>
      </c>
      <c r="G633" t="s">
        <v>114</v>
      </c>
      <c r="H633" t="s">
        <v>114</v>
      </c>
      <c r="I633" t="s">
        <v>122</v>
      </c>
      <c r="J633" t="s">
        <v>188</v>
      </c>
      <c r="K633" t="s">
        <v>157</v>
      </c>
      <c r="L633" s="19">
        <v>44132</v>
      </c>
      <c r="M633" s="19">
        <v>44168</v>
      </c>
      <c r="N633" s="27" t="s">
        <v>557</v>
      </c>
    </row>
    <row r="634" spans="1:14" x14ac:dyDescent="0.25">
      <c r="A634" s="38" t="str">
        <f>HYPERLINK("http://reports.ofsted.gov.uk/inspection-reports/find-inspection-report/provider/CARE/1244386","Ofsted Social Care Provider Webpage")</f>
        <v>Ofsted Social Care Provider Webpage</v>
      </c>
      <c r="B634" s="3">
        <v>1244386</v>
      </c>
      <c r="C634" t="s">
        <v>34</v>
      </c>
      <c r="D634" s="19">
        <v>42894</v>
      </c>
      <c r="E634" t="s">
        <v>154</v>
      </c>
      <c r="F634" t="s">
        <v>155</v>
      </c>
      <c r="G634" t="s">
        <v>57</v>
      </c>
      <c r="H634" t="s">
        <v>57</v>
      </c>
      <c r="I634" t="s">
        <v>672</v>
      </c>
      <c r="J634" t="s">
        <v>1189</v>
      </c>
      <c r="K634" t="s">
        <v>157</v>
      </c>
      <c r="L634" s="19">
        <v>44132</v>
      </c>
      <c r="M634" s="19">
        <v>44207</v>
      </c>
      <c r="N634" s="27" t="s">
        <v>557</v>
      </c>
    </row>
    <row r="635" spans="1:14" x14ac:dyDescent="0.25">
      <c r="A635" s="38" t="str">
        <f>HYPERLINK("http://reports.ofsted.gov.uk/inspection-reports/find-inspection-report/provider/CARE/SC476512","Ofsted Social Care Provider Webpage")</f>
        <v>Ofsted Social Care Provider Webpage</v>
      </c>
      <c r="B635" s="3" t="s">
        <v>1190</v>
      </c>
      <c r="C635" t="s">
        <v>34</v>
      </c>
      <c r="D635" s="19">
        <v>41793</v>
      </c>
      <c r="E635" t="s">
        <v>154</v>
      </c>
      <c r="F635" t="s">
        <v>155</v>
      </c>
      <c r="G635" t="s">
        <v>64</v>
      </c>
      <c r="H635" t="s">
        <v>213</v>
      </c>
      <c r="I635" t="s">
        <v>81</v>
      </c>
      <c r="J635" t="s">
        <v>1096</v>
      </c>
      <c r="K635" t="s">
        <v>157</v>
      </c>
      <c r="L635" s="19">
        <v>44132</v>
      </c>
      <c r="M635" s="19">
        <v>44173</v>
      </c>
      <c r="N635" s="27" t="s">
        <v>557</v>
      </c>
    </row>
    <row r="636" spans="1:14" x14ac:dyDescent="0.25">
      <c r="A636" s="38" t="str">
        <f>HYPERLINK("http://reports.ofsted.gov.uk/inspection-reports/find-inspection-report/provider/CARE/SC063673","Ofsted Social Care Provider Webpage")</f>
        <v>Ofsted Social Care Provider Webpage</v>
      </c>
      <c r="B636" s="3" t="s">
        <v>1197</v>
      </c>
      <c r="C636" t="s">
        <v>34</v>
      </c>
      <c r="D636" s="19">
        <v>38404</v>
      </c>
      <c r="E636" t="s">
        <v>154</v>
      </c>
      <c r="F636" t="s">
        <v>155</v>
      </c>
      <c r="G636" t="s">
        <v>87</v>
      </c>
      <c r="H636" t="s">
        <v>87</v>
      </c>
      <c r="I636" t="s">
        <v>570</v>
      </c>
      <c r="J636" t="s">
        <v>571</v>
      </c>
      <c r="K636" t="s">
        <v>157</v>
      </c>
      <c r="L636" s="19">
        <v>44133</v>
      </c>
      <c r="M636" s="19">
        <v>44169</v>
      </c>
      <c r="N636" s="27" t="s">
        <v>557</v>
      </c>
    </row>
    <row r="637" spans="1:14" x14ac:dyDescent="0.25">
      <c r="A637" s="38" t="str">
        <f>HYPERLINK("http://reports.ofsted.gov.uk/inspection-reports/find-inspection-report/provider/CARE/2528486","Ofsted Social Care Provider Webpage")</f>
        <v>Ofsted Social Care Provider Webpage</v>
      </c>
      <c r="B637" s="3">
        <v>2528486</v>
      </c>
      <c r="C637" t="s">
        <v>34</v>
      </c>
      <c r="D637" s="19">
        <v>43587</v>
      </c>
      <c r="E637" t="s">
        <v>154</v>
      </c>
      <c r="F637" t="s">
        <v>155</v>
      </c>
      <c r="G637" t="s">
        <v>114</v>
      </c>
      <c r="H637" t="s">
        <v>114</v>
      </c>
      <c r="I637" t="s">
        <v>118</v>
      </c>
      <c r="J637" t="s">
        <v>636</v>
      </c>
      <c r="K637" t="s">
        <v>157</v>
      </c>
      <c r="L637" s="19">
        <v>44133</v>
      </c>
      <c r="M637" s="19">
        <v>44169</v>
      </c>
      <c r="N637" s="27" t="s">
        <v>559</v>
      </c>
    </row>
    <row r="638" spans="1:14" x14ac:dyDescent="0.25">
      <c r="A638" s="38" t="str">
        <f>HYPERLINK("http://reports.ofsted.gov.uk/inspection-reports/find-inspection-report/provider/CARE/2535887","Ofsted Social Care Provider Webpage")</f>
        <v>Ofsted Social Care Provider Webpage</v>
      </c>
      <c r="B638" s="3">
        <v>2535887</v>
      </c>
      <c r="C638" t="s">
        <v>34</v>
      </c>
      <c r="D638" s="19">
        <v>43679</v>
      </c>
      <c r="E638" t="s">
        <v>154</v>
      </c>
      <c r="F638" t="s">
        <v>155</v>
      </c>
      <c r="G638" t="s">
        <v>57</v>
      </c>
      <c r="H638" t="s">
        <v>57</v>
      </c>
      <c r="I638" t="s">
        <v>677</v>
      </c>
      <c r="J638" t="s">
        <v>1198</v>
      </c>
      <c r="K638" t="s">
        <v>157</v>
      </c>
      <c r="L638" s="19">
        <v>44133</v>
      </c>
      <c r="M638" s="19">
        <v>44166</v>
      </c>
      <c r="N638" s="27" t="s">
        <v>557</v>
      </c>
    </row>
    <row r="639" spans="1:14" x14ac:dyDescent="0.25">
      <c r="A639" s="38" t="str">
        <f>HYPERLINK("http://reports.ofsted.gov.uk/inspection-reports/find-inspection-report/provider/CARE/2575432","Ofsted Social Care Provider Webpage")</f>
        <v>Ofsted Social Care Provider Webpage</v>
      </c>
      <c r="B639" s="3">
        <v>2575432</v>
      </c>
      <c r="C639" t="s">
        <v>34</v>
      </c>
      <c r="D639" s="19">
        <v>43952</v>
      </c>
      <c r="E639" t="s">
        <v>154</v>
      </c>
      <c r="F639" t="s">
        <v>155</v>
      </c>
      <c r="G639" t="s">
        <v>87</v>
      </c>
      <c r="H639" t="s">
        <v>87</v>
      </c>
      <c r="I639" t="s">
        <v>103</v>
      </c>
      <c r="J639" t="s">
        <v>1199</v>
      </c>
      <c r="K639" t="s">
        <v>157</v>
      </c>
      <c r="L639" s="19">
        <v>44133</v>
      </c>
      <c r="M639" s="19">
        <v>44201</v>
      </c>
      <c r="N639" s="27" t="s">
        <v>559</v>
      </c>
    </row>
    <row r="640" spans="1:14" x14ac:dyDescent="0.25">
      <c r="A640" s="38" t="str">
        <f>HYPERLINK("http://reports.ofsted.gov.uk/inspection-reports/find-inspection-report/provider/CARE/SC456719","Ofsted Social Care Provider Webpage")</f>
        <v>Ofsted Social Care Provider Webpage</v>
      </c>
      <c r="B640" s="3" t="s">
        <v>1200</v>
      </c>
      <c r="C640" t="s">
        <v>34</v>
      </c>
      <c r="D640" s="19">
        <v>41332</v>
      </c>
      <c r="E640" t="s">
        <v>154</v>
      </c>
      <c r="F640" t="s">
        <v>155</v>
      </c>
      <c r="G640" t="s">
        <v>39</v>
      </c>
      <c r="H640" t="s">
        <v>39</v>
      </c>
      <c r="I640" t="s">
        <v>44</v>
      </c>
      <c r="J640" t="s">
        <v>1154</v>
      </c>
      <c r="K640" t="s">
        <v>157</v>
      </c>
      <c r="L640" s="19">
        <v>44133</v>
      </c>
      <c r="M640" s="19">
        <v>44161</v>
      </c>
      <c r="N640" s="27" t="s">
        <v>557</v>
      </c>
    </row>
    <row r="641" spans="1:14" x14ac:dyDescent="0.25">
      <c r="A641" s="38" t="str">
        <f>HYPERLINK("http://reports.ofsted.gov.uk/inspection-reports/find-inspection-report/provider/CARE/SC429702","Ofsted Social Care Provider Webpage")</f>
        <v>Ofsted Social Care Provider Webpage</v>
      </c>
      <c r="B641" s="3" t="s">
        <v>1201</v>
      </c>
      <c r="C641" t="s">
        <v>34</v>
      </c>
      <c r="D641" s="19">
        <v>40660</v>
      </c>
      <c r="E641" t="s">
        <v>154</v>
      </c>
      <c r="F641" t="s">
        <v>155</v>
      </c>
      <c r="G641" t="s">
        <v>48</v>
      </c>
      <c r="H641" t="s">
        <v>48</v>
      </c>
      <c r="I641" t="s">
        <v>56</v>
      </c>
      <c r="J641" t="s">
        <v>615</v>
      </c>
      <c r="K641" t="s">
        <v>157</v>
      </c>
      <c r="L641" s="19">
        <v>44133</v>
      </c>
      <c r="M641" s="19">
        <v>44158</v>
      </c>
      <c r="N641" s="27" t="s">
        <v>557</v>
      </c>
    </row>
    <row r="642" spans="1:14" x14ac:dyDescent="0.25">
      <c r="A642" s="38" t="str">
        <f>HYPERLINK("http://reports.ofsted.gov.uk/inspection-reports/find-inspection-report/provider/CARE/SC476261","Ofsted Social Care Provider Webpage")</f>
        <v>Ofsted Social Care Provider Webpage</v>
      </c>
      <c r="B642" s="3" t="s">
        <v>1202</v>
      </c>
      <c r="C642" t="s">
        <v>34</v>
      </c>
      <c r="D642" s="19">
        <v>41852</v>
      </c>
      <c r="E642" t="s">
        <v>154</v>
      </c>
      <c r="F642" t="s">
        <v>155</v>
      </c>
      <c r="G642" t="s">
        <v>128</v>
      </c>
      <c r="H642" t="s">
        <v>128</v>
      </c>
      <c r="I642" t="s">
        <v>133</v>
      </c>
      <c r="J642" t="s">
        <v>381</v>
      </c>
      <c r="K642" t="s">
        <v>157</v>
      </c>
      <c r="L642" s="19">
        <v>44133</v>
      </c>
      <c r="M642" s="19">
        <v>44165</v>
      </c>
      <c r="N642" s="27" t="s">
        <v>557</v>
      </c>
    </row>
    <row r="643" spans="1:14" x14ac:dyDescent="0.25">
      <c r="A643" s="38" t="str">
        <f>HYPERLINK("http://reports.ofsted.gov.uk/inspection-reports/find-inspection-report/provider/CARE/SC482548","Ofsted Social Care Provider Webpage")</f>
        <v>Ofsted Social Care Provider Webpage</v>
      </c>
      <c r="B643" s="3" t="s">
        <v>755</v>
      </c>
      <c r="C643" t="s">
        <v>34</v>
      </c>
      <c r="D643" s="19">
        <v>42090</v>
      </c>
      <c r="E643" t="s">
        <v>154</v>
      </c>
      <c r="F643" t="s">
        <v>155</v>
      </c>
      <c r="G643" t="s">
        <v>105</v>
      </c>
      <c r="H643" t="s">
        <v>105</v>
      </c>
      <c r="I643" t="s">
        <v>699</v>
      </c>
      <c r="J643" t="s">
        <v>756</v>
      </c>
      <c r="K643" t="s">
        <v>157</v>
      </c>
      <c r="L643" s="19">
        <v>44137</v>
      </c>
      <c r="M643" s="19">
        <v>44208</v>
      </c>
      <c r="N643" s="27" t="s">
        <v>559</v>
      </c>
    </row>
    <row r="644" spans="1:14" x14ac:dyDescent="0.25">
      <c r="A644" s="38" t="str">
        <f>HYPERLINK("http://reports.ofsted.gov.uk/inspection-reports/find-inspection-report/provider/CARE/SC042921","Ofsted Social Care Provider Webpage")</f>
        <v>Ofsted Social Care Provider Webpage</v>
      </c>
      <c r="B644" s="3" t="s">
        <v>757</v>
      </c>
      <c r="C644" t="s">
        <v>37</v>
      </c>
      <c r="D644" s="19">
        <v>37923</v>
      </c>
      <c r="E644" t="s">
        <v>154</v>
      </c>
      <c r="F644" t="s">
        <v>155</v>
      </c>
      <c r="G644" t="s">
        <v>39</v>
      </c>
      <c r="H644" t="s">
        <v>39</v>
      </c>
      <c r="I644" t="s">
        <v>43</v>
      </c>
      <c r="J644" t="s">
        <v>238</v>
      </c>
      <c r="K644" t="s">
        <v>172</v>
      </c>
      <c r="L644" s="19">
        <v>44137</v>
      </c>
      <c r="M644" s="19">
        <v>44166</v>
      </c>
      <c r="N644" s="27" t="s">
        <v>557</v>
      </c>
    </row>
    <row r="645" spans="1:14" x14ac:dyDescent="0.25">
      <c r="A645" s="38" t="str">
        <f>HYPERLINK("http://reports.ofsted.gov.uk/inspection-reports/find-inspection-report/provider/CARE/SC458028","Ofsted Social Care Provider Webpage")</f>
        <v>Ofsted Social Care Provider Webpage</v>
      </c>
      <c r="B645" s="3" t="s">
        <v>758</v>
      </c>
      <c r="C645" t="s">
        <v>34</v>
      </c>
      <c r="D645" s="19">
        <v>41320</v>
      </c>
      <c r="E645" t="s">
        <v>154</v>
      </c>
      <c r="F645" t="s">
        <v>155</v>
      </c>
      <c r="G645" t="s">
        <v>48</v>
      </c>
      <c r="H645" t="s">
        <v>48</v>
      </c>
      <c r="I645" t="s">
        <v>51</v>
      </c>
      <c r="J645" t="s">
        <v>759</v>
      </c>
      <c r="K645" t="s">
        <v>157</v>
      </c>
      <c r="L645" s="19">
        <v>44137</v>
      </c>
      <c r="M645" s="19">
        <v>44162</v>
      </c>
      <c r="N645" s="27" t="s">
        <v>557</v>
      </c>
    </row>
    <row r="646" spans="1:14" x14ac:dyDescent="0.25">
      <c r="A646" s="38" t="str">
        <f>HYPERLINK("http://reports.ofsted.gov.uk/inspection-reports/find-inspection-report/provider/CARE/SC046524","Ofsted Social Care Provider Webpage")</f>
        <v>Ofsted Social Care Provider Webpage</v>
      </c>
      <c r="B646" s="3" t="s">
        <v>760</v>
      </c>
      <c r="C646" t="s">
        <v>37</v>
      </c>
      <c r="D646" s="19">
        <v>37914</v>
      </c>
      <c r="E646" t="s">
        <v>154</v>
      </c>
      <c r="F646" t="s">
        <v>155</v>
      </c>
      <c r="G646" t="s">
        <v>64</v>
      </c>
      <c r="H646" t="s">
        <v>164</v>
      </c>
      <c r="I646" t="s">
        <v>83</v>
      </c>
      <c r="J646" t="s">
        <v>761</v>
      </c>
      <c r="K646" t="s">
        <v>172</v>
      </c>
      <c r="L646" s="19">
        <v>44137</v>
      </c>
      <c r="M646" s="19">
        <v>44169</v>
      </c>
      <c r="N646" s="27" t="s">
        <v>557</v>
      </c>
    </row>
    <row r="647" spans="1:14" x14ac:dyDescent="0.25">
      <c r="A647" s="38" t="str">
        <f>HYPERLINK("http://reports.ofsted.gov.uk/inspection-reports/find-inspection-report/provider/CARE/1271587","Ofsted Social Care Provider Webpage")</f>
        <v>Ofsted Social Care Provider Webpage</v>
      </c>
      <c r="B647" s="3">
        <v>1271587</v>
      </c>
      <c r="C647" t="s">
        <v>34</v>
      </c>
      <c r="D647" s="19">
        <v>43196</v>
      </c>
      <c r="E647" t="s">
        <v>154</v>
      </c>
      <c r="F647" t="s">
        <v>155</v>
      </c>
      <c r="G647" t="s">
        <v>128</v>
      </c>
      <c r="H647" t="s">
        <v>128</v>
      </c>
      <c r="I647" t="s">
        <v>131</v>
      </c>
      <c r="J647" t="s">
        <v>486</v>
      </c>
      <c r="K647" t="s">
        <v>157</v>
      </c>
      <c r="L647" s="19">
        <v>44137</v>
      </c>
      <c r="M647" s="19">
        <v>44187</v>
      </c>
      <c r="N647" s="27" t="s">
        <v>557</v>
      </c>
    </row>
    <row r="648" spans="1:14" x14ac:dyDescent="0.25">
      <c r="A648" s="38" t="str">
        <f>HYPERLINK("http://reports.ofsted.gov.uk/inspection-reports/find-inspection-report/provider/CARE/SC413085","Ofsted Social Care Provider Webpage")</f>
        <v>Ofsted Social Care Provider Webpage</v>
      </c>
      <c r="B648" s="3" t="s">
        <v>762</v>
      </c>
      <c r="C648" t="s">
        <v>34</v>
      </c>
      <c r="D648" s="19">
        <v>40352</v>
      </c>
      <c r="E648" t="s">
        <v>154</v>
      </c>
      <c r="F648" t="s">
        <v>155</v>
      </c>
      <c r="G648" t="s">
        <v>105</v>
      </c>
      <c r="H648" t="s">
        <v>105</v>
      </c>
      <c r="I648" t="s">
        <v>109</v>
      </c>
      <c r="J648" t="s">
        <v>163</v>
      </c>
      <c r="K648" t="s">
        <v>157</v>
      </c>
      <c r="L648" s="19">
        <v>44137</v>
      </c>
      <c r="M648" s="19">
        <v>44172</v>
      </c>
      <c r="N648" s="27" t="s">
        <v>557</v>
      </c>
    </row>
    <row r="649" spans="1:14" x14ac:dyDescent="0.25">
      <c r="A649" s="38" t="str">
        <f>HYPERLINK("http://reports.ofsted.gov.uk/inspection-reports/find-inspection-report/provider/CARE/SC408584","Ofsted Social Care Provider Webpage")</f>
        <v>Ofsted Social Care Provider Webpage</v>
      </c>
      <c r="B649" s="3" t="s">
        <v>763</v>
      </c>
      <c r="C649" t="s">
        <v>34</v>
      </c>
      <c r="D649" s="19">
        <v>40332</v>
      </c>
      <c r="E649" t="s">
        <v>154</v>
      </c>
      <c r="F649" t="s">
        <v>155</v>
      </c>
      <c r="G649" t="s">
        <v>105</v>
      </c>
      <c r="H649" t="s">
        <v>105</v>
      </c>
      <c r="I649" t="s">
        <v>109</v>
      </c>
      <c r="J649" t="s">
        <v>322</v>
      </c>
      <c r="K649" t="s">
        <v>157</v>
      </c>
      <c r="L649" s="19">
        <v>44137</v>
      </c>
      <c r="M649" s="19">
        <v>44182</v>
      </c>
      <c r="N649" s="27" t="s">
        <v>557</v>
      </c>
    </row>
    <row r="650" spans="1:14" x14ac:dyDescent="0.25">
      <c r="A650" s="38" t="str">
        <f>HYPERLINK("http://reports.ofsted.gov.uk/inspection-reports/find-inspection-report/provider/CARE/SC042446","Ofsted Social Care Provider Webpage")</f>
        <v>Ofsted Social Care Provider Webpage</v>
      </c>
      <c r="B650" s="3" t="s">
        <v>764</v>
      </c>
      <c r="C650" t="s">
        <v>34</v>
      </c>
      <c r="D650" s="19">
        <v>37963</v>
      </c>
      <c r="E650" t="s">
        <v>154</v>
      </c>
      <c r="F650" t="s">
        <v>155</v>
      </c>
      <c r="G650" t="s">
        <v>105</v>
      </c>
      <c r="H650" t="s">
        <v>105</v>
      </c>
      <c r="I650" t="s">
        <v>705</v>
      </c>
      <c r="J650" t="s">
        <v>765</v>
      </c>
      <c r="K650" t="s">
        <v>168</v>
      </c>
      <c r="L650" s="19">
        <v>44137</v>
      </c>
      <c r="M650" s="19">
        <v>44194</v>
      </c>
      <c r="N650" s="27" t="s">
        <v>557</v>
      </c>
    </row>
    <row r="651" spans="1:14" x14ac:dyDescent="0.25">
      <c r="A651" s="38" t="str">
        <f>HYPERLINK("http://reports.ofsted.gov.uk/inspection-reports/find-inspection-report/provider/CARE/SC356963","Ofsted Social Care Provider Webpage")</f>
        <v>Ofsted Social Care Provider Webpage</v>
      </c>
      <c r="B651" s="3" t="s">
        <v>766</v>
      </c>
      <c r="C651" t="s">
        <v>34</v>
      </c>
      <c r="D651" s="19">
        <v>39169</v>
      </c>
      <c r="E651" t="s">
        <v>154</v>
      </c>
      <c r="F651" t="s">
        <v>155</v>
      </c>
      <c r="G651" t="s">
        <v>64</v>
      </c>
      <c r="H651" t="s">
        <v>164</v>
      </c>
      <c r="I651" t="s">
        <v>73</v>
      </c>
      <c r="J651" t="s">
        <v>462</v>
      </c>
      <c r="K651" t="s">
        <v>172</v>
      </c>
      <c r="L651" s="19">
        <v>44137</v>
      </c>
      <c r="M651" s="19">
        <v>44182</v>
      </c>
      <c r="N651" s="27" t="s">
        <v>557</v>
      </c>
    </row>
    <row r="652" spans="1:14" x14ac:dyDescent="0.25">
      <c r="A652" s="38" t="str">
        <f>HYPERLINK("http://reports.ofsted.gov.uk/inspection-reports/find-inspection-report/provider/CARE/SC356327","Ofsted Social Care Provider Webpage")</f>
        <v>Ofsted Social Care Provider Webpage</v>
      </c>
      <c r="B652" s="3" t="s">
        <v>767</v>
      </c>
      <c r="C652" t="s">
        <v>34</v>
      </c>
      <c r="D652" s="19">
        <v>39266</v>
      </c>
      <c r="E652" t="s">
        <v>154</v>
      </c>
      <c r="F652" t="s">
        <v>155</v>
      </c>
      <c r="G652" t="s">
        <v>128</v>
      </c>
      <c r="H652" t="s">
        <v>128</v>
      </c>
      <c r="I652" t="s">
        <v>134</v>
      </c>
      <c r="J652" t="s">
        <v>378</v>
      </c>
      <c r="K652" t="s">
        <v>157</v>
      </c>
      <c r="L652" s="19">
        <v>44137</v>
      </c>
      <c r="M652" s="19">
        <v>44168</v>
      </c>
      <c r="N652" s="27" t="s">
        <v>557</v>
      </c>
    </row>
    <row r="653" spans="1:14" x14ac:dyDescent="0.25">
      <c r="A653" s="38" t="str">
        <f>HYPERLINK("http://reports.ofsted.gov.uk/inspection-reports/find-inspection-report/provider/CARE/SC013828","Ofsted Social Care Provider Webpage")</f>
        <v>Ofsted Social Care Provider Webpage</v>
      </c>
      <c r="B653" s="3" t="s">
        <v>768</v>
      </c>
      <c r="C653" t="s">
        <v>34</v>
      </c>
      <c r="D653" s="19">
        <v>31509</v>
      </c>
      <c r="E653" t="s">
        <v>154</v>
      </c>
      <c r="F653" t="s">
        <v>155</v>
      </c>
      <c r="G653" t="s">
        <v>105</v>
      </c>
      <c r="H653" t="s">
        <v>105</v>
      </c>
      <c r="I653" t="s">
        <v>112</v>
      </c>
      <c r="J653" t="s">
        <v>769</v>
      </c>
      <c r="K653" t="s">
        <v>168</v>
      </c>
      <c r="L653" s="19">
        <v>44137</v>
      </c>
      <c r="M653" s="19">
        <v>44200</v>
      </c>
      <c r="N653" s="27" t="s">
        <v>557</v>
      </c>
    </row>
    <row r="654" spans="1:14" x14ac:dyDescent="0.25">
      <c r="A654" s="38" t="str">
        <f>HYPERLINK("http://reports.ofsted.gov.uk/inspection-reports/find-inspection-report/provider/CARE/SC397933","Ofsted Social Care Provider Webpage")</f>
        <v>Ofsted Social Care Provider Webpage</v>
      </c>
      <c r="B654" s="3" t="s">
        <v>802</v>
      </c>
      <c r="C654" t="s">
        <v>34</v>
      </c>
      <c r="D654" s="19">
        <v>40024</v>
      </c>
      <c r="E654" t="s">
        <v>154</v>
      </c>
      <c r="F654" t="s">
        <v>155</v>
      </c>
      <c r="G654" t="s">
        <v>128</v>
      </c>
      <c r="H654" t="s">
        <v>128</v>
      </c>
      <c r="I654" t="s">
        <v>136</v>
      </c>
      <c r="J654" t="s">
        <v>779</v>
      </c>
      <c r="K654" t="s">
        <v>157</v>
      </c>
      <c r="L654" s="19">
        <v>44138</v>
      </c>
      <c r="M654" s="19">
        <v>44181</v>
      </c>
      <c r="N654" s="27" t="s">
        <v>557</v>
      </c>
    </row>
    <row r="655" spans="1:14" x14ac:dyDescent="0.25">
      <c r="A655" s="38" t="str">
        <f>HYPERLINK("http://reports.ofsted.gov.uk/inspection-reports/find-inspection-report/provider/CARE/2549629","Ofsted Social Care Provider Webpage")</f>
        <v>Ofsted Social Care Provider Webpage</v>
      </c>
      <c r="B655" s="3">
        <v>2549629</v>
      </c>
      <c r="C655" t="s">
        <v>34</v>
      </c>
      <c r="D655" s="19">
        <v>43899</v>
      </c>
      <c r="E655" t="s">
        <v>154</v>
      </c>
      <c r="F655" t="s">
        <v>155</v>
      </c>
      <c r="G655" t="s">
        <v>114</v>
      </c>
      <c r="H655" t="s">
        <v>114</v>
      </c>
      <c r="I655" t="s">
        <v>118</v>
      </c>
      <c r="J655" t="s">
        <v>413</v>
      </c>
      <c r="K655" t="s">
        <v>157</v>
      </c>
      <c r="L655" s="19">
        <v>44138</v>
      </c>
      <c r="M655" s="19">
        <v>44172</v>
      </c>
      <c r="N655" s="27" t="s">
        <v>557</v>
      </c>
    </row>
    <row r="656" spans="1:14" x14ac:dyDescent="0.25">
      <c r="A656" s="38" t="str">
        <f>HYPERLINK("http://reports.ofsted.gov.uk/inspection-reports/find-inspection-report/provider/CARE/SC039900","Ofsted Social Care Provider Webpage")</f>
        <v>Ofsted Social Care Provider Webpage</v>
      </c>
      <c r="B656" s="3" t="s">
        <v>803</v>
      </c>
      <c r="C656" t="s">
        <v>34</v>
      </c>
      <c r="D656" s="19">
        <v>37733</v>
      </c>
      <c r="E656" t="s">
        <v>154</v>
      </c>
      <c r="F656" t="s">
        <v>155</v>
      </c>
      <c r="G656" t="s">
        <v>128</v>
      </c>
      <c r="H656" t="s">
        <v>128</v>
      </c>
      <c r="I656" t="s">
        <v>130</v>
      </c>
      <c r="J656" t="s">
        <v>530</v>
      </c>
      <c r="K656" t="s">
        <v>172</v>
      </c>
      <c r="L656" s="19">
        <v>44138</v>
      </c>
      <c r="M656" s="19">
        <v>44174</v>
      </c>
      <c r="N656" s="27" t="s">
        <v>557</v>
      </c>
    </row>
    <row r="657" spans="1:14" x14ac:dyDescent="0.25">
      <c r="A657" s="38" t="str">
        <f>HYPERLINK("http://reports.ofsted.gov.uk/inspection-reports/find-inspection-report/provider/CARE/SC456911","Ofsted Social Care Provider Webpage")</f>
        <v>Ofsted Social Care Provider Webpage</v>
      </c>
      <c r="B657" s="3" t="s">
        <v>804</v>
      </c>
      <c r="C657" t="s">
        <v>34</v>
      </c>
      <c r="D657" s="19">
        <v>41330</v>
      </c>
      <c r="E657" t="s">
        <v>154</v>
      </c>
      <c r="F657" t="s">
        <v>155</v>
      </c>
      <c r="G657" t="s">
        <v>48</v>
      </c>
      <c r="H657" t="s">
        <v>48</v>
      </c>
      <c r="I657" t="s">
        <v>49</v>
      </c>
      <c r="J657" t="s">
        <v>341</v>
      </c>
      <c r="K657" t="s">
        <v>157</v>
      </c>
      <c r="L657" s="19">
        <v>44138</v>
      </c>
      <c r="M657" s="19">
        <v>44165</v>
      </c>
      <c r="N657" s="27" t="s">
        <v>557</v>
      </c>
    </row>
    <row r="658" spans="1:14" x14ac:dyDescent="0.25">
      <c r="A658" s="38" t="str">
        <f>HYPERLINK("http://reports.ofsted.gov.uk/inspection-reports/find-inspection-report/provider/CARE/SC004085","Ofsted Social Care Provider Webpage")</f>
        <v>Ofsted Social Care Provider Webpage</v>
      </c>
      <c r="B658" s="3" t="s">
        <v>805</v>
      </c>
      <c r="C658" t="s">
        <v>34</v>
      </c>
      <c r="D658" s="19">
        <v>34946</v>
      </c>
      <c r="E658" t="s">
        <v>154</v>
      </c>
      <c r="F658" t="s">
        <v>155</v>
      </c>
      <c r="G658" t="s">
        <v>114</v>
      </c>
      <c r="H658" t="s">
        <v>114</v>
      </c>
      <c r="I658" t="s">
        <v>115</v>
      </c>
      <c r="J658" t="s">
        <v>493</v>
      </c>
      <c r="K658" t="s">
        <v>168</v>
      </c>
      <c r="L658" s="19">
        <v>44138</v>
      </c>
      <c r="M658" s="19">
        <v>44168</v>
      </c>
      <c r="N658" s="27" t="s">
        <v>557</v>
      </c>
    </row>
    <row r="659" spans="1:14" x14ac:dyDescent="0.25">
      <c r="A659" s="38" t="str">
        <f>HYPERLINK("http://reports.ofsted.gov.uk/inspection-reports/find-inspection-report/provider/CARE/SC055153","Ofsted Social Care Provider Webpage")</f>
        <v>Ofsted Social Care Provider Webpage</v>
      </c>
      <c r="B659" s="3" t="s">
        <v>806</v>
      </c>
      <c r="C659" t="s">
        <v>34</v>
      </c>
      <c r="D659" s="19">
        <v>37978</v>
      </c>
      <c r="E659" t="s">
        <v>154</v>
      </c>
      <c r="F659" t="s">
        <v>155</v>
      </c>
      <c r="G659" t="s">
        <v>87</v>
      </c>
      <c r="H659" t="s">
        <v>87</v>
      </c>
      <c r="I659" t="s">
        <v>93</v>
      </c>
      <c r="J659" t="s">
        <v>453</v>
      </c>
      <c r="K659" t="s">
        <v>157</v>
      </c>
      <c r="L659" s="19">
        <v>44138</v>
      </c>
      <c r="M659" s="19">
        <v>44166</v>
      </c>
      <c r="N659" s="27" t="s">
        <v>557</v>
      </c>
    </row>
    <row r="660" spans="1:14" x14ac:dyDescent="0.25">
      <c r="A660" s="38" t="str">
        <f>HYPERLINK("http://reports.ofsted.gov.uk/inspection-reports/find-inspection-report/provider/CARE/2555815","Ofsted Social Care Provider Webpage")</f>
        <v>Ofsted Social Care Provider Webpage</v>
      </c>
      <c r="B660" s="3">
        <v>2555815</v>
      </c>
      <c r="C660" t="s">
        <v>641</v>
      </c>
      <c r="D660" s="19">
        <v>43805</v>
      </c>
      <c r="E660" t="s">
        <v>154</v>
      </c>
      <c r="F660" t="s">
        <v>807</v>
      </c>
      <c r="G660" t="s">
        <v>57</v>
      </c>
      <c r="H660" t="s">
        <v>57</v>
      </c>
      <c r="I660" t="s">
        <v>689</v>
      </c>
      <c r="J660" t="s">
        <v>808</v>
      </c>
      <c r="K660" t="s">
        <v>157</v>
      </c>
      <c r="L660" s="19">
        <v>44138</v>
      </c>
      <c r="M660" s="19">
        <v>44195</v>
      </c>
      <c r="N660" s="27" t="s">
        <v>557</v>
      </c>
    </row>
    <row r="661" spans="1:14" x14ac:dyDescent="0.25">
      <c r="A661" s="38" t="str">
        <f>HYPERLINK("http://reports.ofsted.gov.uk/inspection-reports/find-inspection-report/provider/CARE/SC425708","Ofsted Social Care Provider Webpage")</f>
        <v>Ofsted Social Care Provider Webpage</v>
      </c>
      <c r="B661" s="3" t="s">
        <v>809</v>
      </c>
      <c r="C661" t="s">
        <v>35</v>
      </c>
      <c r="D661" s="19">
        <v>40577</v>
      </c>
      <c r="E661" t="s">
        <v>154</v>
      </c>
      <c r="F661" t="s">
        <v>810</v>
      </c>
      <c r="G661" t="s">
        <v>48</v>
      </c>
      <c r="H661" t="s">
        <v>48</v>
      </c>
      <c r="I661" t="s">
        <v>49</v>
      </c>
      <c r="J661" t="s">
        <v>297</v>
      </c>
      <c r="K661" t="s">
        <v>157</v>
      </c>
      <c r="L661" s="19">
        <v>44138</v>
      </c>
      <c r="M661" s="19">
        <v>44160</v>
      </c>
      <c r="N661" s="27" t="s">
        <v>557</v>
      </c>
    </row>
    <row r="662" spans="1:14" x14ac:dyDescent="0.25">
      <c r="A662" s="38" t="str">
        <f>HYPERLINK("http://reports.ofsted.gov.uk/inspection-reports/find-inspection-report/provider/CARE/1247776","Ofsted Social Care Provider Webpage")</f>
        <v>Ofsted Social Care Provider Webpage</v>
      </c>
      <c r="B662" s="3">
        <v>1247776</v>
      </c>
      <c r="C662" t="s">
        <v>34</v>
      </c>
      <c r="D662" s="19">
        <v>42705</v>
      </c>
      <c r="E662" t="s">
        <v>154</v>
      </c>
      <c r="F662" t="s">
        <v>155</v>
      </c>
      <c r="G662" t="s">
        <v>87</v>
      </c>
      <c r="H662" t="s">
        <v>87</v>
      </c>
      <c r="I662" t="s">
        <v>94</v>
      </c>
      <c r="J662" t="s">
        <v>811</v>
      </c>
      <c r="K662" t="s">
        <v>157</v>
      </c>
      <c r="L662" s="19">
        <v>44138</v>
      </c>
      <c r="M662" s="19">
        <v>44195</v>
      </c>
      <c r="N662" s="27" t="s">
        <v>557</v>
      </c>
    </row>
    <row r="663" spans="1:14" x14ac:dyDescent="0.25">
      <c r="A663" s="38" t="str">
        <f>HYPERLINK("http://reports.ofsted.gov.uk/inspection-reports/find-inspection-report/provider/CARE/SC023744","Ofsted Social Care Provider Webpage")</f>
        <v>Ofsted Social Care Provider Webpage</v>
      </c>
      <c r="B663" s="3" t="s">
        <v>812</v>
      </c>
      <c r="C663" t="s">
        <v>34</v>
      </c>
      <c r="D663" s="19">
        <v>37088</v>
      </c>
      <c r="E663" t="s">
        <v>154</v>
      </c>
      <c r="F663" t="s">
        <v>155</v>
      </c>
      <c r="G663" t="s">
        <v>105</v>
      </c>
      <c r="H663" t="s">
        <v>105</v>
      </c>
      <c r="I663" t="s">
        <v>109</v>
      </c>
      <c r="J663" t="s">
        <v>162</v>
      </c>
      <c r="K663" t="s">
        <v>157</v>
      </c>
      <c r="L663" s="19">
        <v>44138</v>
      </c>
      <c r="M663" s="19">
        <v>44181</v>
      </c>
      <c r="N663" s="27" t="s">
        <v>557</v>
      </c>
    </row>
    <row r="664" spans="1:14" x14ac:dyDescent="0.25">
      <c r="A664" s="38" t="str">
        <f>HYPERLINK("http://reports.ofsted.gov.uk/inspection-reports/find-inspection-report/provider/CARE/SC034922","Ofsted Social Care Provider Webpage")</f>
        <v>Ofsted Social Care Provider Webpage</v>
      </c>
      <c r="B664" s="3" t="s">
        <v>813</v>
      </c>
      <c r="C664" t="s">
        <v>34</v>
      </c>
      <c r="D664" s="19">
        <v>37883</v>
      </c>
      <c r="E664" t="s">
        <v>154</v>
      </c>
      <c r="F664" t="s">
        <v>155</v>
      </c>
      <c r="G664" t="s">
        <v>87</v>
      </c>
      <c r="H664" t="s">
        <v>87</v>
      </c>
      <c r="I664" t="s">
        <v>97</v>
      </c>
      <c r="J664" t="s">
        <v>814</v>
      </c>
      <c r="K664" t="s">
        <v>172</v>
      </c>
      <c r="L664" s="19">
        <v>44138</v>
      </c>
      <c r="M664" s="19">
        <v>44173</v>
      </c>
      <c r="N664" s="27" t="s">
        <v>557</v>
      </c>
    </row>
    <row r="665" spans="1:14" x14ac:dyDescent="0.25">
      <c r="A665" s="38" t="str">
        <f>HYPERLINK("http://reports.ofsted.gov.uk/inspection-reports/find-inspection-report/provider/CARE/SC423617","Ofsted Social Care Provider Webpage")</f>
        <v>Ofsted Social Care Provider Webpage</v>
      </c>
      <c r="B665" s="3" t="s">
        <v>815</v>
      </c>
      <c r="C665" t="s">
        <v>34</v>
      </c>
      <c r="D665" s="19">
        <v>40641</v>
      </c>
      <c r="E665" t="s">
        <v>154</v>
      </c>
      <c r="F665" t="s">
        <v>155</v>
      </c>
      <c r="G665" t="s">
        <v>128</v>
      </c>
      <c r="H665" t="s">
        <v>128</v>
      </c>
      <c r="I665" t="s">
        <v>129</v>
      </c>
      <c r="J665" t="s">
        <v>197</v>
      </c>
      <c r="K665" t="s">
        <v>157</v>
      </c>
      <c r="L665" s="19">
        <v>44138</v>
      </c>
      <c r="M665" s="19">
        <v>44179</v>
      </c>
      <c r="N665" s="27" t="s">
        <v>557</v>
      </c>
    </row>
    <row r="666" spans="1:14" x14ac:dyDescent="0.25">
      <c r="A666" s="38" t="str">
        <f>HYPERLINK("http://reports.ofsted.gov.uk/inspection-reports/find-inspection-report/provider/CARE/SC483828","Ofsted Social Care Provider Webpage")</f>
        <v>Ofsted Social Care Provider Webpage</v>
      </c>
      <c r="B666" s="3" t="s">
        <v>816</v>
      </c>
      <c r="C666" t="s">
        <v>34</v>
      </c>
      <c r="D666" s="19">
        <v>41977</v>
      </c>
      <c r="E666" t="s">
        <v>154</v>
      </c>
      <c r="F666" t="s">
        <v>155</v>
      </c>
      <c r="G666" t="s">
        <v>87</v>
      </c>
      <c r="H666" t="s">
        <v>87</v>
      </c>
      <c r="I666" t="s">
        <v>100</v>
      </c>
      <c r="J666" t="s">
        <v>817</v>
      </c>
      <c r="K666" t="s">
        <v>157</v>
      </c>
      <c r="L666" s="19">
        <v>44138</v>
      </c>
      <c r="M666" s="19">
        <v>44179</v>
      </c>
      <c r="N666" s="27" t="s">
        <v>557</v>
      </c>
    </row>
    <row r="667" spans="1:14" x14ac:dyDescent="0.25">
      <c r="A667" s="38" t="str">
        <f>HYPERLINK("http://reports.ofsted.gov.uk/inspection-reports/find-inspection-report/provider/CARE/SC488930","Ofsted Social Care Provider Webpage")</f>
        <v>Ofsted Social Care Provider Webpage</v>
      </c>
      <c r="B667" s="3" t="s">
        <v>818</v>
      </c>
      <c r="C667" t="s">
        <v>34</v>
      </c>
      <c r="D667" s="19">
        <v>42213</v>
      </c>
      <c r="E667" t="s">
        <v>154</v>
      </c>
      <c r="F667" t="s">
        <v>155</v>
      </c>
      <c r="G667" t="s">
        <v>39</v>
      </c>
      <c r="H667" t="s">
        <v>39</v>
      </c>
      <c r="I667" t="s">
        <v>662</v>
      </c>
      <c r="J667" t="s">
        <v>819</v>
      </c>
      <c r="K667" t="s">
        <v>157</v>
      </c>
      <c r="L667" s="19">
        <v>44138</v>
      </c>
      <c r="M667" s="19">
        <v>44165</v>
      </c>
      <c r="N667" s="27" t="s">
        <v>557</v>
      </c>
    </row>
    <row r="668" spans="1:14" x14ac:dyDescent="0.25">
      <c r="A668" s="38" t="str">
        <f>HYPERLINK("http://reports.ofsted.gov.uk/inspection-reports/find-inspection-report/provider/CARE/1231311","Ofsted Social Care Provider Webpage")</f>
        <v>Ofsted Social Care Provider Webpage</v>
      </c>
      <c r="B668" s="3">
        <v>1231311</v>
      </c>
      <c r="C668" t="s">
        <v>34</v>
      </c>
      <c r="D668" s="19">
        <v>42590</v>
      </c>
      <c r="E668" t="s">
        <v>154</v>
      </c>
      <c r="F668" t="s">
        <v>155</v>
      </c>
      <c r="G668" t="s">
        <v>128</v>
      </c>
      <c r="H668" t="s">
        <v>128</v>
      </c>
      <c r="I668" t="s">
        <v>136</v>
      </c>
      <c r="J668" t="s">
        <v>354</v>
      </c>
      <c r="K668" t="s">
        <v>157</v>
      </c>
      <c r="L668" s="19">
        <v>44138</v>
      </c>
      <c r="M668" s="19">
        <v>44165</v>
      </c>
      <c r="N668" s="27" t="s">
        <v>557</v>
      </c>
    </row>
    <row r="669" spans="1:14" x14ac:dyDescent="0.25">
      <c r="A669" s="38" t="str">
        <f>HYPERLINK("http://reports.ofsted.gov.uk/inspection-reports/find-inspection-report/provider/CARE/1266835","Ofsted Social Care Provider Webpage")</f>
        <v>Ofsted Social Care Provider Webpage</v>
      </c>
      <c r="B669" s="3">
        <v>1266835</v>
      </c>
      <c r="C669" t="s">
        <v>34</v>
      </c>
      <c r="D669" s="19">
        <v>43033</v>
      </c>
      <c r="E669" t="s">
        <v>154</v>
      </c>
      <c r="F669" t="s">
        <v>155</v>
      </c>
      <c r="G669" t="s">
        <v>114</v>
      </c>
      <c r="H669" t="s">
        <v>114</v>
      </c>
      <c r="I669" t="s">
        <v>709</v>
      </c>
      <c r="J669" t="s">
        <v>820</v>
      </c>
      <c r="K669" t="s">
        <v>157</v>
      </c>
      <c r="L669" s="19">
        <v>44138</v>
      </c>
      <c r="M669" s="19">
        <v>44165</v>
      </c>
      <c r="N669" s="27" t="s">
        <v>557</v>
      </c>
    </row>
    <row r="670" spans="1:14" x14ac:dyDescent="0.25">
      <c r="A670" s="38" t="str">
        <f>HYPERLINK("http://reports.ofsted.gov.uk/inspection-reports/find-inspection-report/provider/CARE/1280412","Ofsted Social Care Provider Webpage")</f>
        <v>Ofsted Social Care Provider Webpage</v>
      </c>
      <c r="B670" s="3">
        <v>1280412</v>
      </c>
      <c r="C670" t="s">
        <v>34</v>
      </c>
      <c r="D670" s="19">
        <v>43276</v>
      </c>
      <c r="E670" t="s">
        <v>154</v>
      </c>
      <c r="F670" t="s">
        <v>155</v>
      </c>
      <c r="G670" t="s">
        <v>87</v>
      </c>
      <c r="H670" t="s">
        <v>87</v>
      </c>
      <c r="I670" t="s">
        <v>103</v>
      </c>
      <c r="J670" t="s">
        <v>648</v>
      </c>
      <c r="K670" t="s">
        <v>157</v>
      </c>
      <c r="L670" s="19">
        <v>44138</v>
      </c>
      <c r="M670" s="19">
        <v>44162</v>
      </c>
      <c r="N670" s="27" t="s">
        <v>557</v>
      </c>
    </row>
    <row r="671" spans="1:14" x14ac:dyDescent="0.25">
      <c r="A671" s="38" t="str">
        <f>HYPERLINK("http://reports.ofsted.gov.uk/inspection-reports/find-inspection-report/provider/CARE/SC374268","Ofsted Social Care Provider Webpage")</f>
        <v>Ofsted Social Care Provider Webpage</v>
      </c>
      <c r="B671" s="3" t="s">
        <v>821</v>
      </c>
      <c r="C671" t="s">
        <v>34</v>
      </c>
      <c r="D671" s="19">
        <v>39646</v>
      </c>
      <c r="E671" t="s">
        <v>154</v>
      </c>
      <c r="F671" t="s">
        <v>155</v>
      </c>
      <c r="G671" t="s">
        <v>128</v>
      </c>
      <c r="H671" t="s">
        <v>128</v>
      </c>
      <c r="I671" t="s">
        <v>132</v>
      </c>
      <c r="J671" t="s">
        <v>339</v>
      </c>
      <c r="K671" t="s">
        <v>157</v>
      </c>
      <c r="L671" s="19">
        <v>44138</v>
      </c>
      <c r="M671" s="19">
        <v>44161</v>
      </c>
      <c r="N671" s="27" t="s">
        <v>557</v>
      </c>
    </row>
    <row r="672" spans="1:14" x14ac:dyDescent="0.25">
      <c r="A672" s="38" t="str">
        <f>HYPERLINK("http://reports.ofsted.gov.uk/inspection-reports/find-inspection-report/provider/CARE/1267537","Ofsted Social Care Provider Webpage")</f>
        <v>Ofsted Social Care Provider Webpage</v>
      </c>
      <c r="B672" s="3">
        <v>1267537</v>
      </c>
      <c r="C672" t="s">
        <v>34</v>
      </c>
      <c r="D672" s="19">
        <v>43080</v>
      </c>
      <c r="E672" t="s">
        <v>154</v>
      </c>
      <c r="F672" t="s">
        <v>155</v>
      </c>
      <c r="G672" t="s">
        <v>39</v>
      </c>
      <c r="H672" t="s">
        <v>39</v>
      </c>
      <c r="I672" t="s">
        <v>41</v>
      </c>
      <c r="J672" t="s">
        <v>351</v>
      </c>
      <c r="K672" t="s">
        <v>157</v>
      </c>
      <c r="L672" s="19">
        <v>44138</v>
      </c>
      <c r="M672" s="19">
        <v>44162</v>
      </c>
      <c r="N672" s="27" t="s">
        <v>557</v>
      </c>
    </row>
    <row r="673" spans="1:14" x14ac:dyDescent="0.25">
      <c r="A673" s="38" t="str">
        <f>HYPERLINK("http://reports.ofsted.gov.uk/inspection-reports/find-inspection-report/provider/CARE/SC472795","Ofsted Social Care Provider Webpage")</f>
        <v>Ofsted Social Care Provider Webpage</v>
      </c>
      <c r="B673" s="3" t="s">
        <v>822</v>
      </c>
      <c r="C673" t="s">
        <v>34</v>
      </c>
      <c r="D673" s="19">
        <v>41641</v>
      </c>
      <c r="E673" t="s">
        <v>154</v>
      </c>
      <c r="F673" t="s">
        <v>155</v>
      </c>
      <c r="G673" t="s">
        <v>64</v>
      </c>
      <c r="H673" t="s">
        <v>213</v>
      </c>
      <c r="I673" t="s">
        <v>76</v>
      </c>
      <c r="J673" t="s">
        <v>281</v>
      </c>
      <c r="K673" t="s">
        <v>157</v>
      </c>
      <c r="L673" s="19">
        <v>44138</v>
      </c>
      <c r="M673" s="19">
        <v>44181</v>
      </c>
      <c r="N673" s="27" t="s">
        <v>559</v>
      </c>
    </row>
    <row r="674" spans="1:14" x14ac:dyDescent="0.25">
      <c r="A674" s="38" t="str">
        <f>HYPERLINK("http://reports.ofsted.gov.uk/inspection-reports/find-inspection-report/provider/CARE/SC429369","Ofsted Social Care Provider Webpage")</f>
        <v>Ofsted Social Care Provider Webpage</v>
      </c>
      <c r="B674" s="3" t="s">
        <v>823</v>
      </c>
      <c r="C674" t="s">
        <v>34</v>
      </c>
      <c r="D674" s="19">
        <v>40708</v>
      </c>
      <c r="E674" t="s">
        <v>154</v>
      </c>
      <c r="F674" t="s">
        <v>155</v>
      </c>
      <c r="G674" t="s">
        <v>48</v>
      </c>
      <c r="H674" t="s">
        <v>48</v>
      </c>
      <c r="I674" t="s">
        <v>663</v>
      </c>
      <c r="J674" t="s">
        <v>663</v>
      </c>
      <c r="K674" t="s">
        <v>157</v>
      </c>
      <c r="L674" s="19">
        <v>44138</v>
      </c>
      <c r="M674" s="19">
        <v>44167</v>
      </c>
      <c r="N674" s="27" t="s">
        <v>557</v>
      </c>
    </row>
    <row r="675" spans="1:14" x14ac:dyDescent="0.25">
      <c r="A675" s="38" t="str">
        <f>HYPERLINK("http://reports.ofsted.gov.uk/inspection-reports/find-inspection-report/provider/CARE/SC065374","Ofsted Social Care Provider Webpage")</f>
        <v>Ofsted Social Care Provider Webpage</v>
      </c>
      <c r="B675" s="3" t="s">
        <v>824</v>
      </c>
      <c r="C675" t="s">
        <v>34</v>
      </c>
      <c r="D675" s="19">
        <v>38567</v>
      </c>
      <c r="E675" t="s">
        <v>154</v>
      </c>
      <c r="F675" t="s">
        <v>155</v>
      </c>
      <c r="G675" t="s">
        <v>87</v>
      </c>
      <c r="H675" t="s">
        <v>87</v>
      </c>
      <c r="I675" t="s">
        <v>100</v>
      </c>
      <c r="J675" t="s">
        <v>100</v>
      </c>
      <c r="K675" t="s">
        <v>157</v>
      </c>
      <c r="L675" s="19">
        <v>44138</v>
      </c>
      <c r="M675" s="19">
        <v>44166</v>
      </c>
      <c r="N675" s="27" t="s">
        <v>557</v>
      </c>
    </row>
    <row r="676" spans="1:14" x14ac:dyDescent="0.25">
      <c r="A676" s="38" t="str">
        <f>HYPERLINK("http://reports.ofsted.gov.uk/inspection-reports/find-inspection-report/provider/CARE/SC040723","Ofsted Social Care Provider Webpage")</f>
        <v>Ofsted Social Care Provider Webpage</v>
      </c>
      <c r="B676" s="3" t="s">
        <v>825</v>
      </c>
      <c r="C676" t="s">
        <v>34</v>
      </c>
      <c r="D676" s="19">
        <v>37820</v>
      </c>
      <c r="E676" t="s">
        <v>154</v>
      </c>
      <c r="F676" t="s">
        <v>155</v>
      </c>
      <c r="G676" t="s">
        <v>87</v>
      </c>
      <c r="H676" t="s">
        <v>87</v>
      </c>
      <c r="I676" t="s">
        <v>89</v>
      </c>
      <c r="J676" t="s">
        <v>208</v>
      </c>
      <c r="K676" t="s">
        <v>172</v>
      </c>
      <c r="L676" s="19">
        <v>44138</v>
      </c>
      <c r="M676" s="19">
        <v>44173</v>
      </c>
      <c r="N676" s="27" t="s">
        <v>559</v>
      </c>
    </row>
    <row r="677" spans="1:14" x14ac:dyDescent="0.25">
      <c r="A677" s="38" t="str">
        <f>HYPERLINK("http://reports.ofsted.gov.uk/inspection-reports/find-inspection-report/provider/CARE/2496288","Ofsted Social Care Provider Webpage")</f>
        <v>Ofsted Social Care Provider Webpage</v>
      </c>
      <c r="B677" s="3">
        <v>2496288</v>
      </c>
      <c r="C677" t="s">
        <v>34</v>
      </c>
      <c r="D677" s="19">
        <v>43629</v>
      </c>
      <c r="E677" t="s">
        <v>154</v>
      </c>
      <c r="F677" t="s">
        <v>155</v>
      </c>
      <c r="G677" t="s">
        <v>128</v>
      </c>
      <c r="H677" t="s">
        <v>128</v>
      </c>
      <c r="I677" t="s">
        <v>139</v>
      </c>
      <c r="J677" t="s">
        <v>640</v>
      </c>
      <c r="K677" t="s">
        <v>172</v>
      </c>
      <c r="L677" s="19">
        <v>44138</v>
      </c>
      <c r="M677" s="19">
        <v>44168</v>
      </c>
      <c r="N677" s="27" t="s">
        <v>557</v>
      </c>
    </row>
    <row r="678" spans="1:14" x14ac:dyDescent="0.25">
      <c r="A678" s="38" t="str">
        <f>HYPERLINK("http://reports.ofsted.gov.uk/inspection-reports/find-inspection-report/provider/CARE/1264696","Ofsted Social Care Provider Webpage")</f>
        <v>Ofsted Social Care Provider Webpage</v>
      </c>
      <c r="B678" s="3">
        <v>1264696</v>
      </c>
      <c r="C678" t="s">
        <v>34</v>
      </c>
      <c r="D678" s="19">
        <v>43112</v>
      </c>
      <c r="E678" t="s">
        <v>321</v>
      </c>
      <c r="F678" t="s">
        <v>155</v>
      </c>
      <c r="G678" t="s">
        <v>87</v>
      </c>
      <c r="H678" t="s">
        <v>87</v>
      </c>
      <c r="I678" t="s">
        <v>96</v>
      </c>
      <c r="J678" t="s">
        <v>826</v>
      </c>
      <c r="K678" t="s">
        <v>157</v>
      </c>
      <c r="L678" s="19">
        <v>44138</v>
      </c>
      <c r="M678" s="19">
        <v>44194</v>
      </c>
      <c r="N678" s="27" t="s">
        <v>559</v>
      </c>
    </row>
    <row r="679" spans="1:14" x14ac:dyDescent="0.25">
      <c r="A679" s="38" t="str">
        <f>HYPERLINK("http://reports.ofsted.gov.uk/inspection-reports/find-inspection-report/provider/CARE/SC437486","Ofsted Social Care Provider Webpage")</f>
        <v>Ofsted Social Care Provider Webpage</v>
      </c>
      <c r="B679" s="3" t="s">
        <v>827</v>
      </c>
      <c r="C679" t="s">
        <v>34</v>
      </c>
      <c r="D679" s="19">
        <v>40963</v>
      </c>
      <c r="E679" t="s">
        <v>154</v>
      </c>
      <c r="F679" t="s">
        <v>155</v>
      </c>
      <c r="G679" t="s">
        <v>128</v>
      </c>
      <c r="H679" t="s">
        <v>128</v>
      </c>
      <c r="I679" t="s">
        <v>132</v>
      </c>
      <c r="J679" t="s">
        <v>313</v>
      </c>
      <c r="K679" t="s">
        <v>157</v>
      </c>
      <c r="L679" s="19">
        <v>44138</v>
      </c>
      <c r="M679" s="19">
        <v>44172</v>
      </c>
      <c r="N679" s="27" t="s">
        <v>557</v>
      </c>
    </row>
    <row r="680" spans="1:14" x14ac:dyDescent="0.25">
      <c r="A680" s="38" t="str">
        <f>HYPERLINK("http://reports.ofsted.gov.uk/inspection-reports/find-inspection-report/provider/CARE/SC033056","Ofsted Social Care Provider Webpage")</f>
        <v>Ofsted Social Care Provider Webpage</v>
      </c>
      <c r="B680" s="3" t="s">
        <v>828</v>
      </c>
      <c r="C680" t="s">
        <v>34</v>
      </c>
      <c r="D680" s="19">
        <v>37711</v>
      </c>
      <c r="E680" t="s">
        <v>154</v>
      </c>
      <c r="F680" t="s">
        <v>155</v>
      </c>
      <c r="G680" t="s">
        <v>128</v>
      </c>
      <c r="H680" t="s">
        <v>128</v>
      </c>
      <c r="I680" t="s">
        <v>627</v>
      </c>
      <c r="J680" t="s">
        <v>628</v>
      </c>
      <c r="K680" t="s">
        <v>172</v>
      </c>
      <c r="L680" s="19">
        <v>44138</v>
      </c>
      <c r="M680" s="19">
        <v>44173</v>
      </c>
      <c r="N680" s="27" t="s">
        <v>557</v>
      </c>
    </row>
    <row r="681" spans="1:14" x14ac:dyDescent="0.25">
      <c r="A681" s="38" t="str">
        <f>HYPERLINK("http://reports.ofsted.gov.uk/inspection-reports/find-inspection-report/provider/CARE/1212117","Ofsted Social Care Provider Webpage")</f>
        <v>Ofsted Social Care Provider Webpage</v>
      </c>
      <c r="B681" s="3">
        <v>1212117</v>
      </c>
      <c r="C681" t="s">
        <v>34</v>
      </c>
      <c r="D681" s="19">
        <v>42339</v>
      </c>
      <c r="E681" t="s">
        <v>154</v>
      </c>
      <c r="F681" t="s">
        <v>155</v>
      </c>
      <c r="G681" t="s">
        <v>39</v>
      </c>
      <c r="H681" t="s">
        <v>39</v>
      </c>
      <c r="I681" t="s">
        <v>46</v>
      </c>
      <c r="J681" t="s">
        <v>574</v>
      </c>
      <c r="K681" t="s">
        <v>157</v>
      </c>
      <c r="L681" s="19">
        <v>44138</v>
      </c>
      <c r="M681" s="19">
        <v>44186</v>
      </c>
      <c r="N681" s="27" t="s">
        <v>557</v>
      </c>
    </row>
    <row r="682" spans="1:14" x14ac:dyDescent="0.25">
      <c r="A682" s="38" t="str">
        <f>HYPERLINK("http://reports.ofsted.gov.uk/inspection-reports/find-inspection-report/provider/CARE/2530977","Ofsted Social Care Provider Webpage")</f>
        <v>Ofsted Social Care Provider Webpage</v>
      </c>
      <c r="B682" s="3">
        <v>2530977</v>
      </c>
      <c r="C682" t="s">
        <v>34</v>
      </c>
      <c r="D682" s="19">
        <v>43616</v>
      </c>
      <c r="E682" t="s">
        <v>154</v>
      </c>
      <c r="F682" t="s">
        <v>155</v>
      </c>
      <c r="G682" t="s">
        <v>114</v>
      </c>
      <c r="H682" t="s">
        <v>114</v>
      </c>
      <c r="I682" t="s">
        <v>117</v>
      </c>
      <c r="J682" t="s">
        <v>838</v>
      </c>
      <c r="K682" t="s">
        <v>168</v>
      </c>
      <c r="L682" s="19">
        <v>44139</v>
      </c>
      <c r="M682" s="19">
        <v>44172</v>
      </c>
      <c r="N682" s="27" t="s">
        <v>557</v>
      </c>
    </row>
    <row r="683" spans="1:14" x14ac:dyDescent="0.25">
      <c r="A683" s="38" t="str">
        <f>HYPERLINK("http://reports.ofsted.gov.uk/inspection-reports/find-inspection-report/provider/CARE/SC069128","Ofsted Social Care Provider Webpage")</f>
        <v>Ofsted Social Care Provider Webpage</v>
      </c>
      <c r="B683" s="3" t="s">
        <v>839</v>
      </c>
      <c r="C683" t="s">
        <v>34</v>
      </c>
      <c r="D683" s="19">
        <v>39132</v>
      </c>
      <c r="E683" t="s">
        <v>154</v>
      </c>
      <c r="F683" t="s">
        <v>155</v>
      </c>
      <c r="G683" t="s">
        <v>105</v>
      </c>
      <c r="H683" t="s">
        <v>105</v>
      </c>
      <c r="I683" t="s">
        <v>110</v>
      </c>
      <c r="J683" t="s">
        <v>840</v>
      </c>
      <c r="K683" t="s">
        <v>168</v>
      </c>
      <c r="L683" s="19">
        <v>44139</v>
      </c>
      <c r="M683" s="19">
        <v>44200</v>
      </c>
      <c r="N683" s="27" t="s">
        <v>557</v>
      </c>
    </row>
    <row r="684" spans="1:14" x14ac:dyDescent="0.25">
      <c r="A684" s="38" t="str">
        <f>HYPERLINK("http://reports.ofsted.gov.uk/inspection-reports/find-inspection-report/provider/CARE/SC028460","Ofsted Social Care Provider Webpage")</f>
        <v>Ofsted Social Care Provider Webpage</v>
      </c>
      <c r="B684" s="3" t="s">
        <v>841</v>
      </c>
      <c r="C684" t="s">
        <v>34</v>
      </c>
      <c r="D684" s="19">
        <v>37376</v>
      </c>
      <c r="E684" t="s">
        <v>154</v>
      </c>
      <c r="F684" t="s">
        <v>155</v>
      </c>
      <c r="G684" t="s">
        <v>57</v>
      </c>
      <c r="H684" t="s">
        <v>57</v>
      </c>
      <c r="I684" t="s">
        <v>59</v>
      </c>
      <c r="J684" t="s">
        <v>842</v>
      </c>
      <c r="K684" t="s">
        <v>157</v>
      </c>
      <c r="L684" s="19">
        <v>44139</v>
      </c>
      <c r="M684" s="19">
        <v>44173</v>
      </c>
      <c r="N684" s="27" t="s">
        <v>557</v>
      </c>
    </row>
    <row r="685" spans="1:14" x14ac:dyDescent="0.25">
      <c r="A685" s="38" t="str">
        <f>HYPERLINK("http://reports.ofsted.gov.uk/inspection-reports/find-inspection-report/provider/CARE/2538287","Ofsted Social Care Provider Webpage")</f>
        <v>Ofsted Social Care Provider Webpage</v>
      </c>
      <c r="B685" s="3">
        <v>2538287</v>
      </c>
      <c r="C685" t="s">
        <v>34</v>
      </c>
      <c r="D685" s="19">
        <v>43656</v>
      </c>
      <c r="E685" t="s">
        <v>154</v>
      </c>
      <c r="F685" t="s">
        <v>155</v>
      </c>
      <c r="G685" t="s">
        <v>128</v>
      </c>
      <c r="H685" t="s">
        <v>128</v>
      </c>
      <c r="I685" t="s">
        <v>135</v>
      </c>
      <c r="J685" t="s">
        <v>390</v>
      </c>
      <c r="K685" t="s">
        <v>172</v>
      </c>
      <c r="L685" s="19">
        <v>44139</v>
      </c>
      <c r="M685" s="19">
        <v>44162</v>
      </c>
      <c r="N685" s="27" t="s">
        <v>557</v>
      </c>
    </row>
    <row r="686" spans="1:14" x14ac:dyDescent="0.25">
      <c r="A686" s="38" t="str">
        <f>HYPERLINK("http://reports.ofsted.gov.uk/inspection-reports/find-inspection-report/provider/CARE/SC035976","Ofsted Social Care Provider Webpage")</f>
        <v>Ofsted Social Care Provider Webpage</v>
      </c>
      <c r="B686" s="3" t="s">
        <v>843</v>
      </c>
      <c r="C686" t="s">
        <v>34</v>
      </c>
      <c r="D686" s="19">
        <v>37977</v>
      </c>
      <c r="E686" t="s">
        <v>154</v>
      </c>
      <c r="F686" t="s">
        <v>155</v>
      </c>
      <c r="G686" t="s">
        <v>39</v>
      </c>
      <c r="H686" t="s">
        <v>39</v>
      </c>
      <c r="I686" t="s">
        <v>41</v>
      </c>
      <c r="J686" t="s">
        <v>426</v>
      </c>
      <c r="K686" t="s">
        <v>172</v>
      </c>
      <c r="L686" s="19">
        <v>44139</v>
      </c>
      <c r="M686" s="19">
        <v>44165</v>
      </c>
      <c r="N686" s="27" t="s">
        <v>557</v>
      </c>
    </row>
    <row r="687" spans="1:14" x14ac:dyDescent="0.25">
      <c r="A687" s="38" t="str">
        <f>HYPERLINK("http://reports.ofsted.gov.uk/inspection-reports/find-inspection-report/provider/CARE/2507038","Ofsted Social Care Provider Webpage")</f>
        <v>Ofsted Social Care Provider Webpage</v>
      </c>
      <c r="B687" s="3">
        <v>2507038</v>
      </c>
      <c r="C687" t="s">
        <v>532</v>
      </c>
      <c r="D687" s="19">
        <v>43528</v>
      </c>
      <c r="E687" t="s">
        <v>154</v>
      </c>
      <c r="F687" t="s">
        <v>155</v>
      </c>
      <c r="G687" t="s">
        <v>128</v>
      </c>
      <c r="H687" t="s">
        <v>128</v>
      </c>
      <c r="I687" t="s">
        <v>133</v>
      </c>
      <c r="J687" t="s">
        <v>412</v>
      </c>
      <c r="K687" t="s">
        <v>157</v>
      </c>
      <c r="L687" s="19">
        <v>44139</v>
      </c>
      <c r="M687" s="19">
        <v>44168</v>
      </c>
      <c r="N687" s="27" t="s">
        <v>557</v>
      </c>
    </row>
    <row r="688" spans="1:14" x14ac:dyDescent="0.25">
      <c r="A688" s="38" t="str">
        <f>HYPERLINK("http://reports.ofsted.gov.uk/inspection-reports/find-inspection-report/provider/CARE/2568244","Ofsted Social Care Provider Webpage")</f>
        <v>Ofsted Social Care Provider Webpage</v>
      </c>
      <c r="B688" s="3">
        <v>2568244</v>
      </c>
      <c r="C688" t="s">
        <v>34</v>
      </c>
      <c r="D688" s="19">
        <v>43906</v>
      </c>
      <c r="E688" t="s">
        <v>154</v>
      </c>
      <c r="F688" t="s">
        <v>155</v>
      </c>
      <c r="G688" t="s">
        <v>64</v>
      </c>
      <c r="H688" t="s">
        <v>213</v>
      </c>
      <c r="I688" t="s">
        <v>84</v>
      </c>
      <c r="J688" t="s">
        <v>844</v>
      </c>
      <c r="K688" t="s">
        <v>172</v>
      </c>
      <c r="L688" s="19">
        <v>44139</v>
      </c>
      <c r="M688" s="19">
        <v>44181</v>
      </c>
      <c r="N688" s="27" t="s">
        <v>559</v>
      </c>
    </row>
    <row r="689" spans="1:14" x14ac:dyDescent="0.25">
      <c r="A689" s="38" t="str">
        <f>HYPERLINK("http://reports.ofsted.gov.uk/inspection-reports/find-inspection-report/provider/CARE/SC437305","Ofsted Social Care Provider Webpage")</f>
        <v>Ofsted Social Care Provider Webpage</v>
      </c>
      <c r="B689" s="3" t="s">
        <v>845</v>
      </c>
      <c r="C689" t="s">
        <v>34</v>
      </c>
      <c r="D689" s="19">
        <v>40889</v>
      </c>
      <c r="E689" t="s">
        <v>154</v>
      </c>
      <c r="F689" t="s">
        <v>155</v>
      </c>
      <c r="G689" t="s">
        <v>64</v>
      </c>
      <c r="H689" t="s">
        <v>164</v>
      </c>
      <c r="I689" t="s">
        <v>66</v>
      </c>
      <c r="J689" t="s">
        <v>353</v>
      </c>
      <c r="K689" t="s">
        <v>157</v>
      </c>
      <c r="L689" s="19">
        <v>44139</v>
      </c>
      <c r="M689" s="19">
        <v>44179</v>
      </c>
      <c r="N689" s="27" t="s">
        <v>557</v>
      </c>
    </row>
    <row r="690" spans="1:14" x14ac:dyDescent="0.25">
      <c r="A690" s="38" t="str">
        <f>HYPERLINK("http://reports.ofsted.gov.uk/inspection-reports/find-inspection-report/provider/CARE/SC467264","Ofsted Social Care Provider Webpage")</f>
        <v>Ofsted Social Care Provider Webpage</v>
      </c>
      <c r="B690" s="3" t="s">
        <v>846</v>
      </c>
      <c r="C690" t="s">
        <v>34</v>
      </c>
      <c r="D690" s="19">
        <v>41514</v>
      </c>
      <c r="E690" t="s">
        <v>154</v>
      </c>
      <c r="F690" t="s">
        <v>155</v>
      </c>
      <c r="G690" t="s">
        <v>128</v>
      </c>
      <c r="H690" t="s">
        <v>128</v>
      </c>
      <c r="I690" t="s">
        <v>129</v>
      </c>
      <c r="J690" t="s">
        <v>388</v>
      </c>
      <c r="K690" t="s">
        <v>157</v>
      </c>
      <c r="L690" s="19">
        <v>44139</v>
      </c>
      <c r="M690" s="19">
        <v>44172</v>
      </c>
      <c r="N690" s="27" t="s">
        <v>557</v>
      </c>
    </row>
    <row r="691" spans="1:14" x14ac:dyDescent="0.25">
      <c r="A691" s="38" t="str">
        <f>HYPERLINK("http://reports.ofsted.gov.uk/inspection-reports/find-inspection-report/provider/CARE/2584899","Ofsted Social Care Provider Webpage")</f>
        <v>Ofsted Social Care Provider Webpage</v>
      </c>
      <c r="B691" s="3">
        <v>2584899</v>
      </c>
      <c r="C691" t="s">
        <v>34</v>
      </c>
      <c r="D691" s="19">
        <v>44000</v>
      </c>
      <c r="E691" t="s">
        <v>154</v>
      </c>
      <c r="F691" t="s">
        <v>155</v>
      </c>
      <c r="G691" t="s">
        <v>64</v>
      </c>
      <c r="H691" t="s">
        <v>213</v>
      </c>
      <c r="I691" t="s">
        <v>81</v>
      </c>
      <c r="J691" t="s">
        <v>291</v>
      </c>
      <c r="K691" t="s">
        <v>157</v>
      </c>
      <c r="L691" s="19">
        <v>44139</v>
      </c>
      <c r="M691" s="19">
        <v>44173</v>
      </c>
      <c r="N691" s="27" t="s">
        <v>557</v>
      </c>
    </row>
    <row r="692" spans="1:14" x14ac:dyDescent="0.25">
      <c r="A692" s="38" t="str">
        <f>HYPERLINK("http://reports.ofsted.gov.uk/inspection-reports/find-inspection-report/provider/CARE/1227335","Ofsted Social Care Provider Webpage")</f>
        <v>Ofsted Social Care Provider Webpage</v>
      </c>
      <c r="B692" s="3">
        <v>1227335</v>
      </c>
      <c r="C692" t="s">
        <v>34</v>
      </c>
      <c r="D692" s="19">
        <v>42517</v>
      </c>
      <c r="E692" t="s">
        <v>154</v>
      </c>
      <c r="F692" t="s">
        <v>155</v>
      </c>
      <c r="G692" t="s">
        <v>87</v>
      </c>
      <c r="H692" t="s">
        <v>87</v>
      </c>
      <c r="I692" t="s">
        <v>93</v>
      </c>
      <c r="J692" t="s">
        <v>453</v>
      </c>
      <c r="K692" t="s">
        <v>157</v>
      </c>
      <c r="L692" s="19">
        <v>44139</v>
      </c>
      <c r="M692" s="19">
        <v>44175</v>
      </c>
      <c r="N692" s="27" t="s">
        <v>557</v>
      </c>
    </row>
    <row r="693" spans="1:14" x14ac:dyDescent="0.25">
      <c r="A693" s="38" t="str">
        <f>HYPERLINK("http://reports.ofsted.gov.uk/inspection-reports/find-inspection-report/provider/CARE/2537375","Ofsted Social Care Provider Webpage")</f>
        <v>Ofsted Social Care Provider Webpage</v>
      </c>
      <c r="B693" s="3">
        <v>2537375</v>
      </c>
      <c r="C693" t="s">
        <v>34</v>
      </c>
      <c r="D693" s="19">
        <v>43686</v>
      </c>
      <c r="E693" t="s">
        <v>154</v>
      </c>
      <c r="F693" t="s">
        <v>155</v>
      </c>
      <c r="G693" t="s">
        <v>128</v>
      </c>
      <c r="H693" t="s">
        <v>128</v>
      </c>
      <c r="I693" t="s">
        <v>134</v>
      </c>
      <c r="J693" t="s">
        <v>632</v>
      </c>
      <c r="K693" t="s">
        <v>157</v>
      </c>
      <c r="L693" s="19">
        <v>44139</v>
      </c>
      <c r="M693" s="19">
        <v>44173</v>
      </c>
      <c r="N693" s="27" t="s">
        <v>557</v>
      </c>
    </row>
    <row r="694" spans="1:14" x14ac:dyDescent="0.25">
      <c r="A694" s="38" t="str">
        <f>HYPERLINK("http://reports.ofsted.gov.uk/inspection-reports/find-inspection-report/provider/CARE/SC434806","Ofsted Social Care Provider Webpage")</f>
        <v>Ofsted Social Care Provider Webpage</v>
      </c>
      <c r="B694" s="3" t="s">
        <v>847</v>
      </c>
      <c r="C694" t="s">
        <v>34</v>
      </c>
      <c r="D694" s="19">
        <v>40801</v>
      </c>
      <c r="E694" t="s">
        <v>154</v>
      </c>
      <c r="F694" t="s">
        <v>155</v>
      </c>
      <c r="G694" t="s">
        <v>39</v>
      </c>
      <c r="H694" t="s">
        <v>39</v>
      </c>
      <c r="I694" t="s">
        <v>42</v>
      </c>
      <c r="J694" t="s">
        <v>205</v>
      </c>
      <c r="K694" t="s">
        <v>157</v>
      </c>
      <c r="L694" s="19">
        <v>44139</v>
      </c>
      <c r="M694" s="19">
        <v>44169</v>
      </c>
      <c r="N694" s="27" t="s">
        <v>557</v>
      </c>
    </row>
    <row r="695" spans="1:14" x14ac:dyDescent="0.25">
      <c r="A695" s="38" t="str">
        <f>HYPERLINK("http://reports.ofsted.gov.uk/inspection-reports/find-inspection-report/provider/CARE/2519269","Ofsted Social Care Provider Webpage")</f>
        <v>Ofsted Social Care Provider Webpage</v>
      </c>
      <c r="B695" s="3">
        <v>2519269</v>
      </c>
      <c r="C695" t="s">
        <v>34</v>
      </c>
      <c r="D695" s="19">
        <v>43651</v>
      </c>
      <c r="E695" t="s">
        <v>154</v>
      </c>
      <c r="F695" t="s">
        <v>155</v>
      </c>
      <c r="G695" t="s">
        <v>128</v>
      </c>
      <c r="H695" t="s">
        <v>128</v>
      </c>
      <c r="I695" t="s">
        <v>139</v>
      </c>
      <c r="J695" t="s">
        <v>476</v>
      </c>
      <c r="K695" t="s">
        <v>157</v>
      </c>
      <c r="L695" s="19">
        <v>44139</v>
      </c>
      <c r="M695" s="19">
        <v>44173</v>
      </c>
      <c r="N695" s="27" t="s">
        <v>559</v>
      </c>
    </row>
    <row r="696" spans="1:14" x14ac:dyDescent="0.25">
      <c r="A696" s="38" t="str">
        <f>HYPERLINK("http://reports.ofsted.gov.uk/inspection-reports/find-inspection-report/provider/CARE/SC457923","Ofsted Social Care Provider Webpage")</f>
        <v>Ofsted Social Care Provider Webpage</v>
      </c>
      <c r="B696" s="3" t="s">
        <v>848</v>
      </c>
      <c r="C696" t="s">
        <v>34</v>
      </c>
      <c r="D696" s="19">
        <v>41254</v>
      </c>
      <c r="E696" t="s">
        <v>154</v>
      </c>
      <c r="F696" t="s">
        <v>155</v>
      </c>
      <c r="G696" t="s">
        <v>128</v>
      </c>
      <c r="H696" t="s">
        <v>128</v>
      </c>
      <c r="I696" t="s">
        <v>131</v>
      </c>
      <c r="J696" t="s">
        <v>348</v>
      </c>
      <c r="K696" t="s">
        <v>157</v>
      </c>
      <c r="L696" s="19">
        <v>44139</v>
      </c>
      <c r="M696" s="19">
        <v>44167</v>
      </c>
      <c r="N696" s="27" t="s">
        <v>557</v>
      </c>
    </row>
    <row r="697" spans="1:14" x14ac:dyDescent="0.25">
      <c r="A697" s="38" t="str">
        <f>HYPERLINK("http://reports.ofsted.gov.uk/inspection-reports/find-inspection-report/provider/CARE/SC035648","Ofsted Social Care Provider Webpage")</f>
        <v>Ofsted Social Care Provider Webpage</v>
      </c>
      <c r="B697" s="3" t="s">
        <v>909</v>
      </c>
      <c r="C697" t="s">
        <v>37</v>
      </c>
      <c r="D697" s="19">
        <v>37868</v>
      </c>
      <c r="E697" t="s">
        <v>154</v>
      </c>
      <c r="F697" t="s">
        <v>155</v>
      </c>
      <c r="G697" t="s">
        <v>64</v>
      </c>
      <c r="H697" t="s">
        <v>213</v>
      </c>
      <c r="I697" t="s">
        <v>70</v>
      </c>
      <c r="J697" t="s">
        <v>269</v>
      </c>
      <c r="K697" t="s">
        <v>172</v>
      </c>
      <c r="L697" s="19">
        <v>44144</v>
      </c>
      <c r="M697" s="19">
        <v>44168</v>
      </c>
      <c r="N697" s="27" t="s">
        <v>557</v>
      </c>
    </row>
    <row r="698" spans="1:14" x14ac:dyDescent="0.25">
      <c r="A698" s="38" t="str">
        <f>HYPERLINK("http://reports.ofsted.gov.uk/inspection-reports/find-inspection-report/provider/CARE/SC430757","Ofsted Social Care Provider Webpage")</f>
        <v>Ofsted Social Care Provider Webpage</v>
      </c>
      <c r="B698" s="3" t="s">
        <v>945</v>
      </c>
      <c r="C698" t="s">
        <v>581</v>
      </c>
      <c r="D698" s="19">
        <v>40780</v>
      </c>
      <c r="E698" t="s">
        <v>154</v>
      </c>
      <c r="F698" t="s">
        <v>946</v>
      </c>
      <c r="G698" t="s">
        <v>48</v>
      </c>
      <c r="H698" t="s">
        <v>48</v>
      </c>
      <c r="I698" t="s">
        <v>53</v>
      </c>
      <c r="J698" t="s">
        <v>346</v>
      </c>
      <c r="K698" t="s">
        <v>168</v>
      </c>
      <c r="L698" s="19">
        <v>44146</v>
      </c>
      <c r="M698" s="19">
        <v>44175</v>
      </c>
      <c r="N698" s="27" t="s">
        <v>557</v>
      </c>
    </row>
    <row r="699" spans="1:14" x14ac:dyDescent="0.25">
      <c r="A699" s="38" t="str">
        <f>HYPERLINK("http://reports.ofsted.gov.uk/inspection-reports/find-inspection-report/provider/CARE/SC035409","Ofsted Social Care Provider Webpage")</f>
        <v>Ofsted Social Care Provider Webpage</v>
      </c>
      <c r="B699" s="3" t="s">
        <v>1031</v>
      </c>
      <c r="C699" t="s">
        <v>37</v>
      </c>
      <c r="D699" s="19">
        <v>37733</v>
      </c>
      <c r="E699" t="s">
        <v>154</v>
      </c>
      <c r="F699" t="s">
        <v>155</v>
      </c>
      <c r="G699" t="s">
        <v>64</v>
      </c>
      <c r="H699" t="s">
        <v>213</v>
      </c>
      <c r="I699" t="s">
        <v>80</v>
      </c>
      <c r="J699" t="s">
        <v>1032</v>
      </c>
      <c r="K699" t="s">
        <v>172</v>
      </c>
      <c r="L699" s="19">
        <v>44151</v>
      </c>
      <c r="M699" s="19">
        <v>44194</v>
      </c>
      <c r="N699" s="27" t="s">
        <v>559</v>
      </c>
    </row>
    <row r="700" spans="1:14" x14ac:dyDescent="0.25">
      <c r="A700" s="38" t="str">
        <f>HYPERLINK("http://reports.ofsted.gov.uk/inspection-reports/find-inspection-report/provider/CARE/1183495","Ofsted Social Care Provider Webpage")</f>
        <v>Ofsted Social Care Provider Webpage</v>
      </c>
      <c r="B700" s="3">
        <v>1183495</v>
      </c>
      <c r="C700" t="s">
        <v>581</v>
      </c>
      <c r="D700" s="19">
        <v>42277</v>
      </c>
      <c r="E700" t="s">
        <v>154</v>
      </c>
      <c r="F700" t="s">
        <v>1049</v>
      </c>
      <c r="G700" t="s">
        <v>105</v>
      </c>
      <c r="H700" t="s">
        <v>105</v>
      </c>
      <c r="I700" t="s">
        <v>704</v>
      </c>
      <c r="J700" t="s">
        <v>704</v>
      </c>
      <c r="K700" t="s">
        <v>168</v>
      </c>
      <c r="L700" s="19">
        <v>44152</v>
      </c>
      <c r="M700" s="19">
        <v>44187</v>
      </c>
      <c r="N700" s="27" t="s">
        <v>557</v>
      </c>
    </row>
    <row r="701" spans="1:14" x14ac:dyDescent="0.25">
      <c r="A701" s="38" t="str">
        <f>HYPERLINK("http://reports.ofsted.gov.uk/inspection-reports/find-inspection-report/provider/CARE/SC043552","Ofsted Social Care Provider Webpage")</f>
        <v>Ofsted Social Care Provider Webpage</v>
      </c>
      <c r="B701" s="3" t="s">
        <v>1050</v>
      </c>
      <c r="C701" t="s">
        <v>581</v>
      </c>
      <c r="D701" s="19">
        <v>38006</v>
      </c>
      <c r="E701" t="s">
        <v>154</v>
      </c>
      <c r="F701" t="s">
        <v>1051</v>
      </c>
      <c r="G701" t="s">
        <v>57</v>
      </c>
      <c r="H701" t="s">
        <v>57</v>
      </c>
      <c r="I701" t="s">
        <v>62</v>
      </c>
      <c r="J701" t="s">
        <v>922</v>
      </c>
      <c r="K701" t="s">
        <v>168</v>
      </c>
      <c r="L701" s="19">
        <v>44152</v>
      </c>
      <c r="M701" s="19">
        <v>44194</v>
      </c>
      <c r="N701" s="27" t="s">
        <v>557</v>
      </c>
    </row>
    <row r="702" spans="1:14" x14ac:dyDescent="0.25">
      <c r="A702" s="38" t="str">
        <f>HYPERLINK("http://reports.ofsted.gov.uk/inspection-reports/find-inspection-report/provider/CARE/2553271","Ofsted Social Care Provider Webpage")</f>
        <v>Ofsted Social Care Provider Webpage</v>
      </c>
      <c r="B702" s="3">
        <v>2553271</v>
      </c>
      <c r="C702" t="s">
        <v>581</v>
      </c>
      <c r="D702" s="19">
        <v>43847</v>
      </c>
      <c r="E702" t="s">
        <v>154</v>
      </c>
      <c r="F702" t="s">
        <v>1052</v>
      </c>
      <c r="G702" t="s">
        <v>39</v>
      </c>
      <c r="H702" t="s">
        <v>39</v>
      </c>
      <c r="I702" t="s">
        <v>46</v>
      </c>
      <c r="J702" t="s">
        <v>190</v>
      </c>
      <c r="K702" t="s">
        <v>157</v>
      </c>
      <c r="L702" s="19">
        <v>44152</v>
      </c>
      <c r="M702" s="19">
        <v>44176</v>
      </c>
      <c r="N702" s="27" t="s">
        <v>557</v>
      </c>
    </row>
    <row r="703" spans="1:14" x14ac:dyDescent="0.25">
      <c r="A703" s="38" t="str">
        <f>HYPERLINK("http://reports.ofsted.gov.uk/inspection-reports/find-inspection-report/provider/CARE/SC472125","Ofsted Social Care Provider Webpage")</f>
        <v>Ofsted Social Care Provider Webpage</v>
      </c>
      <c r="B703" s="3" t="s">
        <v>1058</v>
      </c>
      <c r="C703" t="s">
        <v>581</v>
      </c>
      <c r="D703" s="19">
        <v>41669</v>
      </c>
      <c r="E703" t="s">
        <v>154</v>
      </c>
      <c r="F703" t="s">
        <v>1059</v>
      </c>
      <c r="G703" t="s">
        <v>128</v>
      </c>
      <c r="H703" t="s">
        <v>128</v>
      </c>
      <c r="I703" t="s">
        <v>137</v>
      </c>
      <c r="J703" t="s">
        <v>968</v>
      </c>
      <c r="K703" t="s">
        <v>157</v>
      </c>
      <c r="L703" s="19">
        <v>44153</v>
      </c>
      <c r="M703" s="19">
        <v>44194</v>
      </c>
      <c r="N703" s="27" t="s">
        <v>557</v>
      </c>
    </row>
    <row r="704" spans="1:14" x14ac:dyDescent="0.25">
      <c r="A704" s="38" t="str">
        <f>HYPERLINK("http://reports.ofsted.gov.uk/inspection-reports/find-inspection-report/provider/CARE/SC451751","Ofsted Social Care Provider Webpage")</f>
        <v>Ofsted Social Care Provider Webpage</v>
      </c>
      <c r="B704" s="3" t="s">
        <v>1060</v>
      </c>
      <c r="C704" t="s">
        <v>581</v>
      </c>
      <c r="D704" s="19">
        <v>41199</v>
      </c>
      <c r="E704" t="s">
        <v>154</v>
      </c>
      <c r="F704" t="s">
        <v>1061</v>
      </c>
      <c r="G704" t="s">
        <v>57</v>
      </c>
      <c r="H704" t="s">
        <v>57</v>
      </c>
      <c r="I704" t="s">
        <v>668</v>
      </c>
      <c r="J704" t="s">
        <v>1062</v>
      </c>
      <c r="K704" t="s">
        <v>157</v>
      </c>
      <c r="L704" s="19">
        <v>44153</v>
      </c>
      <c r="M704" s="19">
        <v>44200</v>
      </c>
      <c r="N704" s="27" t="s">
        <v>557</v>
      </c>
    </row>
    <row r="705" spans="1:14" x14ac:dyDescent="0.25">
      <c r="A705" s="38" t="str">
        <f>HYPERLINK("http://reports.ofsted.gov.uk/inspection-reports/find-inspection-report/provider/CARE/SC405567","Ofsted Social Care Provider Webpage")</f>
        <v>Ofsted Social Care Provider Webpage</v>
      </c>
      <c r="B705" s="3" t="s">
        <v>1063</v>
      </c>
      <c r="C705" t="s">
        <v>581</v>
      </c>
      <c r="D705" s="19">
        <v>40275</v>
      </c>
      <c r="E705" t="s">
        <v>154</v>
      </c>
      <c r="F705" t="s">
        <v>1064</v>
      </c>
      <c r="G705" t="s">
        <v>64</v>
      </c>
      <c r="H705" t="s">
        <v>164</v>
      </c>
      <c r="I705" t="s">
        <v>66</v>
      </c>
      <c r="J705" t="s">
        <v>283</v>
      </c>
      <c r="K705" t="s">
        <v>157</v>
      </c>
      <c r="L705" s="19">
        <v>44153</v>
      </c>
      <c r="M705" s="19">
        <v>44200</v>
      </c>
      <c r="N705" s="27" t="s">
        <v>557</v>
      </c>
    </row>
    <row r="706" spans="1:14" x14ac:dyDescent="0.25">
      <c r="A706" s="38" t="str">
        <f>HYPERLINK("http://reports.ofsted.gov.uk/inspection-reports/find-inspection-report/provider/CARE/2567404","Ofsted Social Care Provider Webpage")</f>
        <v>Ofsted Social Care Provider Webpage</v>
      </c>
      <c r="B706" s="3">
        <v>2567404</v>
      </c>
      <c r="C706" t="s">
        <v>581</v>
      </c>
      <c r="D706" s="19">
        <v>43796</v>
      </c>
      <c r="E706" t="s">
        <v>154</v>
      </c>
      <c r="F706" t="s">
        <v>1133</v>
      </c>
      <c r="G706" t="s">
        <v>39</v>
      </c>
      <c r="H706" t="s">
        <v>39</v>
      </c>
      <c r="I706" t="s">
        <v>46</v>
      </c>
      <c r="J706" t="s">
        <v>501</v>
      </c>
      <c r="K706" t="s">
        <v>157</v>
      </c>
      <c r="L706" s="19">
        <v>44159</v>
      </c>
      <c r="M706" s="19">
        <v>44194</v>
      </c>
      <c r="N706" s="27" t="s">
        <v>557</v>
      </c>
    </row>
    <row r="707" spans="1:14" x14ac:dyDescent="0.25">
      <c r="A707" s="38" t="str">
        <f>HYPERLINK("http://reports.ofsted.gov.uk/inspection-reports/find-inspection-report/provider/CARE/SC456174","Ofsted Social Care Provider Webpage")</f>
        <v>Ofsted Social Care Provider Webpage</v>
      </c>
      <c r="B707" s="3" t="s">
        <v>1134</v>
      </c>
      <c r="C707" t="s">
        <v>581</v>
      </c>
      <c r="D707" s="19">
        <v>41240</v>
      </c>
      <c r="E707" t="s">
        <v>154</v>
      </c>
      <c r="F707" t="s">
        <v>1135</v>
      </c>
      <c r="G707" t="s">
        <v>64</v>
      </c>
      <c r="H707" t="s">
        <v>164</v>
      </c>
      <c r="I707" t="s">
        <v>83</v>
      </c>
      <c r="J707" t="s">
        <v>364</v>
      </c>
      <c r="K707" t="s">
        <v>157</v>
      </c>
      <c r="L707" s="19">
        <v>44159</v>
      </c>
      <c r="M707" s="19">
        <v>44203</v>
      </c>
      <c r="N707" s="27" t="s">
        <v>557</v>
      </c>
    </row>
    <row r="708" spans="1:14" x14ac:dyDescent="0.25">
      <c r="A708" s="38" t="str">
        <f>HYPERLINK("http://reports.ofsted.gov.uk/inspection-reports/find-inspection-report/provider/CARE/2502331","Ofsted Social Care Provider Webpage")</f>
        <v>Ofsted Social Care Provider Webpage</v>
      </c>
      <c r="B708" s="3">
        <v>2502331</v>
      </c>
      <c r="C708" t="s">
        <v>581</v>
      </c>
      <c r="D708" s="19">
        <v>43496</v>
      </c>
      <c r="E708" t="s">
        <v>154</v>
      </c>
      <c r="F708" t="s">
        <v>1136</v>
      </c>
      <c r="G708" t="s">
        <v>105</v>
      </c>
      <c r="H708" t="s">
        <v>105</v>
      </c>
      <c r="I708" t="s">
        <v>703</v>
      </c>
      <c r="J708" t="s">
        <v>1137</v>
      </c>
      <c r="K708" t="s">
        <v>168</v>
      </c>
      <c r="L708" s="19">
        <v>44159</v>
      </c>
      <c r="M708" s="19">
        <v>44217</v>
      </c>
      <c r="N708" s="27" t="s">
        <v>557</v>
      </c>
    </row>
    <row r="709" spans="1:14" x14ac:dyDescent="0.25">
      <c r="A709" s="38" t="str">
        <f>HYPERLINK("http://reports.ofsted.gov.uk/inspection-reports/find-inspection-report/provider/CARE/2509056","Ofsted Social Care Provider Webpage")</f>
        <v>Ofsted Social Care Provider Webpage</v>
      </c>
      <c r="B709" s="3">
        <v>2509056</v>
      </c>
      <c r="C709" t="s">
        <v>581</v>
      </c>
      <c r="D709" s="19">
        <v>43788</v>
      </c>
      <c r="E709" t="s">
        <v>154</v>
      </c>
      <c r="F709" t="s">
        <v>1138</v>
      </c>
      <c r="G709" t="s">
        <v>128</v>
      </c>
      <c r="H709" t="s">
        <v>128</v>
      </c>
      <c r="I709" t="s">
        <v>134</v>
      </c>
      <c r="J709" t="s">
        <v>934</v>
      </c>
      <c r="K709" t="s">
        <v>157</v>
      </c>
      <c r="L709" s="19">
        <v>44159</v>
      </c>
      <c r="M709" s="19">
        <v>44194</v>
      </c>
      <c r="N709" s="27" t="s">
        <v>557</v>
      </c>
    </row>
    <row r="710" spans="1:14" x14ac:dyDescent="0.25">
      <c r="A710" s="38" t="str">
        <f>HYPERLINK("http://reports.ofsted.gov.uk/inspection-reports/find-inspection-report/provider/CARE/SC033457","Ofsted Social Care Provider Webpage")</f>
        <v>Ofsted Social Care Provider Webpage</v>
      </c>
      <c r="B710" s="3" t="s">
        <v>1139</v>
      </c>
      <c r="C710" t="s">
        <v>37</v>
      </c>
      <c r="D710" s="19">
        <v>37812</v>
      </c>
      <c r="E710" t="s">
        <v>154</v>
      </c>
      <c r="F710" t="s">
        <v>155</v>
      </c>
      <c r="G710" t="s">
        <v>64</v>
      </c>
      <c r="H710" t="s">
        <v>164</v>
      </c>
      <c r="I710" t="s">
        <v>74</v>
      </c>
      <c r="J710" t="s">
        <v>344</v>
      </c>
      <c r="K710" t="s">
        <v>172</v>
      </c>
      <c r="L710" s="19">
        <v>44159</v>
      </c>
      <c r="M710" s="19">
        <v>44194</v>
      </c>
      <c r="N710" s="27" t="s">
        <v>557</v>
      </c>
    </row>
    <row r="711" spans="1:14" x14ac:dyDescent="0.25">
      <c r="A711" s="38" t="str">
        <f>HYPERLINK("http://reports.ofsted.gov.uk/inspection-reports/find-inspection-report/provider/CARE/SC035026","Ofsted Social Care Provider Webpage")</f>
        <v>Ofsted Social Care Provider Webpage</v>
      </c>
      <c r="B711" s="3" t="s">
        <v>1140</v>
      </c>
      <c r="C711" t="s">
        <v>581</v>
      </c>
      <c r="D711" s="19">
        <v>37838</v>
      </c>
      <c r="E711" t="s">
        <v>154</v>
      </c>
      <c r="F711" t="s">
        <v>1141</v>
      </c>
      <c r="G711" t="s">
        <v>105</v>
      </c>
      <c r="H711" t="s">
        <v>105</v>
      </c>
      <c r="I711" t="s">
        <v>704</v>
      </c>
      <c r="J711" t="s">
        <v>704</v>
      </c>
      <c r="K711" t="s">
        <v>157</v>
      </c>
      <c r="L711" s="19">
        <v>44159</v>
      </c>
      <c r="M711" s="19">
        <v>44228</v>
      </c>
      <c r="N711" s="27" t="s">
        <v>557</v>
      </c>
    </row>
    <row r="712" spans="1:14" x14ac:dyDescent="0.25">
      <c r="A712" s="38" t="str">
        <f>HYPERLINK("http://reports.ofsted.gov.uk/inspection-reports/find-inspection-report/provider/CARE/2541624","Ofsted Social Care Provider Webpage")</f>
        <v>Ofsted Social Care Provider Webpage</v>
      </c>
      <c r="B712" s="3">
        <v>2541624</v>
      </c>
      <c r="C712" t="s">
        <v>581</v>
      </c>
      <c r="D712" s="19">
        <v>43741</v>
      </c>
      <c r="E712" t="s">
        <v>154</v>
      </c>
      <c r="F712" t="s">
        <v>1142</v>
      </c>
      <c r="G712" t="s">
        <v>128</v>
      </c>
      <c r="H712" t="s">
        <v>128</v>
      </c>
      <c r="I712" t="s">
        <v>131</v>
      </c>
      <c r="J712" t="s">
        <v>486</v>
      </c>
      <c r="K712" t="s">
        <v>157</v>
      </c>
      <c r="L712" s="19">
        <v>44159</v>
      </c>
      <c r="M712" s="19">
        <v>44194</v>
      </c>
      <c r="N712" s="27" t="s">
        <v>557</v>
      </c>
    </row>
    <row r="713" spans="1:14" x14ac:dyDescent="0.25">
      <c r="A713" s="38" t="str">
        <f>HYPERLINK("http://reports.ofsted.gov.uk/inspection-reports/find-inspection-report/provider/CARE/2537401","Ofsted Social Care Provider Webpage")</f>
        <v>Ofsted Social Care Provider Webpage</v>
      </c>
      <c r="B713" s="3">
        <v>2537401</v>
      </c>
      <c r="C713" t="s">
        <v>581</v>
      </c>
      <c r="D713" s="19">
        <v>43678</v>
      </c>
      <c r="E713" t="s">
        <v>154</v>
      </c>
      <c r="F713" t="s">
        <v>1143</v>
      </c>
      <c r="G713" t="s">
        <v>57</v>
      </c>
      <c r="H713" t="s">
        <v>57</v>
      </c>
      <c r="I713" t="s">
        <v>62</v>
      </c>
      <c r="J713" t="s">
        <v>324</v>
      </c>
      <c r="K713" t="s">
        <v>157</v>
      </c>
      <c r="L713" s="19">
        <v>44159</v>
      </c>
      <c r="M713" s="19">
        <v>44186</v>
      </c>
      <c r="N713" s="27" t="s">
        <v>557</v>
      </c>
    </row>
    <row r="714" spans="1:14" x14ac:dyDescent="0.25">
      <c r="A714" s="38" t="str">
        <f>HYPERLINK("http://reports.ofsted.gov.uk/inspection-reports/find-inspection-report/provider/CARE/2551006","Ofsted Social Care Provider Webpage")</f>
        <v>Ofsted Social Care Provider Webpage</v>
      </c>
      <c r="B714" s="3">
        <v>2551006</v>
      </c>
      <c r="C714" t="s">
        <v>581</v>
      </c>
      <c r="D714" s="19">
        <v>43826</v>
      </c>
      <c r="E714" t="s">
        <v>154</v>
      </c>
      <c r="F714" t="s">
        <v>1144</v>
      </c>
      <c r="G714" t="s">
        <v>48</v>
      </c>
      <c r="H714" t="s">
        <v>48</v>
      </c>
      <c r="I714" t="s">
        <v>51</v>
      </c>
      <c r="J714" t="s">
        <v>1145</v>
      </c>
      <c r="K714" t="s">
        <v>168</v>
      </c>
      <c r="L714" s="19">
        <v>44159</v>
      </c>
      <c r="M714" s="19">
        <v>44194</v>
      </c>
      <c r="N714" s="27" t="s">
        <v>557</v>
      </c>
    </row>
    <row r="715" spans="1:14" x14ac:dyDescent="0.25">
      <c r="A715" s="38" t="str">
        <f>HYPERLINK("http://reports.ofsted.gov.uk/inspection-reports/find-inspection-report/provider/CARE/2592566","Ofsted Social Care Provider Webpage")</f>
        <v>Ofsted Social Care Provider Webpage</v>
      </c>
      <c r="B715" s="3">
        <v>2592566</v>
      </c>
      <c r="C715" t="s">
        <v>581</v>
      </c>
      <c r="D715" s="19">
        <v>44006</v>
      </c>
      <c r="E715" t="s">
        <v>154</v>
      </c>
      <c r="F715" t="s">
        <v>749</v>
      </c>
      <c r="G715" t="s">
        <v>87</v>
      </c>
      <c r="H715" t="s">
        <v>87</v>
      </c>
      <c r="I715" t="s">
        <v>93</v>
      </c>
      <c r="J715" t="s">
        <v>408</v>
      </c>
      <c r="K715" t="s">
        <v>157</v>
      </c>
      <c r="L715" s="19">
        <v>44166</v>
      </c>
      <c r="M715" s="19">
        <v>44207</v>
      </c>
      <c r="N715" s="27" t="s">
        <v>557</v>
      </c>
    </row>
    <row r="716" spans="1:14" x14ac:dyDescent="0.25">
      <c r="A716" s="38" t="str">
        <f>HYPERLINK("http://reports.ofsted.gov.uk/inspection-reports/find-inspection-report/provider/CARE/2509967","Ofsted Social Care Provider Webpage")</f>
        <v>Ofsted Social Care Provider Webpage</v>
      </c>
      <c r="B716" s="3">
        <v>2509967</v>
      </c>
      <c r="C716" t="s">
        <v>581</v>
      </c>
      <c r="D716" s="19">
        <v>43753</v>
      </c>
      <c r="E716" t="s">
        <v>154</v>
      </c>
      <c r="F716" t="s">
        <v>750</v>
      </c>
      <c r="G716" t="s">
        <v>128</v>
      </c>
      <c r="H716" t="s">
        <v>128</v>
      </c>
      <c r="I716" t="s">
        <v>132</v>
      </c>
      <c r="J716" t="s">
        <v>430</v>
      </c>
      <c r="K716" t="s">
        <v>157</v>
      </c>
      <c r="L716" s="19">
        <v>44166</v>
      </c>
      <c r="M716" s="19">
        <v>44203</v>
      </c>
      <c r="N716" s="27" t="s">
        <v>557</v>
      </c>
    </row>
    <row r="717" spans="1:14" x14ac:dyDescent="0.25">
      <c r="A717" s="38" t="str">
        <f>HYPERLINK("http://reports.ofsted.gov.uk/inspection-reports/find-inspection-report/provider/CARE/2484185","Ofsted Social Care Provider Webpage")</f>
        <v>Ofsted Social Care Provider Webpage</v>
      </c>
      <c r="B717" s="3">
        <v>2484185</v>
      </c>
      <c r="C717" t="s">
        <v>581</v>
      </c>
      <c r="D717" s="19">
        <v>43532</v>
      </c>
      <c r="E717" t="s">
        <v>154</v>
      </c>
      <c r="F717" t="s">
        <v>751</v>
      </c>
      <c r="G717" t="s">
        <v>39</v>
      </c>
      <c r="H717" t="s">
        <v>39</v>
      </c>
      <c r="I717" t="s">
        <v>44</v>
      </c>
      <c r="J717" t="s">
        <v>194</v>
      </c>
      <c r="K717" t="s">
        <v>157</v>
      </c>
      <c r="L717" s="19">
        <v>44166</v>
      </c>
      <c r="M717" s="19">
        <v>44204</v>
      </c>
      <c r="N717" s="27" t="s">
        <v>557</v>
      </c>
    </row>
    <row r="718" spans="1:14" x14ac:dyDescent="0.25">
      <c r="A718" s="38" t="str">
        <f>HYPERLINK("http://reports.ofsted.gov.uk/inspection-reports/find-inspection-report/provider/CARE/2526987","Ofsted Social Care Provider Webpage")</f>
        <v>Ofsted Social Care Provider Webpage</v>
      </c>
      <c r="B718" s="3">
        <v>2526987</v>
      </c>
      <c r="C718" t="s">
        <v>34</v>
      </c>
      <c r="D718" s="19">
        <v>43634</v>
      </c>
      <c r="E718" t="s">
        <v>154</v>
      </c>
      <c r="F718" t="s">
        <v>155</v>
      </c>
      <c r="G718" t="s">
        <v>48</v>
      </c>
      <c r="H718" t="s">
        <v>48</v>
      </c>
      <c r="I718" t="s">
        <v>52</v>
      </c>
      <c r="J718" t="s">
        <v>752</v>
      </c>
      <c r="K718" t="s">
        <v>157</v>
      </c>
      <c r="L718" s="19">
        <v>44166</v>
      </c>
      <c r="M718" s="19">
        <v>44201</v>
      </c>
      <c r="N718" s="27" t="s">
        <v>557</v>
      </c>
    </row>
    <row r="719" spans="1:14" x14ac:dyDescent="0.25">
      <c r="A719" s="38" t="str">
        <f>HYPERLINK("http://reports.ofsted.gov.uk/inspection-reports/find-inspection-report/provider/CARE/SC488961","Ofsted Social Care Provider Webpage")</f>
        <v>Ofsted Social Care Provider Webpage</v>
      </c>
      <c r="B719" s="3" t="s">
        <v>753</v>
      </c>
      <c r="C719" t="s">
        <v>34</v>
      </c>
      <c r="D719" s="19">
        <v>42447</v>
      </c>
      <c r="E719" t="s">
        <v>154</v>
      </c>
      <c r="F719" t="s">
        <v>155</v>
      </c>
      <c r="G719" t="s">
        <v>39</v>
      </c>
      <c r="H719" t="s">
        <v>39</v>
      </c>
      <c r="I719" t="s">
        <v>46</v>
      </c>
      <c r="J719" t="s">
        <v>754</v>
      </c>
      <c r="K719" t="s">
        <v>157</v>
      </c>
      <c r="L719" s="19">
        <v>44166</v>
      </c>
      <c r="M719" s="19">
        <v>44201</v>
      </c>
      <c r="N719" s="27" t="s">
        <v>557</v>
      </c>
    </row>
    <row r="720" spans="1:14" x14ac:dyDescent="0.25">
      <c r="A720" s="38" t="str">
        <f>HYPERLINK("http://reports.ofsted.gov.uk/inspection-reports/find-inspection-report/provider/CARE/SC069336","Ofsted Social Care Provider Webpage")</f>
        <v>Ofsted Social Care Provider Webpage</v>
      </c>
      <c r="B720" s="3" t="s">
        <v>770</v>
      </c>
      <c r="C720" t="s">
        <v>36</v>
      </c>
      <c r="D720" s="19">
        <v>39157</v>
      </c>
      <c r="E720" t="s">
        <v>154</v>
      </c>
      <c r="F720" t="s">
        <v>155</v>
      </c>
      <c r="G720" t="s">
        <v>105</v>
      </c>
      <c r="H720" t="s">
        <v>105</v>
      </c>
      <c r="I720" t="s">
        <v>706</v>
      </c>
      <c r="J720" t="s">
        <v>771</v>
      </c>
      <c r="K720" t="s">
        <v>168</v>
      </c>
      <c r="L720" s="19">
        <v>44167</v>
      </c>
      <c r="M720" s="19">
        <v>44211</v>
      </c>
      <c r="N720" s="27" t="s">
        <v>557</v>
      </c>
    </row>
    <row r="721" spans="1:14" x14ac:dyDescent="0.25">
      <c r="A721" s="38" t="str">
        <f>HYPERLINK("http://reports.ofsted.gov.uk/inspection-reports/find-inspection-report/provider/CARE/2592035","Ofsted Social Care Provider Webpage")</f>
        <v>Ofsted Social Care Provider Webpage</v>
      </c>
      <c r="B721" s="3">
        <v>2592035</v>
      </c>
      <c r="C721" t="s">
        <v>34</v>
      </c>
      <c r="D721" s="19">
        <v>43991</v>
      </c>
      <c r="E721" t="s">
        <v>154</v>
      </c>
      <c r="F721" t="s">
        <v>155</v>
      </c>
      <c r="G721" t="s">
        <v>87</v>
      </c>
      <c r="H721" t="s">
        <v>87</v>
      </c>
      <c r="I721" t="s">
        <v>104</v>
      </c>
      <c r="J721" t="s">
        <v>772</v>
      </c>
      <c r="K721" t="s">
        <v>157</v>
      </c>
      <c r="L721" s="19">
        <v>44167</v>
      </c>
      <c r="M721" s="19">
        <v>44215</v>
      </c>
      <c r="N721" s="27" t="s">
        <v>559</v>
      </c>
    </row>
    <row r="722" spans="1:14" x14ac:dyDescent="0.25">
      <c r="A722" s="38" t="str">
        <f>HYPERLINK("http://reports.ofsted.gov.uk/inspection-reports/find-inspection-report/provider/CARE/SC398385","Ofsted Social Care Provider Webpage")</f>
        <v>Ofsted Social Care Provider Webpage</v>
      </c>
      <c r="B722" s="3" t="s">
        <v>773</v>
      </c>
      <c r="C722" t="s">
        <v>34</v>
      </c>
      <c r="D722" s="19">
        <v>40014</v>
      </c>
      <c r="E722" t="s">
        <v>154</v>
      </c>
      <c r="F722" t="s">
        <v>155</v>
      </c>
      <c r="G722" t="s">
        <v>128</v>
      </c>
      <c r="H722" t="s">
        <v>128</v>
      </c>
      <c r="I722" t="s">
        <v>134</v>
      </c>
      <c r="J722" t="s">
        <v>632</v>
      </c>
      <c r="K722" t="s">
        <v>157</v>
      </c>
      <c r="L722" s="19">
        <v>44167</v>
      </c>
      <c r="M722" s="19">
        <v>44200</v>
      </c>
      <c r="N722" s="27" t="s">
        <v>557</v>
      </c>
    </row>
    <row r="723" spans="1:14" x14ac:dyDescent="0.25">
      <c r="A723" s="38" t="str">
        <f>HYPERLINK("http://reports.ofsted.gov.uk/inspection-reports/find-inspection-report/provider/CARE/SC439153","Ofsted Social Care Provider Webpage")</f>
        <v>Ofsted Social Care Provider Webpage</v>
      </c>
      <c r="B723" s="3" t="s">
        <v>774</v>
      </c>
      <c r="C723" t="s">
        <v>34</v>
      </c>
      <c r="D723" s="19">
        <v>40940</v>
      </c>
      <c r="E723" t="s">
        <v>154</v>
      </c>
      <c r="F723" t="s">
        <v>155</v>
      </c>
      <c r="G723" t="s">
        <v>48</v>
      </c>
      <c r="H723" t="s">
        <v>48</v>
      </c>
      <c r="I723" t="s">
        <v>49</v>
      </c>
      <c r="J723" t="s">
        <v>341</v>
      </c>
      <c r="K723" t="s">
        <v>168</v>
      </c>
      <c r="L723" s="19">
        <v>44167</v>
      </c>
      <c r="M723" s="19">
        <v>44200</v>
      </c>
      <c r="N723" s="27" t="s">
        <v>557</v>
      </c>
    </row>
    <row r="724" spans="1:14" x14ac:dyDescent="0.25">
      <c r="A724" s="38" t="str">
        <f>HYPERLINK("http://reports.ofsted.gov.uk/inspection-reports/find-inspection-report/provider/CARE/2540658","Ofsted Social Care Provider Webpage")</f>
        <v>Ofsted Social Care Provider Webpage</v>
      </c>
      <c r="B724" s="3">
        <v>2540658</v>
      </c>
      <c r="C724" t="s">
        <v>34</v>
      </c>
      <c r="D724" s="19">
        <v>43713</v>
      </c>
      <c r="E724" t="s">
        <v>154</v>
      </c>
      <c r="F724" t="s">
        <v>155</v>
      </c>
      <c r="G724" t="s">
        <v>87</v>
      </c>
      <c r="H724" t="s">
        <v>87</v>
      </c>
      <c r="I724" t="s">
        <v>104</v>
      </c>
      <c r="J724" t="s">
        <v>189</v>
      </c>
      <c r="K724" t="s">
        <v>157</v>
      </c>
      <c r="L724" s="19">
        <v>44167</v>
      </c>
      <c r="M724" s="19">
        <v>44214</v>
      </c>
      <c r="N724" s="27" t="s">
        <v>559</v>
      </c>
    </row>
    <row r="725" spans="1:14" x14ac:dyDescent="0.25">
      <c r="A725" s="38" t="str">
        <f>HYPERLINK("http://reports.ofsted.gov.uk/inspection-reports/find-inspection-report/provider/CARE/2558515","Ofsted Social Care Provider Webpage")</f>
        <v>Ofsted Social Care Provider Webpage</v>
      </c>
      <c r="B725" s="3">
        <v>2558515</v>
      </c>
      <c r="C725" t="s">
        <v>34</v>
      </c>
      <c r="D725" s="19">
        <v>43818</v>
      </c>
      <c r="E725" t="s">
        <v>154</v>
      </c>
      <c r="F725" t="s">
        <v>155</v>
      </c>
      <c r="G725" t="s">
        <v>39</v>
      </c>
      <c r="H725" t="s">
        <v>39</v>
      </c>
      <c r="I725" t="s">
        <v>41</v>
      </c>
      <c r="J725" t="s">
        <v>484</v>
      </c>
      <c r="K725" t="s">
        <v>157</v>
      </c>
      <c r="L725" s="19">
        <v>44167</v>
      </c>
      <c r="M725" s="19">
        <v>44204</v>
      </c>
      <c r="N725" s="27" t="s">
        <v>557</v>
      </c>
    </row>
    <row r="726" spans="1:14" x14ac:dyDescent="0.25">
      <c r="A726" s="38" t="str">
        <f>HYPERLINK("http://reports.ofsted.gov.uk/inspection-reports/find-inspection-report/provider/CARE/SC452713","Ofsted Social Care Provider Webpage")</f>
        <v>Ofsted Social Care Provider Webpage</v>
      </c>
      <c r="B726" s="3" t="s">
        <v>775</v>
      </c>
      <c r="C726" t="s">
        <v>34</v>
      </c>
      <c r="D726" s="19">
        <v>41181</v>
      </c>
      <c r="E726" t="s">
        <v>154</v>
      </c>
      <c r="F726" t="s">
        <v>155</v>
      </c>
      <c r="G726" t="s">
        <v>114</v>
      </c>
      <c r="H726" t="s">
        <v>114</v>
      </c>
      <c r="I726" t="s">
        <v>124</v>
      </c>
      <c r="J726" t="s">
        <v>226</v>
      </c>
      <c r="K726" t="s">
        <v>157</v>
      </c>
      <c r="L726" s="19">
        <v>44167</v>
      </c>
      <c r="M726" s="19">
        <v>44200</v>
      </c>
      <c r="N726" s="27" t="s">
        <v>557</v>
      </c>
    </row>
    <row r="727" spans="1:14" x14ac:dyDescent="0.25">
      <c r="A727" s="38" t="str">
        <f>HYPERLINK("http://reports.ofsted.gov.uk/inspection-reports/find-inspection-report/provider/CARE/SC037281","Ofsted Social Care Provider Webpage")</f>
        <v>Ofsted Social Care Provider Webpage</v>
      </c>
      <c r="B727" s="3" t="s">
        <v>776</v>
      </c>
      <c r="C727" t="s">
        <v>34</v>
      </c>
      <c r="D727" s="19">
        <v>37683</v>
      </c>
      <c r="E727" t="s">
        <v>154</v>
      </c>
      <c r="F727" t="s">
        <v>155</v>
      </c>
      <c r="G727" t="s">
        <v>48</v>
      </c>
      <c r="H727" t="s">
        <v>48</v>
      </c>
      <c r="I727" t="s">
        <v>56</v>
      </c>
      <c r="J727" t="s">
        <v>221</v>
      </c>
      <c r="K727" t="s">
        <v>172</v>
      </c>
      <c r="L727" s="19">
        <v>44167</v>
      </c>
      <c r="M727" s="19">
        <v>44201</v>
      </c>
      <c r="N727" s="27" t="s">
        <v>557</v>
      </c>
    </row>
    <row r="728" spans="1:14" x14ac:dyDescent="0.25">
      <c r="A728" s="38" t="str">
        <f>HYPERLINK("http://reports.ofsted.gov.uk/inspection-reports/find-inspection-report/provider/CARE/1258831","Ofsted Social Care Provider Webpage")</f>
        <v>Ofsted Social Care Provider Webpage</v>
      </c>
      <c r="B728" s="3">
        <v>1258831</v>
      </c>
      <c r="C728" t="s">
        <v>34</v>
      </c>
      <c r="D728" s="19">
        <v>42951</v>
      </c>
      <c r="E728" t="s">
        <v>154</v>
      </c>
      <c r="F728" t="s">
        <v>155</v>
      </c>
      <c r="G728" t="s">
        <v>105</v>
      </c>
      <c r="H728" t="s">
        <v>105</v>
      </c>
      <c r="I728" t="s">
        <v>108</v>
      </c>
      <c r="J728" t="s">
        <v>206</v>
      </c>
      <c r="K728" t="s">
        <v>157</v>
      </c>
      <c r="L728" s="19">
        <v>44167</v>
      </c>
      <c r="M728" s="19">
        <v>44215</v>
      </c>
      <c r="N728" s="27" t="s">
        <v>557</v>
      </c>
    </row>
    <row r="729" spans="1:14" x14ac:dyDescent="0.25">
      <c r="A729" s="38" t="str">
        <f>HYPERLINK("http://reports.ofsted.gov.uk/inspection-reports/find-inspection-report/provider/CARE/SC475088","Ofsted Social Care Provider Webpage")</f>
        <v>Ofsted Social Care Provider Webpage</v>
      </c>
      <c r="B729" s="3" t="s">
        <v>777</v>
      </c>
      <c r="C729" t="s">
        <v>34</v>
      </c>
      <c r="D729" s="19">
        <v>41885</v>
      </c>
      <c r="E729" t="s">
        <v>154</v>
      </c>
      <c r="F729" t="s">
        <v>155</v>
      </c>
      <c r="G729" t="s">
        <v>48</v>
      </c>
      <c r="H729" t="s">
        <v>48</v>
      </c>
      <c r="I729" t="s">
        <v>51</v>
      </c>
      <c r="J729" t="s">
        <v>778</v>
      </c>
      <c r="K729" t="s">
        <v>157</v>
      </c>
      <c r="L729" s="19">
        <v>44167</v>
      </c>
      <c r="M729" s="19">
        <v>44200</v>
      </c>
      <c r="N729" s="27" t="s">
        <v>557</v>
      </c>
    </row>
    <row r="730" spans="1:14" x14ac:dyDescent="0.25">
      <c r="A730" s="38" t="str">
        <f>HYPERLINK("http://reports.ofsted.gov.uk/inspection-reports/find-inspection-report/provider/CARE/1223681","Ofsted Social Care Provider Webpage")</f>
        <v>Ofsted Social Care Provider Webpage</v>
      </c>
      <c r="B730" s="3">
        <v>1223681</v>
      </c>
      <c r="C730" t="s">
        <v>34</v>
      </c>
      <c r="D730" s="19">
        <v>42474</v>
      </c>
      <c r="E730" t="s">
        <v>154</v>
      </c>
      <c r="F730" t="s">
        <v>155</v>
      </c>
      <c r="G730" t="s">
        <v>87</v>
      </c>
      <c r="H730" t="s">
        <v>87</v>
      </c>
      <c r="I730" t="s">
        <v>93</v>
      </c>
      <c r="J730" t="s">
        <v>408</v>
      </c>
      <c r="K730" t="s">
        <v>157</v>
      </c>
      <c r="L730" s="19">
        <v>44167</v>
      </c>
      <c r="M730" s="19">
        <v>44201</v>
      </c>
      <c r="N730" s="27" t="s">
        <v>557</v>
      </c>
    </row>
    <row r="731" spans="1:14" x14ac:dyDescent="0.25">
      <c r="A731" s="38" t="str">
        <f>HYPERLINK("http://reports.ofsted.gov.uk/inspection-reports/find-inspection-report/provider/CARE/2569994","Ofsted Social Care Provider Webpage")</f>
        <v>Ofsted Social Care Provider Webpage</v>
      </c>
      <c r="B731" s="3">
        <v>2569994</v>
      </c>
      <c r="C731" t="s">
        <v>34</v>
      </c>
      <c r="D731" s="19">
        <v>43875</v>
      </c>
      <c r="E731" t="s">
        <v>154</v>
      </c>
      <c r="F731" t="s">
        <v>155</v>
      </c>
      <c r="G731" t="s">
        <v>128</v>
      </c>
      <c r="H731" t="s">
        <v>128</v>
      </c>
      <c r="I731" t="s">
        <v>136</v>
      </c>
      <c r="J731" t="s">
        <v>779</v>
      </c>
      <c r="K731" t="s">
        <v>157</v>
      </c>
      <c r="L731" s="19">
        <v>44167</v>
      </c>
      <c r="M731" s="19">
        <v>44208</v>
      </c>
      <c r="N731" s="27" t="s">
        <v>557</v>
      </c>
    </row>
    <row r="732" spans="1:14" x14ac:dyDescent="0.25">
      <c r="A732" s="38" t="str">
        <f>HYPERLINK("http://reports.ofsted.gov.uk/inspection-reports/find-inspection-report/provider/CARE/SC482300","Ofsted Social Care Provider Webpage")</f>
        <v>Ofsted Social Care Provider Webpage</v>
      </c>
      <c r="B732" s="3" t="s">
        <v>780</v>
      </c>
      <c r="C732" t="s">
        <v>36</v>
      </c>
      <c r="D732" s="19">
        <v>41904</v>
      </c>
      <c r="E732" t="s">
        <v>154</v>
      </c>
      <c r="F732" t="s">
        <v>155</v>
      </c>
      <c r="G732" t="s">
        <v>105</v>
      </c>
      <c r="H732" t="s">
        <v>105</v>
      </c>
      <c r="I732" t="s">
        <v>113</v>
      </c>
      <c r="J732" t="s">
        <v>781</v>
      </c>
      <c r="K732" t="s">
        <v>157</v>
      </c>
      <c r="L732" s="19">
        <v>44167</v>
      </c>
      <c r="M732" s="19">
        <v>44215</v>
      </c>
      <c r="N732" s="27" t="s">
        <v>557</v>
      </c>
    </row>
    <row r="733" spans="1:14" x14ac:dyDescent="0.25">
      <c r="A733" s="38" t="str">
        <f>HYPERLINK("http://reports.ofsted.gov.uk/inspection-reports/find-inspection-report/provider/CARE/SC412296","Ofsted Social Care Provider Webpage")</f>
        <v>Ofsted Social Care Provider Webpage</v>
      </c>
      <c r="B733" s="3" t="s">
        <v>782</v>
      </c>
      <c r="C733" t="s">
        <v>34</v>
      </c>
      <c r="D733" s="19">
        <v>40497</v>
      </c>
      <c r="E733" t="s">
        <v>154</v>
      </c>
      <c r="F733" t="s">
        <v>155</v>
      </c>
      <c r="G733" t="s">
        <v>105</v>
      </c>
      <c r="H733" t="s">
        <v>105</v>
      </c>
      <c r="I733" t="s">
        <v>107</v>
      </c>
      <c r="J733" t="s">
        <v>783</v>
      </c>
      <c r="K733" t="s">
        <v>157</v>
      </c>
      <c r="L733" s="19">
        <v>44167</v>
      </c>
      <c r="M733" s="19">
        <v>44217</v>
      </c>
      <c r="N733" s="27" t="s">
        <v>557</v>
      </c>
    </row>
    <row r="734" spans="1:14" x14ac:dyDescent="0.25">
      <c r="A734" s="38" t="str">
        <f>HYPERLINK("http://reports.ofsted.gov.uk/inspection-reports/find-inspection-report/provider/CARE/2546172","Ofsted Social Care Provider Webpage")</f>
        <v>Ofsted Social Care Provider Webpage</v>
      </c>
      <c r="B734" s="3">
        <v>2546172</v>
      </c>
      <c r="C734" t="s">
        <v>34</v>
      </c>
      <c r="D734" s="19">
        <v>43781</v>
      </c>
      <c r="E734" t="s">
        <v>154</v>
      </c>
      <c r="F734" t="s">
        <v>155</v>
      </c>
      <c r="G734" t="s">
        <v>128</v>
      </c>
      <c r="H734" t="s">
        <v>128</v>
      </c>
      <c r="I734" t="s">
        <v>129</v>
      </c>
      <c r="J734" t="s">
        <v>434</v>
      </c>
      <c r="K734" t="s">
        <v>157</v>
      </c>
      <c r="L734" s="19">
        <v>44167</v>
      </c>
      <c r="M734" s="19">
        <v>44214</v>
      </c>
      <c r="N734" s="27" t="s">
        <v>559</v>
      </c>
    </row>
    <row r="735" spans="1:14" x14ac:dyDescent="0.25">
      <c r="A735" s="38" t="str">
        <f>HYPERLINK("http://reports.ofsted.gov.uk/inspection-reports/find-inspection-report/provider/CARE/1243868","Ofsted Social Care Provider Webpage")</f>
        <v>Ofsted Social Care Provider Webpage</v>
      </c>
      <c r="B735" s="3">
        <v>1243868</v>
      </c>
      <c r="C735" t="s">
        <v>581</v>
      </c>
      <c r="D735" s="19">
        <v>42712</v>
      </c>
      <c r="E735" t="s">
        <v>154</v>
      </c>
      <c r="F735" t="s">
        <v>784</v>
      </c>
      <c r="G735" t="s">
        <v>48</v>
      </c>
      <c r="H735" t="s">
        <v>48</v>
      </c>
      <c r="I735" t="s">
        <v>52</v>
      </c>
      <c r="J735" t="s">
        <v>785</v>
      </c>
      <c r="K735" t="s">
        <v>157</v>
      </c>
      <c r="L735" s="19">
        <v>44167</v>
      </c>
      <c r="M735" s="19">
        <v>44200</v>
      </c>
      <c r="N735" s="27" t="s">
        <v>557</v>
      </c>
    </row>
    <row r="736" spans="1:14" x14ac:dyDescent="0.25">
      <c r="A736" s="38" t="str">
        <f>HYPERLINK("http://reports.ofsted.gov.uk/inspection-reports/find-inspection-report/provider/CARE/SC034851","Ofsted Social Care Provider Webpage")</f>
        <v>Ofsted Social Care Provider Webpage</v>
      </c>
      <c r="B736" s="3" t="s">
        <v>786</v>
      </c>
      <c r="C736" t="s">
        <v>34</v>
      </c>
      <c r="D736" s="19">
        <v>37883</v>
      </c>
      <c r="E736" t="s">
        <v>154</v>
      </c>
      <c r="F736" t="s">
        <v>155</v>
      </c>
      <c r="G736" t="s">
        <v>87</v>
      </c>
      <c r="H736" t="s">
        <v>87</v>
      </c>
      <c r="I736" t="s">
        <v>97</v>
      </c>
      <c r="J736" t="s">
        <v>97</v>
      </c>
      <c r="K736" t="s">
        <v>172</v>
      </c>
      <c r="L736" s="19">
        <v>44167</v>
      </c>
      <c r="M736" s="19">
        <v>44204</v>
      </c>
      <c r="N736" s="27" t="s">
        <v>559</v>
      </c>
    </row>
    <row r="737" spans="1:14" x14ac:dyDescent="0.25">
      <c r="A737" s="38" t="str">
        <f>HYPERLINK("http://reports.ofsted.gov.uk/inspection-reports/find-inspection-report/provider/CARE/1241840","Ofsted Social Care Provider Webpage")</f>
        <v>Ofsted Social Care Provider Webpage</v>
      </c>
      <c r="B737" s="3">
        <v>1241840</v>
      </c>
      <c r="C737" t="s">
        <v>34</v>
      </c>
      <c r="D737" s="19">
        <v>42612</v>
      </c>
      <c r="E737" t="s">
        <v>154</v>
      </c>
      <c r="F737" t="s">
        <v>155</v>
      </c>
      <c r="G737" t="s">
        <v>114</v>
      </c>
      <c r="H737" t="s">
        <v>114</v>
      </c>
      <c r="I737" t="s">
        <v>709</v>
      </c>
      <c r="J737" t="s">
        <v>787</v>
      </c>
      <c r="K737" t="s">
        <v>157</v>
      </c>
      <c r="L737" s="19">
        <v>44167</v>
      </c>
      <c r="M737" s="19">
        <v>44216</v>
      </c>
      <c r="N737" s="27" t="s">
        <v>559</v>
      </c>
    </row>
    <row r="738" spans="1:14" x14ac:dyDescent="0.25">
      <c r="A738" s="38" t="str">
        <f>HYPERLINK("http://reports.ofsted.gov.uk/inspection-reports/find-inspection-report/provider/CARE/SC063883","Ofsted Social Care Provider Webpage")</f>
        <v>Ofsted Social Care Provider Webpage</v>
      </c>
      <c r="B738" s="3" t="s">
        <v>788</v>
      </c>
      <c r="C738" t="s">
        <v>34</v>
      </c>
      <c r="D738" s="19">
        <v>38443</v>
      </c>
      <c r="E738" t="s">
        <v>154</v>
      </c>
      <c r="F738" t="s">
        <v>155</v>
      </c>
      <c r="G738" t="s">
        <v>64</v>
      </c>
      <c r="H738" t="s">
        <v>164</v>
      </c>
      <c r="I738" t="s">
        <v>73</v>
      </c>
      <c r="J738" t="s">
        <v>435</v>
      </c>
      <c r="K738" t="s">
        <v>157</v>
      </c>
      <c r="L738" s="19">
        <v>44167</v>
      </c>
      <c r="M738" s="19">
        <v>44207</v>
      </c>
      <c r="N738" s="27" t="s">
        <v>557</v>
      </c>
    </row>
    <row r="739" spans="1:14" x14ac:dyDescent="0.25">
      <c r="A739" s="38" t="str">
        <f>HYPERLINK("http://reports.ofsted.gov.uk/inspection-reports/find-inspection-report/provider/CARE/SC470284","Ofsted Social Care Provider Webpage")</f>
        <v>Ofsted Social Care Provider Webpage</v>
      </c>
      <c r="B739" s="3" t="s">
        <v>789</v>
      </c>
      <c r="C739" t="s">
        <v>34</v>
      </c>
      <c r="D739" s="19">
        <v>41562</v>
      </c>
      <c r="E739" t="s">
        <v>154</v>
      </c>
      <c r="F739" t="s">
        <v>155</v>
      </c>
      <c r="G739" t="s">
        <v>128</v>
      </c>
      <c r="H739" t="s">
        <v>128</v>
      </c>
      <c r="I739" t="s">
        <v>132</v>
      </c>
      <c r="J739" t="s">
        <v>339</v>
      </c>
      <c r="K739" t="s">
        <v>157</v>
      </c>
      <c r="L739" s="19">
        <v>44167</v>
      </c>
      <c r="M739" s="19">
        <v>44195</v>
      </c>
      <c r="N739" s="27" t="s">
        <v>557</v>
      </c>
    </row>
    <row r="740" spans="1:14" x14ac:dyDescent="0.25">
      <c r="A740" s="38" t="str">
        <f>HYPERLINK("http://reports.ofsted.gov.uk/inspection-reports/find-inspection-report/provider/CARE/SC430022","Ofsted Social Care Provider Webpage")</f>
        <v>Ofsted Social Care Provider Webpage</v>
      </c>
      <c r="B740" s="3" t="s">
        <v>790</v>
      </c>
      <c r="C740" t="s">
        <v>34</v>
      </c>
      <c r="D740" s="19">
        <v>40696</v>
      </c>
      <c r="E740" t="s">
        <v>154</v>
      </c>
      <c r="F740" t="s">
        <v>155</v>
      </c>
      <c r="G740" t="s">
        <v>48</v>
      </c>
      <c r="H740" t="s">
        <v>48</v>
      </c>
      <c r="I740" t="s">
        <v>56</v>
      </c>
      <c r="J740" t="s">
        <v>791</v>
      </c>
      <c r="K740" t="s">
        <v>172</v>
      </c>
      <c r="L740" s="19">
        <v>44167</v>
      </c>
      <c r="M740" s="19">
        <v>44194</v>
      </c>
      <c r="N740" s="27" t="s">
        <v>557</v>
      </c>
    </row>
    <row r="741" spans="1:14" x14ac:dyDescent="0.25">
      <c r="A741" s="38" t="str">
        <f>HYPERLINK("http://reports.ofsted.gov.uk/inspection-reports/find-inspection-report/provider/CARE/2585407","Ofsted Social Care Provider Webpage")</f>
        <v>Ofsted Social Care Provider Webpage</v>
      </c>
      <c r="B741" s="3">
        <v>2585407</v>
      </c>
      <c r="C741" t="s">
        <v>34</v>
      </c>
      <c r="D741" s="19">
        <v>44021</v>
      </c>
      <c r="E741" t="s">
        <v>154</v>
      </c>
      <c r="F741" t="s">
        <v>155</v>
      </c>
      <c r="G741" t="s">
        <v>128</v>
      </c>
      <c r="H741" t="s">
        <v>128</v>
      </c>
      <c r="I741" t="s">
        <v>133</v>
      </c>
      <c r="J741" t="s">
        <v>412</v>
      </c>
      <c r="K741" t="s">
        <v>157</v>
      </c>
      <c r="L741" s="19">
        <v>44167</v>
      </c>
      <c r="M741" s="19">
        <v>44211</v>
      </c>
      <c r="N741" s="27" t="s">
        <v>557</v>
      </c>
    </row>
    <row r="742" spans="1:14" x14ac:dyDescent="0.25">
      <c r="A742" s="38" t="str">
        <f>HYPERLINK("http://reports.ofsted.gov.uk/inspection-reports/find-inspection-report/provider/CARE/2575004","Ofsted Social Care Provider Webpage")</f>
        <v>Ofsted Social Care Provider Webpage</v>
      </c>
      <c r="B742" s="3">
        <v>2575004</v>
      </c>
      <c r="C742" t="s">
        <v>34</v>
      </c>
      <c r="D742" s="19">
        <v>43921</v>
      </c>
      <c r="E742" t="s">
        <v>154</v>
      </c>
      <c r="F742" t="s">
        <v>155</v>
      </c>
      <c r="G742" t="s">
        <v>114</v>
      </c>
      <c r="H742" t="s">
        <v>114</v>
      </c>
      <c r="I742" t="s">
        <v>120</v>
      </c>
      <c r="J742" t="s">
        <v>342</v>
      </c>
      <c r="K742" t="s">
        <v>157</v>
      </c>
      <c r="L742" s="19">
        <v>44167</v>
      </c>
      <c r="M742" s="19">
        <v>44209</v>
      </c>
      <c r="N742" s="27" t="s">
        <v>557</v>
      </c>
    </row>
    <row r="743" spans="1:14" x14ac:dyDescent="0.25">
      <c r="A743" s="38" t="str">
        <f>HYPERLINK("http://reports.ofsted.gov.uk/inspection-reports/find-inspection-report/provider/CARE/2561501","Ofsted Social Care Provider Webpage")</f>
        <v>Ofsted Social Care Provider Webpage</v>
      </c>
      <c r="B743" s="3">
        <v>2561501</v>
      </c>
      <c r="C743" t="s">
        <v>34</v>
      </c>
      <c r="D743" s="19">
        <v>43938</v>
      </c>
      <c r="E743" t="s">
        <v>154</v>
      </c>
      <c r="F743" t="s">
        <v>155</v>
      </c>
      <c r="G743" t="s">
        <v>57</v>
      </c>
      <c r="H743" t="s">
        <v>57</v>
      </c>
      <c r="I743" t="s">
        <v>611</v>
      </c>
      <c r="J743" t="s">
        <v>612</v>
      </c>
      <c r="K743" t="s">
        <v>157</v>
      </c>
      <c r="L743" s="19">
        <v>44167</v>
      </c>
      <c r="M743" s="19">
        <v>44204</v>
      </c>
      <c r="N743" s="27" t="s">
        <v>557</v>
      </c>
    </row>
    <row r="744" spans="1:14" x14ac:dyDescent="0.25">
      <c r="A744" s="38" t="str">
        <f>HYPERLINK("http://reports.ofsted.gov.uk/inspection-reports/find-inspection-report/provider/CARE/SC001531","Ofsted Social Care Provider Webpage")</f>
        <v>Ofsted Social Care Provider Webpage</v>
      </c>
      <c r="B744" s="3" t="s">
        <v>792</v>
      </c>
      <c r="C744" t="s">
        <v>34</v>
      </c>
      <c r="D744" s="19">
        <v>37347</v>
      </c>
      <c r="E744" t="s">
        <v>154</v>
      </c>
      <c r="F744" t="s">
        <v>155</v>
      </c>
      <c r="G744" t="s">
        <v>64</v>
      </c>
      <c r="H744" t="s">
        <v>164</v>
      </c>
      <c r="I744" t="s">
        <v>74</v>
      </c>
      <c r="J744" t="s">
        <v>456</v>
      </c>
      <c r="K744" t="s">
        <v>168</v>
      </c>
      <c r="L744" s="19">
        <v>44167</v>
      </c>
      <c r="M744" s="19">
        <v>44204</v>
      </c>
      <c r="N744" s="27" t="s">
        <v>557</v>
      </c>
    </row>
    <row r="745" spans="1:14" x14ac:dyDescent="0.25">
      <c r="A745" s="38" t="str">
        <f>HYPERLINK("http://reports.ofsted.gov.uk/inspection-reports/find-inspection-report/provider/CARE/2517299","Ofsted Social Care Provider Webpage")</f>
        <v>Ofsted Social Care Provider Webpage</v>
      </c>
      <c r="B745" s="3">
        <v>2517299</v>
      </c>
      <c r="C745" t="s">
        <v>34</v>
      </c>
      <c r="D745" s="19">
        <v>43589</v>
      </c>
      <c r="E745" t="s">
        <v>154</v>
      </c>
      <c r="F745" t="s">
        <v>155</v>
      </c>
      <c r="G745" t="s">
        <v>105</v>
      </c>
      <c r="H745" t="s">
        <v>105</v>
      </c>
      <c r="I745" t="s">
        <v>106</v>
      </c>
      <c r="J745" t="s">
        <v>793</v>
      </c>
      <c r="K745" t="s">
        <v>172</v>
      </c>
      <c r="L745" s="19">
        <v>44167</v>
      </c>
      <c r="M745" s="19">
        <v>44215</v>
      </c>
      <c r="N745" s="27" t="s">
        <v>557</v>
      </c>
    </row>
    <row r="746" spans="1:14" x14ac:dyDescent="0.25">
      <c r="A746" s="38" t="str">
        <f>HYPERLINK("http://reports.ofsted.gov.uk/inspection-reports/find-inspection-report/provider/CARE/1378486","Ofsted Social Care Provider Webpage")</f>
        <v>Ofsted Social Care Provider Webpage</v>
      </c>
      <c r="B746" s="3">
        <v>1378486</v>
      </c>
      <c r="C746" t="s">
        <v>581</v>
      </c>
      <c r="D746" s="19">
        <v>43255</v>
      </c>
      <c r="E746" t="s">
        <v>154</v>
      </c>
      <c r="F746" t="s">
        <v>794</v>
      </c>
      <c r="G746" t="s">
        <v>114</v>
      </c>
      <c r="H746" t="s">
        <v>114</v>
      </c>
      <c r="I746" t="s">
        <v>118</v>
      </c>
      <c r="J746" t="s">
        <v>427</v>
      </c>
      <c r="K746" t="s">
        <v>157</v>
      </c>
      <c r="L746" s="19">
        <v>44167</v>
      </c>
      <c r="M746" s="19">
        <v>44211</v>
      </c>
      <c r="N746" s="27" t="s">
        <v>557</v>
      </c>
    </row>
    <row r="747" spans="1:14" x14ac:dyDescent="0.25">
      <c r="A747" s="38" t="str">
        <f>HYPERLINK("http://reports.ofsted.gov.uk/inspection-reports/find-inspection-report/provider/CARE/2597567","Ofsted Social Care Provider Webpage")</f>
        <v>Ofsted Social Care Provider Webpage</v>
      </c>
      <c r="B747" s="3">
        <v>2597567</v>
      </c>
      <c r="C747" t="s">
        <v>34</v>
      </c>
      <c r="D747" s="19">
        <v>44014</v>
      </c>
      <c r="E747" t="s">
        <v>154</v>
      </c>
      <c r="F747" t="s">
        <v>155</v>
      </c>
      <c r="G747" t="s">
        <v>64</v>
      </c>
      <c r="H747" t="s">
        <v>164</v>
      </c>
      <c r="I747" t="s">
        <v>82</v>
      </c>
      <c r="J747" t="s">
        <v>383</v>
      </c>
      <c r="K747" t="s">
        <v>172</v>
      </c>
      <c r="L747" s="19">
        <v>44167</v>
      </c>
      <c r="M747" s="19">
        <v>44217</v>
      </c>
      <c r="N747" s="27" t="s">
        <v>557</v>
      </c>
    </row>
    <row r="748" spans="1:14" x14ac:dyDescent="0.25">
      <c r="A748" s="38" t="str">
        <f>HYPERLINK("http://reports.ofsted.gov.uk/inspection-reports/find-inspection-report/provider/CARE/SC372630","Ofsted Social Care Provider Webpage")</f>
        <v>Ofsted Social Care Provider Webpage</v>
      </c>
      <c r="B748" s="3" t="s">
        <v>795</v>
      </c>
      <c r="C748" t="s">
        <v>34</v>
      </c>
      <c r="D748" s="19">
        <v>39631</v>
      </c>
      <c r="E748" t="s">
        <v>154</v>
      </c>
      <c r="F748" t="s">
        <v>155</v>
      </c>
      <c r="G748" t="s">
        <v>128</v>
      </c>
      <c r="H748" t="s">
        <v>128</v>
      </c>
      <c r="I748" t="s">
        <v>136</v>
      </c>
      <c r="J748" t="s">
        <v>779</v>
      </c>
      <c r="K748" t="s">
        <v>157</v>
      </c>
      <c r="L748" s="19">
        <v>44167</v>
      </c>
      <c r="M748" s="19">
        <v>44204</v>
      </c>
      <c r="N748" s="27" t="s">
        <v>557</v>
      </c>
    </row>
    <row r="749" spans="1:14" x14ac:dyDescent="0.25">
      <c r="A749" s="38" t="str">
        <f>HYPERLINK("http://reports.ofsted.gov.uk/inspection-reports/find-inspection-report/provider/CARE/1252937","Ofsted Social Care Provider Webpage")</f>
        <v>Ofsted Social Care Provider Webpage</v>
      </c>
      <c r="B749" s="3">
        <v>1252937</v>
      </c>
      <c r="C749" t="s">
        <v>34</v>
      </c>
      <c r="D749" s="19">
        <v>42796</v>
      </c>
      <c r="E749" t="s">
        <v>154</v>
      </c>
      <c r="F749" t="s">
        <v>155</v>
      </c>
      <c r="G749" t="s">
        <v>105</v>
      </c>
      <c r="H749" t="s">
        <v>105</v>
      </c>
      <c r="I749" t="s">
        <v>113</v>
      </c>
      <c r="J749" t="s">
        <v>796</v>
      </c>
      <c r="K749" t="s">
        <v>157</v>
      </c>
      <c r="L749" s="19">
        <v>44167</v>
      </c>
      <c r="M749" s="19">
        <v>44217</v>
      </c>
      <c r="N749" s="27" t="s">
        <v>557</v>
      </c>
    </row>
    <row r="750" spans="1:14" x14ac:dyDescent="0.25">
      <c r="A750" s="38" t="str">
        <f>HYPERLINK("http://reports.ofsted.gov.uk/inspection-reports/find-inspection-report/provider/CARE/SC446152","Ofsted Social Care Provider Webpage")</f>
        <v>Ofsted Social Care Provider Webpage</v>
      </c>
      <c r="B750" s="3" t="s">
        <v>797</v>
      </c>
      <c r="C750" t="s">
        <v>34</v>
      </c>
      <c r="D750" s="19">
        <v>41103</v>
      </c>
      <c r="E750" t="s">
        <v>154</v>
      </c>
      <c r="F750" t="s">
        <v>155</v>
      </c>
      <c r="G750" t="s">
        <v>128</v>
      </c>
      <c r="H750" t="s">
        <v>128</v>
      </c>
      <c r="I750" t="s">
        <v>129</v>
      </c>
      <c r="J750" t="s">
        <v>576</v>
      </c>
      <c r="K750" t="s">
        <v>157</v>
      </c>
      <c r="L750" s="19">
        <v>44167</v>
      </c>
      <c r="M750" s="19">
        <v>44204</v>
      </c>
      <c r="N750" s="27" t="s">
        <v>557</v>
      </c>
    </row>
    <row r="751" spans="1:14" x14ac:dyDescent="0.25">
      <c r="A751" s="38" t="str">
        <f>HYPERLINK("http://reports.ofsted.gov.uk/inspection-reports/find-inspection-report/provider/CARE/SC400301","Ofsted Social Care Provider Webpage")</f>
        <v>Ofsted Social Care Provider Webpage</v>
      </c>
      <c r="B751" s="3" t="s">
        <v>798</v>
      </c>
      <c r="C751" t="s">
        <v>34</v>
      </c>
      <c r="D751" s="19">
        <v>40077</v>
      </c>
      <c r="E751" t="s">
        <v>154</v>
      </c>
      <c r="F751" t="s">
        <v>155</v>
      </c>
      <c r="G751" t="s">
        <v>48</v>
      </c>
      <c r="H751" t="s">
        <v>48</v>
      </c>
      <c r="I751" t="s">
        <v>52</v>
      </c>
      <c r="J751" t="s">
        <v>498</v>
      </c>
      <c r="K751" t="s">
        <v>172</v>
      </c>
      <c r="L751" s="19">
        <v>44167</v>
      </c>
      <c r="M751" s="19">
        <v>44200</v>
      </c>
      <c r="N751" s="27" t="s">
        <v>557</v>
      </c>
    </row>
    <row r="752" spans="1:14" x14ac:dyDescent="0.25">
      <c r="A752" s="38" t="str">
        <f>HYPERLINK("http://reports.ofsted.gov.uk/inspection-reports/find-inspection-report/provider/CARE/2503306","Ofsted Social Care Provider Webpage")</f>
        <v>Ofsted Social Care Provider Webpage</v>
      </c>
      <c r="B752" s="3">
        <v>2503306</v>
      </c>
      <c r="C752" t="s">
        <v>34</v>
      </c>
      <c r="D752" s="19">
        <v>43614</v>
      </c>
      <c r="E752" t="s">
        <v>154</v>
      </c>
      <c r="F752" t="s">
        <v>155</v>
      </c>
      <c r="G752" t="s">
        <v>39</v>
      </c>
      <c r="H752" t="s">
        <v>39</v>
      </c>
      <c r="I752" t="s">
        <v>43</v>
      </c>
      <c r="J752" t="s">
        <v>300</v>
      </c>
      <c r="K752" t="s">
        <v>157</v>
      </c>
      <c r="L752" s="19">
        <v>44167</v>
      </c>
      <c r="M752" s="19">
        <v>44200</v>
      </c>
      <c r="N752" s="27" t="s">
        <v>557</v>
      </c>
    </row>
    <row r="753" spans="1:14" x14ac:dyDescent="0.25">
      <c r="A753" s="38" t="str">
        <f>HYPERLINK("http://reports.ofsted.gov.uk/inspection-reports/find-inspection-report/provider/CARE/SC366080","Ofsted Social Care Provider Webpage")</f>
        <v>Ofsted Social Care Provider Webpage</v>
      </c>
      <c r="B753" s="3" t="s">
        <v>799</v>
      </c>
      <c r="C753" t="s">
        <v>34</v>
      </c>
      <c r="D753" s="19">
        <v>39454</v>
      </c>
      <c r="E753" t="s">
        <v>154</v>
      </c>
      <c r="F753" t="s">
        <v>155</v>
      </c>
      <c r="G753" t="s">
        <v>128</v>
      </c>
      <c r="H753" t="s">
        <v>128</v>
      </c>
      <c r="I753" t="s">
        <v>133</v>
      </c>
      <c r="J753" t="s">
        <v>412</v>
      </c>
      <c r="K753" t="s">
        <v>157</v>
      </c>
      <c r="L753" s="19">
        <v>44167</v>
      </c>
      <c r="M753" s="19">
        <v>44204</v>
      </c>
      <c r="N753" s="27" t="s">
        <v>557</v>
      </c>
    </row>
    <row r="754" spans="1:14" x14ac:dyDescent="0.25">
      <c r="A754" s="38" t="str">
        <f>HYPERLINK("http://reports.ofsted.gov.uk/inspection-reports/find-inspection-report/provider/CARE/1235818","Ofsted Social Care Provider Webpage")</f>
        <v>Ofsted Social Care Provider Webpage</v>
      </c>
      <c r="B754" s="3">
        <v>1235818</v>
      </c>
      <c r="C754" t="s">
        <v>34</v>
      </c>
      <c r="D754" s="19">
        <v>42530</v>
      </c>
      <c r="E754" t="s">
        <v>154</v>
      </c>
      <c r="F754" t="s">
        <v>155</v>
      </c>
      <c r="G754" t="s">
        <v>64</v>
      </c>
      <c r="H754" t="s">
        <v>164</v>
      </c>
      <c r="I754" t="s">
        <v>79</v>
      </c>
      <c r="J754" t="s">
        <v>601</v>
      </c>
      <c r="K754" t="s">
        <v>157</v>
      </c>
      <c r="L754" s="19">
        <v>44167</v>
      </c>
      <c r="M754" s="19">
        <v>44208</v>
      </c>
      <c r="N754" s="27" t="s">
        <v>557</v>
      </c>
    </row>
    <row r="755" spans="1:14" x14ac:dyDescent="0.25">
      <c r="A755" s="38" t="str">
        <f>HYPERLINK("http://reports.ofsted.gov.uk/inspection-reports/find-inspection-report/provider/CARE/SC415347","Ofsted Social Care Provider Webpage")</f>
        <v>Ofsted Social Care Provider Webpage</v>
      </c>
      <c r="B755" s="3" t="s">
        <v>800</v>
      </c>
      <c r="C755" t="s">
        <v>34</v>
      </c>
      <c r="D755" s="19">
        <v>40433</v>
      </c>
      <c r="E755" t="s">
        <v>154</v>
      </c>
      <c r="F755" t="s">
        <v>155</v>
      </c>
      <c r="G755" t="s">
        <v>128</v>
      </c>
      <c r="H755" t="s">
        <v>128</v>
      </c>
      <c r="I755" t="s">
        <v>134</v>
      </c>
      <c r="J755" t="s">
        <v>228</v>
      </c>
      <c r="K755" t="s">
        <v>157</v>
      </c>
      <c r="L755" s="19">
        <v>44167</v>
      </c>
      <c r="M755" s="19">
        <v>44204</v>
      </c>
      <c r="N755" s="27" t="s">
        <v>557</v>
      </c>
    </row>
    <row r="756" spans="1:14" x14ac:dyDescent="0.25">
      <c r="A756" s="38" t="str">
        <f>HYPERLINK("http://reports.ofsted.gov.uk/inspection-reports/find-inspection-report/provider/CARE/1155775","Ofsted Social Care Provider Webpage")</f>
        <v>Ofsted Social Care Provider Webpage</v>
      </c>
      <c r="B756" s="3">
        <v>1155775</v>
      </c>
      <c r="C756" t="s">
        <v>34</v>
      </c>
      <c r="D756" s="19">
        <v>42271</v>
      </c>
      <c r="E756" t="s">
        <v>154</v>
      </c>
      <c r="F756" t="s">
        <v>155</v>
      </c>
      <c r="G756" t="s">
        <v>87</v>
      </c>
      <c r="H756" t="s">
        <v>87</v>
      </c>
      <c r="I756" t="s">
        <v>95</v>
      </c>
      <c r="J756" t="s">
        <v>450</v>
      </c>
      <c r="K756" t="s">
        <v>157</v>
      </c>
      <c r="L756" s="19">
        <v>44167</v>
      </c>
      <c r="M756" s="19">
        <v>44216</v>
      </c>
      <c r="N756" s="27" t="s">
        <v>557</v>
      </c>
    </row>
    <row r="757" spans="1:14" x14ac:dyDescent="0.25">
      <c r="A757" s="38" t="str">
        <f>HYPERLINK("http://reports.ofsted.gov.uk/inspection-reports/find-inspection-report/provider/CARE/2532036","Ofsted Social Care Provider Webpage")</f>
        <v>Ofsted Social Care Provider Webpage</v>
      </c>
      <c r="B757" s="3">
        <v>2532036</v>
      </c>
      <c r="C757" t="s">
        <v>34</v>
      </c>
      <c r="D757" s="19">
        <v>43586</v>
      </c>
      <c r="E757" t="s">
        <v>154</v>
      </c>
      <c r="F757" t="s">
        <v>155</v>
      </c>
      <c r="G757" t="s">
        <v>87</v>
      </c>
      <c r="H757" t="s">
        <v>87</v>
      </c>
      <c r="I757" t="s">
        <v>93</v>
      </c>
      <c r="J757" t="s">
        <v>623</v>
      </c>
      <c r="K757" t="s">
        <v>157</v>
      </c>
      <c r="L757" s="19">
        <v>44168</v>
      </c>
      <c r="M757" s="19">
        <v>44209</v>
      </c>
      <c r="N757" s="27" t="s">
        <v>557</v>
      </c>
    </row>
    <row r="758" spans="1:14" x14ac:dyDescent="0.25">
      <c r="A758" s="38" t="str">
        <f>HYPERLINK("http://reports.ofsted.gov.uk/inspection-reports/find-inspection-report/provider/CARE/1247559","Ofsted Social Care Provider Webpage")</f>
        <v>Ofsted Social Care Provider Webpage</v>
      </c>
      <c r="B758" s="3">
        <v>1247559</v>
      </c>
      <c r="C758" t="s">
        <v>34</v>
      </c>
      <c r="D758" s="19">
        <v>42787</v>
      </c>
      <c r="E758" t="s">
        <v>154</v>
      </c>
      <c r="F758" t="s">
        <v>155</v>
      </c>
      <c r="G758" t="s">
        <v>87</v>
      </c>
      <c r="H758" t="s">
        <v>87</v>
      </c>
      <c r="I758" t="s">
        <v>93</v>
      </c>
      <c r="J758" t="s">
        <v>829</v>
      </c>
      <c r="K758" t="s">
        <v>157</v>
      </c>
      <c r="L758" s="19">
        <v>44168</v>
      </c>
      <c r="M758" s="19">
        <v>44209</v>
      </c>
      <c r="N758" s="27" t="s">
        <v>557</v>
      </c>
    </row>
    <row r="759" spans="1:14" x14ac:dyDescent="0.25">
      <c r="A759" s="38" t="str">
        <f>HYPERLINK("http://reports.ofsted.gov.uk/inspection-reports/find-inspection-report/provider/CARE/SC030967","Ofsted Social Care Provider Webpage")</f>
        <v>Ofsted Social Care Provider Webpage</v>
      </c>
      <c r="B759" s="3" t="s">
        <v>830</v>
      </c>
      <c r="C759" t="s">
        <v>34</v>
      </c>
      <c r="D759" s="19">
        <v>37697</v>
      </c>
      <c r="E759" t="s">
        <v>154</v>
      </c>
      <c r="F759" t="s">
        <v>155</v>
      </c>
      <c r="G759" t="s">
        <v>64</v>
      </c>
      <c r="H759" t="s">
        <v>213</v>
      </c>
      <c r="I759" t="s">
        <v>691</v>
      </c>
      <c r="J759" t="s">
        <v>691</v>
      </c>
      <c r="K759" t="s">
        <v>172</v>
      </c>
      <c r="L759" s="19">
        <v>44168</v>
      </c>
      <c r="M759" s="19">
        <v>44216</v>
      </c>
      <c r="N759" s="27" t="s">
        <v>557</v>
      </c>
    </row>
    <row r="760" spans="1:14" x14ac:dyDescent="0.25">
      <c r="A760" s="38" t="str">
        <f>HYPERLINK("http://reports.ofsted.gov.uk/inspection-reports/find-inspection-report/provider/CARE/2592531","Ofsted Social Care Provider Webpage")</f>
        <v>Ofsted Social Care Provider Webpage</v>
      </c>
      <c r="B760" s="3">
        <v>2592531</v>
      </c>
      <c r="C760" t="s">
        <v>34</v>
      </c>
      <c r="D760" s="19">
        <v>44013</v>
      </c>
      <c r="E760" t="s">
        <v>154</v>
      </c>
      <c r="F760" t="s">
        <v>155</v>
      </c>
      <c r="G760" t="s">
        <v>114</v>
      </c>
      <c r="H760" t="s">
        <v>114</v>
      </c>
      <c r="I760" t="s">
        <v>123</v>
      </c>
      <c r="J760" t="s">
        <v>319</v>
      </c>
      <c r="K760" t="s">
        <v>157</v>
      </c>
      <c r="L760" s="19">
        <v>44168</v>
      </c>
      <c r="M760" s="19">
        <v>44207</v>
      </c>
      <c r="N760" s="27" t="s">
        <v>557</v>
      </c>
    </row>
    <row r="761" spans="1:14" x14ac:dyDescent="0.25">
      <c r="A761" s="38" t="str">
        <f>HYPERLINK("http://reports.ofsted.gov.uk/inspection-reports/find-inspection-report/provider/CARE/SC020611","Ofsted Social Care Provider Webpage")</f>
        <v>Ofsted Social Care Provider Webpage</v>
      </c>
      <c r="B761" s="3" t="s">
        <v>831</v>
      </c>
      <c r="C761" t="s">
        <v>34</v>
      </c>
      <c r="D761" s="19">
        <v>37109</v>
      </c>
      <c r="E761" t="s">
        <v>154</v>
      </c>
      <c r="F761" t="s">
        <v>155</v>
      </c>
      <c r="G761" t="s">
        <v>128</v>
      </c>
      <c r="H761" t="s">
        <v>128</v>
      </c>
      <c r="I761" t="s">
        <v>133</v>
      </c>
      <c r="J761" t="s">
        <v>412</v>
      </c>
      <c r="K761" t="s">
        <v>157</v>
      </c>
      <c r="L761" s="19">
        <v>44168</v>
      </c>
      <c r="M761" s="19">
        <v>44208</v>
      </c>
      <c r="N761" s="27" t="s">
        <v>557</v>
      </c>
    </row>
    <row r="762" spans="1:14" x14ac:dyDescent="0.25">
      <c r="A762" s="38" t="str">
        <f>HYPERLINK("http://reports.ofsted.gov.uk/inspection-reports/find-inspection-report/provider/CARE/SC011972","Ofsted Social Care Provider Webpage")</f>
        <v>Ofsted Social Care Provider Webpage</v>
      </c>
      <c r="B762" s="3" t="s">
        <v>832</v>
      </c>
      <c r="C762" t="s">
        <v>34</v>
      </c>
      <c r="D762" s="19">
        <v>33953</v>
      </c>
      <c r="E762" t="s">
        <v>154</v>
      </c>
      <c r="F762" t="s">
        <v>155</v>
      </c>
      <c r="G762" t="s">
        <v>105</v>
      </c>
      <c r="H762" t="s">
        <v>105</v>
      </c>
      <c r="I762" t="s">
        <v>108</v>
      </c>
      <c r="J762" t="s">
        <v>206</v>
      </c>
      <c r="K762" t="s">
        <v>157</v>
      </c>
      <c r="L762" s="19">
        <v>44168</v>
      </c>
      <c r="M762" s="19">
        <v>44217</v>
      </c>
      <c r="N762" s="27" t="s">
        <v>557</v>
      </c>
    </row>
    <row r="763" spans="1:14" x14ac:dyDescent="0.25">
      <c r="A763" s="38" t="str">
        <f>HYPERLINK("http://reports.ofsted.gov.uk/inspection-reports/find-inspection-report/provider/CARE/1245390","Ofsted Social Care Provider Webpage")</f>
        <v>Ofsted Social Care Provider Webpage</v>
      </c>
      <c r="B763" s="3">
        <v>1245390</v>
      </c>
      <c r="C763" t="s">
        <v>34</v>
      </c>
      <c r="D763" s="19">
        <v>42678</v>
      </c>
      <c r="E763" t="s">
        <v>154</v>
      </c>
      <c r="F763" t="s">
        <v>155</v>
      </c>
      <c r="G763" t="s">
        <v>39</v>
      </c>
      <c r="H763" t="s">
        <v>39</v>
      </c>
      <c r="I763" t="s">
        <v>41</v>
      </c>
      <c r="J763" t="s">
        <v>484</v>
      </c>
      <c r="K763" t="s">
        <v>157</v>
      </c>
      <c r="L763" s="19">
        <v>44168</v>
      </c>
      <c r="M763" s="19">
        <v>44208</v>
      </c>
      <c r="N763" s="27" t="s">
        <v>559</v>
      </c>
    </row>
    <row r="764" spans="1:14" x14ac:dyDescent="0.25">
      <c r="A764" s="38" t="str">
        <f>HYPERLINK("http://reports.ofsted.gov.uk/inspection-reports/find-inspection-report/provider/CARE/1268883","Ofsted Social Care Provider Webpage")</f>
        <v>Ofsted Social Care Provider Webpage</v>
      </c>
      <c r="B764" s="3">
        <v>1268883</v>
      </c>
      <c r="C764" t="s">
        <v>581</v>
      </c>
      <c r="D764" s="19">
        <v>43090</v>
      </c>
      <c r="E764" t="s">
        <v>154</v>
      </c>
      <c r="F764" t="s">
        <v>833</v>
      </c>
      <c r="G764" t="s">
        <v>57</v>
      </c>
      <c r="H764" t="s">
        <v>57</v>
      </c>
      <c r="I764" t="s">
        <v>673</v>
      </c>
      <c r="J764" t="s">
        <v>834</v>
      </c>
      <c r="K764" t="s">
        <v>157</v>
      </c>
      <c r="L764" s="19">
        <v>44168</v>
      </c>
      <c r="M764" s="19">
        <v>44209</v>
      </c>
      <c r="N764" s="27" t="s">
        <v>557</v>
      </c>
    </row>
    <row r="765" spans="1:14" x14ac:dyDescent="0.25">
      <c r="A765" s="38" t="str">
        <f>HYPERLINK("http://reports.ofsted.gov.uk/inspection-reports/find-inspection-report/provider/CARE/1247885","Ofsted Social Care Provider Webpage")</f>
        <v>Ofsted Social Care Provider Webpage</v>
      </c>
      <c r="B765" s="3">
        <v>1247885</v>
      </c>
      <c r="C765" t="s">
        <v>34</v>
      </c>
      <c r="D765" s="19">
        <v>42765</v>
      </c>
      <c r="E765" t="s">
        <v>154</v>
      </c>
      <c r="F765" t="s">
        <v>155</v>
      </c>
      <c r="G765" t="s">
        <v>87</v>
      </c>
      <c r="H765" t="s">
        <v>87</v>
      </c>
      <c r="I765" t="s">
        <v>92</v>
      </c>
      <c r="J765" t="s">
        <v>254</v>
      </c>
      <c r="K765" t="s">
        <v>168</v>
      </c>
      <c r="L765" s="19">
        <v>44168</v>
      </c>
      <c r="M765" s="19">
        <v>44209</v>
      </c>
      <c r="N765" s="27" t="s">
        <v>557</v>
      </c>
    </row>
    <row r="766" spans="1:14" x14ac:dyDescent="0.25">
      <c r="A766" s="38" t="str">
        <f>HYPERLINK("http://reports.ofsted.gov.uk/inspection-reports/find-inspection-report/provider/CARE/SC397987","Ofsted Social Care Provider Webpage")</f>
        <v>Ofsted Social Care Provider Webpage</v>
      </c>
      <c r="B766" s="3" t="s">
        <v>835</v>
      </c>
      <c r="C766" t="s">
        <v>34</v>
      </c>
      <c r="D766" s="19">
        <v>40106</v>
      </c>
      <c r="E766" t="s">
        <v>154</v>
      </c>
      <c r="F766" t="s">
        <v>155</v>
      </c>
      <c r="G766" t="s">
        <v>87</v>
      </c>
      <c r="H766" t="s">
        <v>87</v>
      </c>
      <c r="I766" t="s">
        <v>91</v>
      </c>
      <c r="J766" t="s">
        <v>836</v>
      </c>
      <c r="K766" t="s">
        <v>157</v>
      </c>
      <c r="L766" s="19">
        <v>44168</v>
      </c>
      <c r="M766" s="19">
        <v>44204</v>
      </c>
      <c r="N766" s="27" t="s">
        <v>557</v>
      </c>
    </row>
    <row r="767" spans="1:14" x14ac:dyDescent="0.25">
      <c r="A767" s="38" t="str">
        <f>HYPERLINK("http://reports.ofsted.gov.uk/inspection-reports/find-inspection-report/provider/CARE/SC008608","Ofsted Social Care Provider Webpage")</f>
        <v>Ofsted Social Care Provider Webpage</v>
      </c>
      <c r="B767" s="3" t="s">
        <v>837</v>
      </c>
      <c r="C767" t="s">
        <v>34</v>
      </c>
      <c r="D767" s="19">
        <v>37074</v>
      </c>
      <c r="E767" t="s">
        <v>154</v>
      </c>
      <c r="F767" t="s">
        <v>155</v>
      </c>
      <c r="G767" t="s">
        <v>87</v>
      </c>
      <c r="H767" t="s">
        <v>87</v>
      </c>
      <c r="I767" t="s">
        <v>100</v>
      </c>
      <c r="J767" t="s">
        <v>817</v>
      </c>
      <c r="K767" t="s">
        <v>157</v>
      </c>
      <c r="L767" s="19">
        <v>44168</v>
      </c>
      <c r="M767" s="19">
        <v>44215</v>
      </c>
      <c r="N767" s="27" t="s">
        <v>557</v>
      </c>
    </row>
    <row r="768" spans="1:14" x14ac:dyDescent="0.25">
      <c r="A768" s="38" t="str">
        <f>HYPERLINK("http://reports.ofsted.gov.uk/inspection-reports/find-inspection-report/provider/CARE/SC403890","Ofsted Social Care Provider Webpage")</f>
        <v>Ofsted Social Care Provider Webpage</v>
      </c>
      <c r="B768" s="3" t="s">
        <v>875</v>
      </c>
      <c r="C768" t="s">
        <v>34</v>
      </c>
      <c r="D768" s="19">
        <v>40318</v>
      </c>
      <c r="E768" t="s">
        <v>154</v>
      </c>
      <c r="F768" t="s">
        <v>155</v>
      </c>
      <c r="G768" t="s">
        <v>64</v>
      </c>
      <c r="H768" t="s">
        <v>164</v>
      </c>
      <c r="I768" t="s">
        <v>74</v>
      </c>
      <c r="J768" t="s">
        <v>192</v>
      </c>
      <c r="K768" t="s">
        <v>157</v>
      </c>
      <c r="L768" s="19">
        <v>44172</v>
      </c>
      <c r="M768" s="19">
        <v>44208</v>
      </c>
      <c r="N768" s="27" t="s">
        <v>557</v>
      </c>
    </row>
    <row r="769" spans="1:14" x14ac:dyDescent="0.25">
      <c r="A769" s="38" t="str">
        <f>HYPERLINK("http://reports.ofsted.gov.uk/inspection-reports/find-inspection-report/provider/CARE/SC025938","Ofsted Social Care Provider Webpage")</f>
        <v>Ofsted Social Care Provider Webpage</v>
      </c>
      <c r="B769" s="3" t="s">
        <v>876</v>
      </c>
      <c r="C769" t="s">
        <v>34</v>
      </c>
      <c r="D769" s="19">
        <v>35286</v>
      </c>
      <c r="E769" t="s">
        <v>154</v>
      </c>
      <c r="F769" t="s">
        <v>155</v>
      </c>
      <c r="G769" t="s">
        <v>57</v>
      </c>
      <c r="H769" t="s">
        <v>57</v>
      </c>
      <c r="I769" t="s">
        <v>62</v>
      </c>
      <c r="J769" t="s">
        <v>324</v>
      </c>
      <c r="K769" t="s">
        <v>157</v>
      </c>
      <c r="L769" s="19">
        <v>44172</v>
      </c>
      <c r="M769" s="19">
        <v>44210</v>
      </c>
      <c r="N769" s="27" t="s">
        <v>557</v>
      </c>
    </row>
    <row r="770" spans="1:14" x14ac:dyDescent="0.25">
      <c r="A770" s="38" t="str">
        <f>HYPERLINK("http://reports.ofsted.gov.uk/inspection-reports/find-inspection-report/provider/CARE/SC066458","Ofsted Social Care Provider Webpage")</f>
        <v>Ofsted Social Care Provider Webpage</v>
      </c>
      <c r="B770" s="3" t="s">
        <v>877</v>
      </c>
      <c r="C770" t="s">
        <v>34</v>
      </c>
      <c r="D770" s="19">
        <v>38806</v>
      </c>
      <c r="E770" t="s">
        <v>154</v>
      </c>
      <c r="F770" t="s">
        <v>155</v>
      </c>
      <c r="G770" t="s">
        <v>64</v>
      </c>
      <c r="H770" t="s">
        <v>164</v>
      </c>
      <c r="I770" t="s">
        <v>74</v>
      </c>
      <c r="J770" t="s">
        <v>878</v>
      </c>
      <c r="K770" t="s">
        <v>157</v>
      </c>
      <c r="L770" s="19">
        <v>44172</v>
      </c>
      <c r="M770" s="19">
        <v>44209</v>
      </c>
      <c r="N770" s="27" t="s">
        <v>557</v>
      </c>
    </row>
    <row r="771" spans="1:14" x14ac:dyDescent="0.25">
      <c r="A771" s="38" t="str">
        <f>HYPERLINK("http://reports.ofsted.gov.uk/inspection-reports/find-inspection-report/provider/CARE/1234243","Ofsted Social Care Provider Webpage")</f>
        <v>Ofsted Social Care Provider Webpage</v>
      </c>
      <c r="B771" s="3">
        <v>1234243</v>
      </c>
      <c r="C771" t="s">
        <v>34</v>
      </c>
      <c r="D771" s="19">
        <v>42517</v>
      </c>
      <c r="E771" t="s">
        <v>154</v>
      </c>
      <c r="F771" t="s">
        <v>155</v>
      </c>
      <c r="G771" t="s">
        <v>39</v>
      </c>
      <c r="H771" t="s">
        <v>39</v>
      </c>
      <c r="I771" t="s">
        <v>42</v>
      </c>
      <c r="J771" t="s">
        <v>368</v>
      </c>
      <c r="K771" t="s">
        <v>157</v>
      </c>
      <c r="L771" s="19">
        <v>44173</v>
      </c>
      <c r="M771" s="19">
        <v>44216</v>
      </c>
      <c r="N771" s="27" t="s">
        <v>557</v>
      </c>
    </row>
    <row r="772" spans="1:14" x14ac:dyDescent="0.25">
      <c r="A772" s="38" t="str">
        <f>HYPERLINK("http://reports.ofsted.gov.uk/inspection-reports/find-inspection-report/provider/CARE/2517054","Ofsted Social Care Provider Webpage")</f>
        <v>Ofsted Social Care Provider Webpage</v>
      </c>
      <c r="B772" s="3">
        <v>2517054</v>
      </c>
      <c r="C772" t="s">
        <v>34</v>
      </c>
      <c r="D772" s="19">
        <v>43872</v>
      </c>
      <c r="E772" t="s">
        <v>154</v>
      </c>
      <c r="F772" t="s">
        <v>155</v>
      </c>
      <c r="G772" t="s">
        <v>57</v>
      </c>
      <c r="H772" t="s">
        <v>57</v>
      </c>
      <c r="I772" t="s">
        <v>683</v>
      </c>
      <c r="J772" t="s">
        <v>882</v>
      </c>
      <c r="K772" t="s">
        <v>157</v>
      </c>
      <c r="L772" s="19">
        <v>44173</v>
      </c>
      <c r="M772" s="19">
        <v>44209</v>
      </c>
      <c r="N772" s="27" t="s">
        <v>557</v>
      </c>
    </row>
    <row r="773" spans="1:14" x14ac:dyDescent="0.25">
      <c r="A773" s="38" t="str">
        <f>HYPERLINK("http://reports.ofsted.gov.uk/inspection-reports/find-inspection-report/provider/CARE/SC023746","Ofsted Social Care Provider Webpage")</f>
        <v>Ofsted Social Care Provider Webpage</v>
      </c>
      <c r="B773" s="3" t="s">
        <v>883</v>
      </c>
      <c r="C773" t="s">
        <v>34</v>
      </c>
      <c r="D773" s="19">
        <v>37068</v>
      </c>
      <c r="E773" t="s">
        <v>154</v>
      </c>
      <c r="F773" t="s">
        <v>155</v>
      </c>
      <c r="G773" t="s">
        <v>105</v>
      </c>
      <c r="H773" t="s">
        <v>105</v>
      </c>
      <c r="I773" t="s">
        <v>109</v>
      </c>
      <c r="J773" t="s">
        <v>162</v>
      </c>
      <c r="K773" t="s">
        <v>157</v>
      </c>
      <c r="L773" s="19">
        <v>44173</v>
      </c>
      <c r="M773" s="19">
        <v>44222</v>
      </c>
      <c r="N773" s="27" t="s">
        <v>557</v>
      </c>
    </row>
    <row r="774" spans="1:14" x14ac:dyDescent="0.25">
      <c r="A774" s="38" t="str">
        <f>HYPERLINK("http://reports.ofsted.gov.uk/inspection-reports/find-inspection-report/provider/CARE/2545733","Ofsted Social Care Provider Webpage")</f>
        <v>Ofsted Social Care Provider Webpage</v>
      </c>
      <c r="B774" s="3">
        <v>2545733</v>
      </c>
      <c r="C774" t="s">
        <v>34</v>
      </c>
      <c r="D774" s="19">
        <v>43761</v>
      </c>
      <c r="E774" t="s">
        <v>154</v>
      </c>
      <c r="F774" t="s">
        <v>155</v>
      </c>
      <c r="G774" t="s">
        <v>87</v>
      </c>
      <c r="H774" t="s">
        <v>87</v>
      </c>
      <c r="I774" t="s">
        <v>93</v>
      </c>
      <c r="J774" t="s">
        <v>623</v>
      </c>
      <c r="K774" t="s">
        <v>157</v>
      </c>
      <c r="L774" s="19">
        <v>44173</v>
      </c>
      <c r="M774" s="19">
        <v>44215</v>
      </c>
      <c r="N774" s="27" t="s">
        <v>557</v>
      </c>
    </row>
    <row r="775" spans="1:14" x14ac:dyDescent="0.25">
      <c r="A775" s="38" t="str">
        <f>HYPERLINK("http://reports.ofsted.gov.uk/inspection-reports/find-inspection-report/provider/CARE/SC068410","Ofsted Social Care Provider Webpage")</f>
        <v>Ofsted Social Care Provider Webpage</v>
      </c>
      <c r="B775" s="3" t="s">
        <v>884</v>
      </c>
      <c r="C775" t="s">
        <v>36</v>
      </c>
      <c r="D775" s="19">
        <v>39038</v>
      </c>
      <c r="E775" t="s">
        <v>154</v>
      </c>
      <c r="F775" t="s">
        <v>155</v>
      </c>
      <c r="G775" t="s">
        <v>128</v>
      </c>
      <c r="H775" t="s">
        <v>128</v>
      </c>
      <c r="I775" t="s">
        <v>138</v>
      </c>
      <c r="J775" t="s">
        <v>332</v>
      </c>
      <c r="K775" t="s">
        <v>157</v>
      </c>
      <c r="L775" s="19">
        <v>44173</v>
      </c>
      <c r="M775" s="19">
        <v>44218</v>
      </c>
      <c r="N775" s="27" t="s">
        <v>557</v>
      </c>
    </row>
    <row r="776" spans="1:14" x14ac:dyDescent="0.25">
      <c r="A776" s="38" t="str">
        <f>HYPERLINK("http://reports.ofsted.gov.uk/inspection-reports/find-inspection-report/provider/CARE/2580303","Ofsted Social Care Provider Webpage")</f>
        <v>Ofsted Social Care Provider Webpage</v>
      </c>
      <c r="B776" s="3">
        <v>2580303</v>
      </c>
      <c r="C776" t="s">
        <v>34</v>
      </c>
      <c r="D776" s="19">
        <v>43945</v>
      </c>
      <c r="E776" t="s">
        <v>154</v>
      </c>
      <c r="F776" t="s">
        <v>155</v>
      </c>
      <c r="G776" t="s">
        <v>128</v>
      </c>
      <c r="H776" t="s">
        <v>128</v>
      </c>
      <c r="I776" t="s">
        <v>133</v>
      </c>
      <c r="J776" t="s">
        <v>885</v>
      </c>
      <c r="K776" t="s">
        <v>157</v>
      </c>
      <c r="L776" s="19">
        <v>44173</v>
      </c>
      <c r="M776" s="19">
        <v>44211</v>
      </c>
      <c r="N776" s="27" t="s">
        <v>557</v>
      </c>
    </row>
    <row r="777" spans="1:14" x14ac:dyDescent="0.25">
      <c r="A777" s="38" t="str">
        <f>HYPERLINK("http://reports.ofsted.gov.uk/inspection-reports/find-inspection-report/provider/CARE/SC459857","Ofsted Social Care Provider Webpage")</f>
        <v>Ofsted Social Care Provider Webpage</v>
      </c>
      <c r="B777" s="3" t="s">
        <v>886</v>
      </c>
      <c r="C777" t="s">
        <v>34</v>
      </c>
      <c r="D777" s="19">
        <v>41390</v>
      </c>
      <c r="E777" t="s">
        <v>154</v>
      </c>
      <c r="F777" t="s">
        <v>155</v>
      </c>
      <c r="G777" t="s">
        <v>57</v>
      </c>
      <c r="H777" t="s">
        <v>57</v>
      </c>
      <c r="I777" t="s">
        <v>673</v>
      </c>
      <c r="J777" t="s">
        <v>887</v>
      </c>
      <c r="K777" t="s">
        <v>168</v>
      </c>
      <c r="L777" s="19">
        <v>44173</v>
      </c>
      <c r="M777" s="19">
        <v>44217</v>
      </c>
      <c r="N777" s="27" t="s">
        <v>557</v>
      </c>
    </row>
    <row r="778" spans="1:14" x14ac:dyDescent="0.25">
      <c r="A778" s="38" t="str">
        <f>HYPERLINK("http://reports.ofsted.gov.uk/inspection-reports/find-inspection-report/provider/CARE/SC031698","Ofsted Social Care Provider Webpage")</f>
        <v>Ofsted Social Care Provider Webpage</v>
      </c>
      <c r="B778" s="3" t="s">
        <v>888</v>
      </c>
      <c r="C778" t="s">
        <v>34</v>
      </c>
      <c r="D778" s="19">
        <v>37833</v>
      </c>
      <c r="E778" t="s">
        <v>154</v>
      </c>
      <c r="F778" t="s">
        <v>155</v>
      </c>
      <c r="G778" t="s">
        <v>105</v>
      </c>
      <c r="H778" t="s">
        <v>105</v>
      </c>
      <c r="I778" t="s">
        <v>107</v>
      </c>
      <c r="J778" t="s">
        <v>783</v>
      </c>
      <c r="K778" t="s">
        <v>172</v>
      </c>
      <c r="L778" s="19">
        <v>44173</v>
      </c>
      <c r="M778" s="19">
        <v>44223</v>
      </c>
      <c r="N778" s="27" t="s">
        <v>557</v>
      </c>
    </row>
    <row r="779" spans="1:14" x14ac:dyDescent="0.25">
      <c r="A779" s="38" t="str">
        <f>HYPERLINK("http://reports.ofsted.gov.uk/inspection-reports/find-inspection-report/provider/CARE/SC377825","Ofsted Social Care Provider Webpage")</f>
        <v>Ofsted Social Care Provider Webpage</v>
      </c>
      <c r="B779" s="3" t="s">
        <v>889</v>
      </c>
      <c r="C779" t="s">
        <v>34</v>
      </c>
      <c r="D779" s="19">
        <v>39637</v>
      </c>
      <c r="E779" t="s">
        <v>154</v>
      </c>
      <c r="F779" t="s">
        <v>155</v>
      </c>
      <c r="G779" t="s">
        <v>128</v>
      </c>
      <c r="H779" t="s">
        <v>128</v>
      </c>
      <c r="I779" t="s">
        <v>129</v>
      </c>
      <c r="J779" t="s">
        <v>388</v>
      </c>
      <c r="K779" t="s">
        <v>157</v>
      </c>
      <c r="L779" s="19">
        <v>44173</v>
      </c>
      <c r="M779" s="19">
        <v>44221</v>
      </c>
      <c r="N779" s="27" t="s">
        <v>557</v>
      </c>
    </row>
    <row r="780" spans="1:14" x14ac:dyDescent="0.25">
      <c r="A780" s="38" t="str">
        <f>HYPERLINK("http://reports.ofsted.gov.uk/inspection-reports/find-inspection-report/provider/CARE/SC458141","Ofsted Social Care Provider Webpage")</f>
        <v>Ofsted Social Care Provider Webpage</v>
      </c>
      <c r="B780" s="3" t="s">
        <v>890</v>
      </c>
      <c r="C780" t="s">
        <v>34</v>
      </c>
      <c r="D780" s="19">
        <v>41284</v>
      </c>
      <c r="E780" t="s">
        <v>154</v>
      </c>
      <c r="F780" t="s">
        <v>155</v>
      </c>
      <c r="G780" t="s">
        <v>48</v>
      </c>
      <c r="H780" t="s">
        <v>48</v>
      </c>
      <c r="I780" t="s">
        <v>52</v>
      </c>
      <c r="J780" t="s">
        <v>752</v>
      </c>
      <c r="K780" t="s">
        <v>172</v>
      </c>
      <c r="L780" s="19">
        <v>44173</v>
      </c>
      <c r="M780" s="19">
        <v>44194</v>
      </c>
      <c r="N780" s="27" t="s">
        <v>557</v>
      </c>
    </row>
    <row r="781" spans="1:14" x14ac:dyDescent="0.25">
      <c r="A781" s="38" t="str">
        <f>HYPERLINK("http://reports.ofsted.gov.uk/inspection-reports/find-inspection-report/provider/CARE/1256973","Ofsted Social Care Provider Webpage")</f>
        <v>Ofsted Social Care Provider Webpage</v>
      </c>
      <c r="B781" s="3">
        <v>1256973</v>
      </c>
      <c r="C781" t="s">
        <v>34</v>
      </c>
      <c r="D781" s="19">
        <v>42951</v>
      </c>
      <c r="E781" t="s">
        <v>154</v>
      </c>
      <c r="F781" t="s">
        <v>155</v>
      </c>
      <c r="G781" t="s">
        <v>105</v>
      </c>
      <c r="H781" t="s">
        <v>105</v>
      </c>
      <c r="I781" t="s">
        <v>112</v>
      </c>
      <c r="J781" t="s">
        <v>264</v>
      </c>
      <c r="K781" t="s">
        <v>157</v>
      </c>
      <c r="L781" s="19">
        <v>44173</v>
      </c>
      <c r="M781" s="19">
        <v>44211</v>
      </c>
      <c r="N781" s="27" t="s">
        <v>557</v>
      </c>
    </row>
    <row r="782" spans="1:14" x14ac:dyDescent="0.25">
      <c r="A782" s="38" t="str">
        <f>HYPERLINK("http://reports.ofsted.gov.uk/inspection-reports/find-inspection-report/provider/CARE/SC034746","Ofsted Social Care Provider Webpage")</f>
        <v>Ofsted Social Care Provider Webpage</v>
      </c>
      <c r="B782" s="3" t="s">
        <v>891</v>
      </c>
      <c r="C782" t="s">
        <v>34</v>
      </c>
      <c r="D782" s="19">
        <v>37712</v>
      </c>
      <c r="E782" t="s">
        <v>154</v>
      </c>
      <c r="F782" t="s">
        <v>155</v>
      </c>
      <c r="G782" t="s">
        <v>64</v>
      </c>
      <c r="H782" t="s">
        <v>164</v>
      </c>
      <c r="I782" t="s">
        <v>72</v>
      </c>
      <c r="J782" t="s">
        <v>234</v>
      </c>
      <c r="K782" t="s">
        <v>172</v>
      </c>
      <c r="L782" s="19">
        <v>44173</v>
      </c>
      <c r="M782" s="19">
        <v>44221</v>
      </c>
      <c r="N782" s="27" t="s">
        <v>557</v>
      </c>
    </row>
    <row r="783" spans="1:14" x14ac:dyDescent="0.25">
      <c r="A783" s="38" t="str">
        <f>HYPERLINK("http://reports.ofsted.gov.uk/inspection-reports/find-inspection-report/provider/CARE/SC490365","Ofsted Social Care Provider Webpage")</f>
        <v>Ofsted Social Care Provider Webpage</v>
      </c>
      <c r="B783" s="3" t="s">
        <v>892</v>
      </c>
      <c r="C783" t="s">
        <v>34</v>
      </c>
      <c r="D783" s="19">
        <v>42129</v>
      </c>
      <c r="E783" t="s">
        <v>154</v>
      </c>
      <c r="F783" t="s">
        <v>155</v>
      </c>
      <c r="G783" t="s">
        <v>57</v>
      </c>
      <c r="H783" t="s">
        <v>57</v>
      </c>
      <c r="I783" t="s">
        <v>675</v>
      </c>
      <c r="J783" t="s">
        <v>893</v>
      </c>
      <c r="K783" t="s">
        <v>157</v>
      </c>
      <c r="L783" s="19">
        <v>44173</v>
      </c>
      <c r="M783" s="19">
        <v>44215</v>
      </c>
      <c r="N783" s="27" t="s">
        <v>557</v>
      </c>
    </row>
    <row r="784" spans="1:14" x14ac:dyDescent="0.25">
      <c r="A784" s="38" t="str">
        <f>HYPERLINK("http://reports.ofsted.gov.uk/inspection-reports/find-inspection-report/provider/CARE/SC014848","Ofsted Social Care Provider Webpage")</f>
        <v>Ofsted Social Care Provider Webpage</v>
      </c>
      <c r="B784" s="3" t="s">
        <v>894</v>
      </c>
      <c r="C784" t="s">
        <v>34</v>
      </c>
      <c r="D784" s="19">
        <v>37073</v>
      </c>
      <c r="E784" t="s">
        <v>154</v>
      </c>
      <c r="F784" t="s">
        <v>155</v>
      </c>
      <c r="G784" t="s">
        <v>105</v>
      </c>
      <c r="H784" t="s">
        <v>105</v>
      </c>
      <c r="I784" t="s">
        <v>113</v>
      </c>
      <c r="J784" t="s">
        <v>212</v>
      </c>
      <c r="K784" t="s">
        <v>157</v>
      </c>
      <c r="L784" s="19">
        <v>44173</v>
      </c>
      <c r="M784" s="19">
        <v>44223</v>
      </c>
      <c r="N784" s="27" t="s">
        <v>557</v>
      </c>
    </row>
    <row r="785" spans="1:14" x14ac:dyDescent="0.25">
      <c r="A785" s="38" t="str">
        <f>HYPERLINK("http://reports.ofsted.gov.uk/inspection-reports/find-inspection-report/provider/CARE/SC429748","Ofsted Social Care Provider Webpage")</f>
        <v>Ofsted Social Care Provider Webpage</v>
      </c>
      <c r="B785" s="3" t="s">
        <v>895</v>
      </c>
      <c r="C785" t="s">
        <v>34</v>
      </c>
      <c r="D785" s="19">
        <v>40746</v>
      </c>
      <c r="E785" t="s">
        <v>154</v>
      </c>
      <c r="F785" t="s">
        <v>155</v>
      </c>
      <c r="G785" t="s">
        <v>48</v>
      </c>
      <c r="H785" t="s">
        <v>48</v>
      </c>
      <c r="I785" t="s">
        <v>56</v>
      </c>
      <c r="J785" t="s">
        <v>615</v>
      </c>
      <c r="K785" t="s">
        <v>157</v>
      </c>
      <c r="L785" s="19">
        <v>44173</v>
      </c>
      <c r="M785" s="19">
        <v>44215</v>
      </c>
      <c r="N785" s="27" t="s">
        <v>557</v>
      </c>
    </row>
    <row r="786" spans="1:14" x14ac:dyDescent="0.25">
      <c r="A786" s="38" t="str">
        <f>HYPERLINK("http://reports.ofsted.gov.uk/inspection-reports/find-inspection-report/provider/CARE/2552036","Ofsted Social Care Provider Webpage")</f>
        <v>Ofsted Social Care Provider Webpage</v>
      </c>
      <c r="B786" s="3">
        <v>2552036</v>
      </c>
      <c r="C786" t="s">
        <v>34</v>
      </c>
      <c r="D786" s="19">
        <v>43843</v>
      </c>
      <c r="E786" t="s">
        <v>154</v>
      </c>
      <c r="F786" t="s">
        <v>155</v>
      </c>
      <c r="G786" t="s">
        <v>64</v>
      </c>
      <c r="H786" t="s">
        <v>213</v>
      </c>
      <c r="I786" t="s">
        <v>76</v>
      </c>
      <c r="J786" t="s">
        <v>281</v>
      </c>
      <c r="K786" t="s">
        <v>157</v>
      </c>
      <c r="L786" s="19">
        <v>44173</v>
      </c>
      <c r="M786" s="19">
        <v>44203</v>
      </c>
      <c r="N786" s="27" t="s">
        <v>557</v>
      </c>
    </row>
    <row r="787" spans="1:14" x14ac:dyDescent="0.25">
      <c r="A787" s="38" t="str">
        <f>HYPERLINK("http://reports.ofsted.gov.uk/inspection-reports/find-inspection-report/provider/CARE/1259631","Ofsted Social Care Provider Webpage")</f>
        <v>Ofsted Social Care Provider Webpage</v>
      </c>
      <c r="B787" s="3">
        <v>1259631</v>
      </c>
      <c r="C787" t="s">
        <v>34</v>
      </c>
      <c r="D787" s="19">
        <v>43021</v>
      </c>
      <c r="E787" t="s">
        <v>154</v>
      </c>
      <c r="F787" t="s">
        <v>155</v>
      </c>
      <c r="G787" t="s">
        <v>64</v>
      </c>
      <c r="H787" t="s">
        <v>164</v>
      </c>
      <c r="I787" t="s">
        <v>66</v>
      </c>
      <c r="J787" t="s">
        <v>896</v>
      </c>
      <c r="K787" t="s">
        <v>157</v>
      </c>
      <c r="L787" s="19">
        <v>44173</v>
      </c>
      <c r="M787" s="19">
        <v>44221</v>
      </c>
      <c r="N787" s="27" t="s">
        <v>557</v>
      </c>
    </row>
    <row r="788" spans="1:14" x14ac:dyDescent="0.25">
      <c r="A788" s="38" t="str">
        <f>HYPERLINK("http://reports.ofsted.gov.uk/inspection-reports/find-inspection-report/provider/CARE/2546196","Ofsted Social Care Provider Webpage")</f>
        <v>Ofsted Social Care Provider Webpage</v>
      </c>
      <c r="B788" s="3">
        <v>2546196</v>
      </c>
      <c r="C788" t="s">
        <v>34</v>
      </c>
      <c r="D788" s="19">
        <v>43734</v>
      </c>
      <c r="E788" t="s">
        <v>154</v>
      </c>
      <c r="F788" t="s">
        <v>155</v>
      </c>
      <c r="G788" t="s">
        <v>48</v>
      </c>
      <c r="H788" t="s">
        <v>48</v>
      </c>
      <c r="I788" t="s">
        <v>51</v>
      </c>
      <c r="J788" t="s">
        <v>897</v>
      </c>
      <c r="K788" t="s">
        <v>157</v>
      </c>
      <c r="L788" s="19">
        <v>44173</v>
      </c>
      <c r="M788" s="19">
        <v>44214</v>
      </c>
      <c r="N788" s="27" t="s">
        <v>557</v>
      </c>
    </row>
    <row r="789" spans="1:14" x14ac:dyDescent="0.25">
      <c r="A789" s="38" t="str">
        <f>HYPERLINK("http://reports.ofsted.gov.uk/inspection-reports/find-inspection-report/provider/CARE/SC482301","Ofsted Social Care Provider Webpage")</f>
        <v>Ofsted Social Care Provider Webpage</v>
      </c>
      <c r="B789" s="3" t="s">
        <v>898</v>
      </c>
      <c r="C789" t="s">
        <v>34</v>
      </c>
      <c r="D789" s="19">
        <v>41904</v>
      </c>
      <c r="E789" t="s">
        <v>154</v>
      </c>
      <c r="F789" t="s">
        <v>155</v>
      </c>
      <c r="G789" t="s">
        <v>105</v>
      </c>
      <c r="H789" t="s">
        <v>105</v>
      </c>
      <c r="I789" t="s">
        <v>108</v>
      </c>
      <c r="J789" t="s">
        <v>869</v>
      </c>
      <c r="K789" t="s">
        <v>157</v>
      </c>
      <c r="L789" s="19">
        <v>44173</v>
      </c>
      <c r="M789" s="19">
        <v>44223</v>
      </c>
      <c r="N789" s="27" t="s">
        <v>557</v>
      </c>
    </row>
    <row r="790" spans="1:14" x14ac:dyDescent="0.25">
      <c r="A790" s="38" t="str">
        <f>HYPERLINK("http://reports.ofsted.gov.uk/inspection-reports/find-inspection-report/provider/CARE/SC372504","Ofsted Social Care Provider Webpage")</f>
        <v>Ofsted Social Care Provider Webpage</v>
      </c>
      <c r="B790" s="3" t="s">
        <v>899</v>
      </c>
      <c r="C790" t="s">
        <v>36</v>
      </c>
      <c r="D790" s="19">
        <v>40039</v>
      </c>
      <c r="E790" t="s">
        <v>154</v>
      </c>
      <c r="F790" t="s">
        <v>155</v>
      </c>
      <c r="G790" t="s">
        <v>39</v>
      </c>
      <c r="H790" t="s">
        <v>39</v>
      </c>
      <c r="I790" t="s">
        <v>41</v>
      </c>
      <c r="J790" t="s">
        <v>484</v>
      </c>
      <c r="K790" t="s">
        <v>157</v>
      </c>
      <c r="L790" s="19">
        <v>44173</v>
      </c>
      <c r="M790" s="19">
        <v>44214</v>
      </c>
      <c r="N790" s="27" t="s">
        <v>557</v>
      </c>
    </row>
    <row r="791" spans="1:14" x14ac:dyDescent="0.25">
      <c r="A791" s="38" t="str">
        <f>HYPERLINK("http://reports.ofsted.gov.uk/inspection-reports/find-inspection-report/provider/CARE/1258091","Ofsted Social Care Provider Webpage")</f>
        <v>Ofsted Social Care Provider Webpage</v>
      </c>
      <c r="B791" s="3">
        <v>1258091</v>
      </c>
      <c r="C791" t="s">
        <v>34</v>
      </c>
      <c r="D791" s="19">
        <v>42967</v>
      </c>
      <c r="E791" t="s">
        <v>154</v>
      </c>
      <c r="F791" t="s">
        <v>155</v>
      </c>
      <c r="G791" t="s">
        <v>128</v>
      </c>
      <c r="H791" t="s">
        <v>128</v>
      </c>
      <c r="I791" t="s">
        <v>134</v>
      </c>
      <c r="J791" t="s">
        <v>900</v>
      </c>
      <c r="K791" t="s">
        <v>157</v>
      </c>
      <c r="L791" s="19">
        <v>44173</v>
      </c>
      <c r="M791" s="19">
        <v>44211</v>
      </c>
      <c r="N791" s="27" t="s">
        <v>557</v>
      </c>
    </row>
    <row r="792" spans="1:14" x14ac:dyDescent="0.25">
      <c r="A792" s="38" t="str">
        <f>HYPERLINK("http://reports.ofsted.gov.uk/inspection-reports/find-inspection-report/provider/CARE/SC470797","Ofsted Social Care Provider Webpage")</f>
        <v>Ofsted Social Care Provider Webpage</v>
      </c>
      <c r="B792" s="3" t="s">
        <v>901</v>
      </c>
      <c r="C792" t="s">
        <v>34</v>
      </c>
      <c r="D792" s="19">
        <v>41563</v>
      </c>
      <c r="E792" t="s">
        <v>154</v>
      </c>
      <c r="F792" t="s">
        <v>155</v>
      </c>
      <c r="G792" t="s">
        <v>87</v>
      </c>
      <c r="H792" t="s">
        <v>87</v>
      </c>
      <c r="I792" t="s">
        <v>89</v>
      </c>
      <c r="J792" t="s">
        <v>208</v>
      </c>
      <c r="K792" t="s">
        <v>168</v>
      </c>
      <c r="L792" s="19">
        <v>44173</v>
      </c>
      <c r="M792" s="19">
        <v>44215</v>
      </c>
      <c r="N792" s="27" t="s">
        <v>557</v>
      </c>
    </row>
    <row r="793" spans="1:14" x14ac:dyDescent="0.25">
      <c r="A793" s="38" t="str">
        <f>HYPERLINK("http://reports.ofsted.gov.uk/inspection-reports/find-inspection-report/provider/CARE/SC040628","Ofsted Social Care Provider Webpage")</f>
        <v>Ofsted Social Care Provider Webpage</v>
      </c>
      <c r="B793" s="3" t="s">
        <v>902</v>
      </c>
      <c r="C793" t="s">
        <v>34</v>
      </c>
      <c r="D793" s="19">
        <v>37904</v>
      </c>
      <c r="E793" t="s">
        <v>154</v>
      </c>
      <c r="F793" t="s">
        <v>155</v>
      </c>
      <c r="G793" t="s">
        <v>105</v>
      </c>
      <c r="H793" t="s">
        <v>105</v>
      </c>
      <c r="I793" t="s">
        <v>112</v>
      </c>
      <c r="J793" t="s">
        <v>854</v>
      </c>
      <c r="K793" t="s">
        <v>172</v>
      </c>
      <c r="L793" s="19">
        <v>44173</v>
      </c>
      <c r="M793" s="19">
        <v>44222</v>
      </c>
      <c r="N793" s="27" t="s">
        <v>557</v>
      </c>
    </row>
    <row r="794" spans="1:14" x14ac:dyDescent="0.25">
      <c r="A794" s="38" t="str">
        <f>HYPERLINK("http://reports.ofsted.gov.uk/inspection-reports/find-inspection-report/provider/CARE/SC480850","Ofsted Social Care Provider Webpage")</f>
        <v>Ofsted Social Care Provider Webpage</v>
      </c>
      <c r="B794" s="3" t="s">
        <v>903</v>
      </c>
      <c r="C794" t="s">
        <v>34</v>
      </c>
      <c r="D794" s="19">
        <v>41954</v>
      </c>
      <c r="E794" t="s">
        <v>154</v>
      </c>
      <c r="F794" t="s">
        <v>155</v>
      </c>
      <c r="G794" t="s">
        <v>64</v>
      </c>
      <c r="H794" t="s">
        <v>164</v>
      </c>
      <c r="I794" t="s">
        <v>694</v>
      </c>
      <c r="J794" t="s">
        <v>904</v>
      </c>
      <c r="K794" t="s">
        <v>157</v>
      </c>
      <c r="L794" s="19">
        <v>44173</v>
      </c>
      <c r="M794" s="19">
        <v>44217</v>
      </c>
      <c r="N794" s="27" t="s">
        <v>559</v>
      </c>
    </row>
    <row r="795" spans="1:14" x14ac:dyDescent="0.25">
      <c r="A795" s="38" t="str">
        <f>HYPERLINK("http://reports.ofsted.gov.uk/inspection-reports/find-inspection-report/provider/CARE/SC043732","Ofsted Social Care Provider Webpage")</f>
        <v>Ofsted Social Care Provider Webpage</v>
      </c>
      <c r="B795" s="3" t="s">
        <v>905</v>
      </c>
      <c r="C795" t="s">
        <v>34</v>
      </c>
      <c r="D795" s="19">
        <v>37903</v>
      </c>
      <c r="E795" t="s">
        <v>154</v>
      </c>
      <c r="F795" t="s">
        <v>155</v>
      </c>
      <c r="G795" t="s">
        <v>39</v>
      </c>
      <c r="H795" t="s">
        <v>39</v>
      </c>
      <c r="I795" t="s">
        <v>43</v>
      </c>
      <c r="J795" t="s">
        <v>598</v>
      </c>
      <c r="K795" t="s">
        <v>172</v>
      </c>
      <c r="L795" s="19">
        <v>44173</v>
      </c>
      <c r="M795" s="19">
        <v>44214</v>
      </c>
      <c r="N795" s="27" t="s">
        <v>557</v>
      </c>
    </row>
    <row r="796" spans="1:14" x14ac:dyDescent="0.25">
      <c r="A796" s="38" t="str">
        <f>HYPERLINK("http://reports.ofsted.gov.uk/inspection-reports/find-inspection-report/provider/CARE/SC481221","Ofsted Social Care Provider Webpage")</f>
        <v>Ofsted Social Care Provider Webpage</v>
      </c>
      <c r="B796" s="3" t="s">
        <v>906</v>
      </c>
      <c r="C796" t="s">
        <v>34</v>
      </c>
      <c r="D796" s="19">
        <v>41941</v>
      </c>
      <c r="E796" t="s">
        <v>154</v>
      </c>
      <c r="F796" t="s">
        <v>155</v>
      </c>
      <c r="G796" t="s">
        <v>48</v>
      </c>
      <c r="H796" t="s">
        <v>48</v>
      </c>
      <c r="I796" t="s">
        <v>56</v>
      </c>
      <c r="J796" t="s">
        <v>232</v>
      </c>
      <c r="K796" t="s">
        <v>157</v>
      </c>
      <c r="L796" s="19">
        <v>44173</v>
      </c>
      <c r="M796" s="19">
        <v>44201</v>
      </c>
      <c r="N796" s="27" t="s">
        <v>557</v>
      </c>
    </row>
    <row r="797" spans="1:14" x14ac:dyDescent="0.25">
      <c r="A797" s="38" t="str">
        <f>HYPERLINK("http://reports.ofsted.gov.uk/inspection-reports/find-inspection-report/provider/CARE/2541467","Ofsted Social Care Provider Webpage")</f>
        <v>Ofsted Social Care Provider Webpage</v>
      </c>
      <c r="B797" s="3">
        <v>2541467</v>
      </c>
      <c r="C797" t="s">
        <v>34</v>
      </c>
      <c r="D797" s="19">
        <v>43815</v>
      </c>
      <c r="E797" t="s">
        <v>154</v>
      </c>
      <c r="F797" t="s">
        <v>155</v>
      </c>
      <c r="G797" t="s">
        <v>87</v>
      </c>
      <c r="H797" t="s">
        <v>87</v>
      </c>
      <c r="I797" t="s">
        <v>94</v>
      </c>
      <c r="J797" t="s">
        <v>633</v>
      </c>
      <c r="K797" t="s">
        <v>157</v>
      </c>
      <c r="L797" s="19">
        <v>44173</v>
      </c>
      <c r="M797" s="19">
        <v>44214</v>
      </c>
      <c r="N797" s="27" t="s">
        <v>557</v>
      </c>
    </row>
    <row r="798" spans="1:14" x14ac:dyDescent="0.25">
      <c r="A798" s="38" t="str">
        <f>HYPERLINK("http://reports.ofsted.gov.uk/inspection-reports/find-inspection-report/provider/CARE/SC482275","Ofsted Social Care Provider Webpage")</f>
        <v>Ofsted Social Care Provider Webpage</v>
      </c>
      <c r="B798" s="3" t="s">
        <v>907</v>
      </c>
      <c r="C798" t="s">
        <v>34</v>
      </c>
      <c r="D798" s="19">
        <v>41957</v>
      </c>
      <c r="E798" t="s">
        <v>154</v>
      </c>
      <c r="F798" t="s">
        <v>155</v>
      </c>
      <c r="G798" t="s">
        <v>114</v>
      </c>
      <c r="H798" t="s">
        <v>114</v>
      </c>
      <c r="I798" t="s">
        <v>117</v>
      </c>
      <c r="J798" t="s">
        <v>523</v>
      </c>
      <c r="K798" t="s">
        <v>157</v>
      </c>
      <c r="L798" s="19">
        <v>44173</v>
      </c>
      <c r="M798" s="19">
        <v>44221</v>
      </c>
      <c r="N798" s="27" t="s">
        <v>557</v>
      </c>
    </row>
    <row r="799" spans="1:14" x14ac:dyDescent="0.25">
      <c r="A799" s="38" t="str">
        <f>HYPERLINK("http://reports.ofsted.gov.uk/inspection-reports/find-inspection-report/provider/CARE/2557141","Ofsted Social Care Provider Webpage")</f>
        <v>Ofsted Social Care Provider Webpage</v>
      </c>
      <c r="B799" s="3">
        <v>2557141</v>
      </c>
      <c r="C799" t="s">
        <v>34</v>
      </c>
      <c r="D799" s="19">
        <v>44025</v>
      </c>
      <c r="E799" t="s">
        <v>154</v>
      </c>
      <c r="F799" t="s">
        <v>155</v>
      </c>
      <c r="G799" t="s">
        <v>57</v>
      </c>
      <c r="H799" t="s">
        <v>57</v>
      </c>
      <c r="I799" t="s">
        <v>667</v>
      </c>
      <c r="J799" t="s">
        <v>908</v>
      </c>
      <c r="K799" t="s">
        <v>157</v>
      </c>
      <c r="L799" s="19">
        <v>44173</v>
      </c>
      <c r="M799" s="19">
        <v>44215</v>
      </c>
      <c r="N799" s="27" t="s">
        <v>557</v>
      </c>
    </row>
    <row r="800" spans="1:14" x14ac:dyDescent="0.25">
      <c r="A800" s="38" t="str">
        <f>HYPERLINK("http://reports.ofsted.gov.uk/inspection-reports/find-inspection-report/provider/CARE/2552727","Ofsted Social Care Provider Webpage")</f>
        <v>Ofsted Social Care Provider Webpage</v>
      </c>
      <c r="B800" s="3">
        <v>2552727</v>
      </c>
      <c r="C800" t="s">
        <v>34</v>
      </c>
      <c r="D800" s="19">
        <v>43801</v>
      </c>
      <c r="E800" t="s">
        <v>154</v>
      </c>
      <c r="F800" t="s">
        <v>155</v>
      </c>
      <c r="G800" t="s">
        <v>48</v>
      </c>
      <c r="H800" t="s">
        <v>48</v>
      </c>
      <c r="I800" t="s">
        <v>56</v>
      </c>
      <c r="J800" t="s">
        <v>615</v>
      </c>
      <c r="K800" t="s">
        <v>157</v>
      </c>
      <c r="L800" s="19">
        <v>44173</v>
      </c>
      <c r="M800" s="19">
        <v>44204</v>
      </c>
      <c r="N800" s="27" t="s">
        <v>557</v>
      </c>
    </row>
    <row r="801" spans="1:14" x14ac:dyDescent="0.25">
      <c r="A801" s="38" t="str">
        <f>HYPERLINK("http://reports.ofsted.gov.uk/inspection-reports/find-inspection-report/provider/CARE/SC037447","Ofsted Social Care Provider Webpage")</f>
        <v>Ofsted Social Care Provider Webpage</v>
      </c>
      <c r="B801" s="3" t="s">
        <v>910</v>
      </c>
      <c r="C801" t="s">
        <v>34</v>
      </c>
      <c r="D801" s="19">
        <v>37673</v>
      </c>
      <c r="E801" t="s">
        <v>154</v>
      </c>
      <c r="F801" t="s">
        <v>155</v>
      </c>
      <c r="G801" t="s">
        <v>105</v>
      </c>
      <c r="H801" t="s">
        <v>105</v>
      </c>
      <c r="I801" t="s">
        <v>113</v>
      </c>
      <c r="J801" t="s">
        <v>360</v>
      </c>
      <c r="K801" t="s">
        <v>172</v>
      </c>
      <c r="L801" s="19">
        <v>44174</v>
      </c>
      <c r="M801" s="19">
        <v>44222</v>
      </c>
      <c r="N801" s="27" t="s">
        <v>557</v>
      </c>
    </row>
    <row r="802" spans="1:14" x14ac:dyDescent="0.25">
      <c r="A802" s="38" t="str">
        <f>HYPERLINK("http://reports.ofsted.gov.uk/inspection-reports/find-inspection-report/provider/CARE/SC066565","Ofsted Social Care Provider Webpage")</f>
        <v>Ofsted Social Care Provider Webpage</v>
      </c>
      <c r="B802" s="3" t="s">
        <v>911</v>
      </c>
      <c r="C802" t="s">
        <v>36</v>
      </c>
      <c r="D802" s="19">
        <v>38916</v>
      </c>
      <c r="E802" t="s">
        <v>154</v>
      </c>
      <c r="F802" t="s">
        <v>155</v>
      </c>
      <c r="G802" t="s">
        <v>64</v>
      </c>
      <c r="H802" t="s">
        <v>164</v>
      </c>
      <c r="I802" t="s">
        <v>692</v>
      </c>
      <c r="J802" t="s">
        <v>912</v>
      </c>
      <c r="K802" t="s">
        <v>157</v>
      </c>
      <c r="L802" s="19">
        <v>44174</v>
      </c>
      <c r="M802" s="19">
        <v>44221</v>
      </c>
      <c r="N802" s="27" t="s">
        <v>557</v>
      </c>
    </row>
    <row r="803" spans="1:14" x14ac:dyDescent="0.25">
      <c r="A803" s="38" t="str">
        <f>HYPERLINK("http://reports.ofsted.gov.uk/inspection-reports/find-inspection-report/provider/CARE/SC068955","Ofsted Social Care Provider Webpage")</f>
        <v>Ofsted Social Care Provider Webpage</v>
      </c>
      <c r="B803" s="3" t="s">
        <v>913</v>
      </c>
      <c r="C803" t="s">
        <v>34</v>
      </c>
      <c r="D803" s="19">
        <v>39042</v>
      </c>
      <c r="E803" t="s">
        <v>154</v>
      </c>
      <c r="F803" t="s">
        <v>155</v>
      </c>
      <c r="G803" t="s">
        <v>48</v>
      </c>
      <c r="H803" t="s">
        <v>48</v>
      </c>
      <c r="I803" t="s">
        <v>53</v>
      </c>
      <c r="J803" t="s">
        <v>379</v>
      </c>
      <c r="K803" t="s">
        <v>172</v>
      </c>
      <c r="L803" s="19">
        <v>44174</v>
      </c>
      <c r="M803" s="19">
        <v>44214</v>
      </c>
      <c r="N803" s="27" t="s">
        <v>557</v>
      </c>
    </row>
    <row r="804" spans="1:14" x14ac:dyDescent="0.25">
      <c r="A804" s="38" t="str">
        <f>HYPERLINK("http://reports.ofsted.gov.uk/inspection-reports/find-inspection-report/provider/CARE/SC363144","Ofsted Social Care Provider Webpage")</f>
        <v>Ofsted Social Care Provider Webpage</v>
      </c>
      <c r="B804" s="3" t="s">
        <v>914</v>
      </c>
      <c r="C804" t="s">
        <v>35</v>
      </c>
      <c r="D804" s="19">
        <v>39324</v>
      </c>
      <c r="E804" t="s">
        <v>154</v>
      </c>
      <c r="F804" t="s">
        <v>915</v>
      </c>
      <c r="G804" t="s">
        <v>105</v>
      </c>
      <c r="H804" t="s">
        <v>105</v>
      </c>
      <c r="I804" t="s">
        <v>112</v>
      </c>
      <c r="J804" t="s">
        <v>916</v>
      </c>
      <c r="K804" t="s">
        <v>157</v>
      </c>
      <c r="L804" s="19">
        <v>44174</v>
      </c>
      <c r="M804" s="19">
        <v>44225</v>
      </c>
      <c r="N804" s="27" t="s">
        <v>557</v>
      </c>
    </row>
    <row r="805" spans="1:14" x14ac:dyDescent="0.25">
      <c r="A805" s="38" t="str">
        <f>HYPERLINK("http://reports.ofsted.gov.uk/inspection-reports/find-inspection-report/provider/CARE/SC473460","Ofsted Social Care Provider Webpage")</f>
        <v>Ofsted Social Care Provider Webpage</v>
      </c>
      <c r="B805" s="3" t="s">
        <v>917</v>
      </c>
      <c r="C805" t="s">
        <v>34</v>
      </c>
      <c r="D805" s="19">
        <v>41698</v>
      </c>
      <c r="E805" t="s">
        <v>154</v>
      </c>
      <c r="F805" t="s">
        <v>155</v>
      </c>
      <c r="G805" t="s">
        <v>57</v>
      </c>
      <c r="H805" t="s">
        <v>57</v>
      </c>
      <c r="I805" t="s">
        <v>611</v>
      </c>
      <c r="J805" t="s">
        <v>612</v>
      </c>
      <c r="K805" t="s">
        <v>157</v>
      </c>
      <c r="L805" s="19">
        <v>44174</v>
      </c>
      <c r="M805" s="19">
        <v>44217</v>
      </c>
      <c r="N805" s="27" t="s">
        <v>557</v>
      </c>
    </row>
    <row r="806" spans="1:14" x14ac:dyDescent="0.25">
      <c r="A806" s="38" t="str">
        <f>HYPERLINK("http://reports.ofsted.gov.uk/inspection-reports/find-inspection-report/provider/CARE/SC450992","Ofsted Social Care Provider Webpage")</f>
        <v>Ofsted Social Care Provider Webpage</v>
      </c>
      <c r="B806" s="3" t="s">
        <v>918</v>
      </c>
      <c r="C806" t="s">
        <v>34</v>
      </c>
      <c r="D806" s="19">
        <v>41103</v>
      </c>
      <c r="E806" t="s">
        <v>154</v>
      </c>
      <c r="F806" t="s">
        <v>155</v>
      </c>
      <c r="G806" t="s">
        <v>128</v>
      </c>
      <c r="H806" t="s">
        <v>128</v>
      </c>
      <c r="I806" t="s">
        <v>130</v>
      </c>
      <c r="J806" t="s">
        <v>919</v>
      </c>
      <c r="K806" t="s">
        <v>157</v>
      </c>
      <c r="L806" s="19">
        <v>44174</v>
      </c>
      <c r="M806" s="19">
        <v>44211</v>
      </c>
      <c r="N806" s="27" t="s">
        <v>557</v>
      </c>
    </row>
    <row r="807" spans="1:14" x14ac:dyDescent="0.25">
      <c r="A807" s="38" t="str">
        <f>HYPERLINK("http://reports.ofsted.gov.uk/inspection-reports/find-inspection-report/provider/CARE/2520922","Ofsted Social Care Provider Webpage")</f>
        <v>Ofsted Social Care Provider Webpage</v>
      </c>
      <c r="B807" s="3">
        <v>2520922</v>
      </c>
      <c r="C807" t="s">
        <v>34</v>
      </c>
      <c r="D807" s="19">
        <v>43622</v>
      </c>
      <c r="E807" t="s">
        <v>154</v>
      </c>
      <c r="F807" t="s">
        <v>155</v>
      </c>
      <c r="G807" t="s">
        <v>64</v>
      </c>
      <c r="H807" t="s">
        <v>213</v>
      </c>
      <c r="I807" t="s">
        <v>84</v>
      </c>
      <c r="J807" t="s">
        <v>260</v>
      </c>
      <c r="K807" t="s">
        <v>157</v>
      </c>
      <c r="L807" s="19">
        <v>44174</v>
      </c>
      <c r="M807" s="19">
        <v>44222</v>
      </c>
      <c r="N807" s="27" t="s">
        <v>557</v>
      </c>
    </row>
    <row r="808" spans="1:14" x14ac:dyDescent="0.25">
      <c r="A808" s="38" t="str">
        <f>HYPERLINK("http://reports.ofsted.gov.uk/inspection-reports/find-inspection-report/provider/CARE/2569163","Ofsted Social Care Provider Webpage")</f>
        <v>Ofsted Social Care Provider Webpage</v>
      </c>
      <c r="B808" s="3">
        <v>2569163</v>
      </c>
      <c r="C808" t="s">
        <v>34</v>
      </c>
      <c r="D808" s="19">
        <v>43903</v>
      </c>
      <c r="E808" t="s">
        <v>154</v>
      </c>
      <c r="F808" t="s">
        <v>155</v>
      </c>
      <c r="G808" t="s">
        <v>64</v>
      </c>
      <c r="H808" t="s">
        <v>164</v>
      </c>
      <c r="I808" t="s">
        <v>69</v>
      </c>
      <c r="J808" t="s">
        <v>173</v>
      </c>
      <c r="K808" t="s">
        <v>157</v>
      </c>
      <c r="L808" s="19">
        <v>44174</v>
      </c>
      <c r="M808" s="19">
        <v>44222</v>
      </c>
      <c r="N808" s="27" t="s">
        <v>557</v>
      </c>
    </row>
    <row r="809" spans="1:14" x14ac:dyDescent="0.25">
      <c r="A809" s="38" t="str">
        <f>HYPERLINK("http://reports.ofsted.gov.uk/inspection-reports/find-inspection-report/provider/CARE/1258894","Ofsted Social Care Provider Webpage")</f>
        <v>Ofsted Social Care Provider Webpage</v>
      </c>
      <c r="B809" s="3">
        <v>1258894</v>
      </c>
      <c r="C809" t="s">
        <v>34</v>
      </c>
      <c r="D809" s="19">
        <v>42950</v>
      </c>
      <c r="E809" t="s">
        <v>154</v>
      </c>
      <c r="F809" t="s">
        <v>155</v>
      </c>
      <c r="G809" t="s">
        <v>39</v>
      </c>
      <c r="H809" t="s">
        <v>39</v>
      </c>
      <c r="I809" t="s">
        <v>662</v>
      </c>
      <c r="J809" t="s">
        <v>920</v>
      </c>
      <c r="K809" t="s">
        <v>157</v>
      </c>
      <c r="L809" s="19">
        <v>44174</v>
      </c>
      <c r="M809" s="19">
        <v>44217</v>
      </c>
      <c r="N809" s="27" t="s">
        <v>557</v>
      </c>
    </row>
    <row r="810" spans="1:14" x14ac:dyDescent="0.25">
      <c r="A810" s="38" t="str">
        <f>HYPERLINK("http://reports.ofsted.gov.uk/inspection-reports/find-inspection-report/provider/CARE/SC052946","Ofsted Social Care Provider Webpage")</f>
        <v>Ofsted Social Care Provider Webpage</v>
      </c>
      <c r="B810" s="3" t="s">
        <v>921</v>
      </c>
      <c r="C810" t="s">
        <v>34</v>
      </c>
      <c r="D810" s="19">
        <v>37963</v>
      </c>
      <c r="E810" t="s">
        <v>154</v>
      </c>
      <c r="F810" t="s">
        <v>155</v>
      </c>
      <c r="G810" t="s">
        <v>57</v>
      </c>
      <c r="H810" t="s">
        <v>57</v>
      </c>
      <c r="I810" t="s">
        <v>62</v>
      </c>
      <c r="J810" t="s">
        <v>922</v>
      </c>
      <c r="K810" t="s">
        <v>157</v>
      </c>
      <c r="L810" s="19">
        <v>44174</v>
      </c>
      <c r="M810" s="19">
        <v>44221</v>
      </c>
      <c r="N810" s="27" t="s">
        <v>557</v>
      </c>
    </row>
    <row r="811" spans="1:14" x14ac:dyDescent="0.25">
      <c r="A811" s="38" t="str">
        <f>HYPERLINK("http://reports.ofsted.gov.uk/inspection-reports/find-inspection-report/provider/CARE/SC482418","Ofsted Social Care Provider Webpage")</f>
        <v>Ofsted Social Care Provider Webpage</v>
      </c>
      <c r="B811" s="3" t="s">
        <v>923</v>
      </c>
      <c r="C811" t="s">
        <v>34</v>
      </c>
      <c r="D811" s="19">
        <v>42107</v>
      </c>
      <c r="E811" t="s">
        <v>154</v>
      </c>
      <c r="F811" t="s">
        <v>155</v>
      </c>
      <c r="G811" t="s">
        <v>64</v>
      </c>
      <c r="H811" t="s">
        <v>213</v>
      </c>
      <c r="I811" t="s">
        <v>70</v>
      </c>
      <c r="J811" t="s">
        <v>924</v>
      </c>
      <c r="K811" t="s">
        <v>157</v>
      </c>
      <c r="L811" s="19">
        <v>44174</v>
      </c>
      <c r="M811" s="19">
        <v>44216</v>
      </c>
      <c r="N811" s="27" t="s">
        <v>557</v>
      </c>
    </row>
    <row r="812" spans="1:14" x14ac:dyDescent="0.25">
      <c r="A812" s="38" t="str">
        <f>HYPERLINK("http://reports.ofsted.gov.uk/inspection-reports/find-inspection-report/provider/CARE/SC411142","Ofsted Social Care Provider Webpage")</f>
        <v>Ofsted Social Care Provider Webpage</v>
      </c>
      <c r="B812" s="3" t="s">
        <v>925</v>
      </c>
      <c r="C812" t="s">
        <v>34</v>
      </c>
      <c r="D812" s="19">
        <v>40332</v>
      </c>
      <c r="E812" t="s">
        <v>154</v>
      </c>
      <c r="F812" t="s">
        <v>155</v>
      </c>
      <c r="G812" t="s">
        <v>128</v>
      </c>
      <c r="H812" t="s">
        <v>128</v>
      </c>
      <c r="I812" t="s">
        <v>133</v>
      </c>
      <c r="J812" t="s">
        <v>412</v>
      </c>
      <c r="K812" t="s">
        <v>157</v>
      </c>
      <c r="L812" s="19">
        <v>44174</v>
      </c>
      <c r="M812" s="19">
        <v>44217</v>
      </c>
      <c r="N812" s="27" t="s">
        <v>557</v>
      </c>
    </row>
    <row r="813" spans="1:14" x14ac:dyDescent="0.25">
      <c r="A813" s="38" t="str">
        <f>HYPERLINK("http://reports.ofsted.gov.uk/inspection-reports/find-inspection-report/provider/CARE/1225371","Ofsted Social Care Provider Webpage")</f>
        <v>Ofsted Social Care Provider Webpage</v>
      </c>
      <c r="B813" s="3">
        <v>1225371</v>
      </c>
      <c r="C813" t="s">
        <v>34</v>
      </c>
      <c r="D813" s="19">
        <v>42487</v>
      </c>
      <c r="E813" t="s">
        <v>154</v>
      </c>
      <c r="F813" t="s">
        <v>155</v>
      </c>
      <c r="G813" t="s">
        <v>87</v>
      </c>
      <c r="H813" t="s">
        <v>87</v>
      </c>
      <c r="I813" t="s">
        <v>102</v>
      </c>
      <c r="J813" t="s">
        <v>303</v>
      </c>
      <c r="K813" t="s">
        <v>157</v>
      </c>
      <c r="L813" s="19">
        <v>44174</v>
      </c>
      <c r="M813" s="19">
        <v>44221</v>
      </c>
      <c r="N813" s="27" t="s">
        <v>557</v>
      </c>
    </row>
    <row r="814" spans="1:14" x14ac:dyDescent="0.25">
      <c r="A814" s="38" t="str">
        <f>HYPERLINK("http://reports.ofsted.gov.uk/inspection-reports/find-inspection-report/provider/CARE/SC047978","Ofsted Social Care Provider Webpage")</f>
        <v>Ofsted Social Care Provider Webpage</v>
      </c>
      <c r="B814" s="3" t="s">
        <v>926</v>
      </c>
      <c r="C814" t="s">
        <v>34</v>
      </c>
      <c r="D814" s="19">
        <v>37799</v>
      </c>
      <c r="E814" t="s">
        <v>154</v>
      </c>
      <c r="F814" t="s">
        <v>155</v>
      </c>
      <c r="G814" t="s">
        <v>39</v>
      </c>
      <c r="H814" t="s">
        <v>39</v>
      </c>
      <c r="I814" t="s">
        <v>46</v>
      </c>
      <c r="J814" t="s">
        <v>272</v>
      </c>
      <c r="K814" t="s">
        <v>157</v>
      </c>
      <c r="L814" s="19">
        <v>44174</v>
      </c>
      <c r="M814" s="19">
        <v>44221</v>
      </c>
      <c r="N814" s="27" t="s">
        <v>557</v>
      </c>
    </row>
    <row r="815" spans="1:14" x14ac:dyDescent="0.25">
      <c r="A815" s="38" t="str">
        <f>HYPERLINK("http://reports.ofsted.gov.uk/inspection-reports/find-inspection-report/provider/CARE/SC456409","Ofsted Social Care Provider Webpage")</f>
        <v>Ofsted Social Care Provider Webpage</v>
      </c>
      <c r="B815" s="3" t="s">
        <v>927</v>
      </c>
      <c r="C815" t="s">
        <v>34</v>
      </c>
      <c r="D815" s="19">
        <v>41325</v>
      </c>
      <c r="E815" t="s">
        <v>154</v>
      </c>
      <c r="F815" t="s">
        <v>155</v>
      </c>
      <c r="G815" t="s">
        <v>87</v>
      </c>
      <c r="H815" t="s">
        <v>87</v>
      </c>
      <c r="I815" t="s">
        <v>97</v>
      </c>
      <c r="J815" t="s">
        <v>97</v>
      </c>
      <c r="K815" t="s">
        <v>157</v>
      </c>
      <c r="L815" s="19">
        <v>44174</v>
      </c>
      <c r="M815" s="19">
        <v>44224</v>
      </c>
      <c r="N815" s="27" t="s">
        <v>557</v>
      </c>
    </row>
    <row r="816" spans="1:14" x14ac:dyDescent="0.25">
      <c r="A816" s="38" t="str">
        <f>HYPERLINK("http://reports.ofsted.gov.uk/inspection-reports/find-inspection-report/provider/CARE/2483881","Ofsted Social Care Provider Webpage")</f>
        <v>Ofsted Social Care Provider Webpage</v>
      </c>
      <c r="B816" s="3">
        <v>2483881</v>
      </c>
      <c r="C816" t="s">
        <v>34</v>
      </c>
      <c r="D816" s="19">
        <v>43335</v>
      </c>
      <c r="E816" t="s">
        <v>154</v>
      </c>
      <c r="F816" t="s">
        <v>155</v>
      </c>
      <c r="G816" t="s">
        <v>39</v>
      </c>
      <c r="H816" t="s">
        <v>39</v>
      </c>
      <c r="I816" t="s">
        <v>662</v>
      </c>
      <c r="J816" t="s">
        <v>819</v>
      </c>
      <c r="K816" t="s">
        <v>157</v>
      </c>
      <c r="L816" s="19">
        <v>44174</v>
      </c>
      <c r="M816" s="19">
        <v>44221</v>
      </c>
      <c r="N816" s="27" t="s">
        <v>557</v>
      </c>
    </row>
    <row r="817" spans="1:14" x14ac:dyDescent="0.25">
      <c r="A817" s="38" t="str">
        <f>HYPERLINK("http://reports.ofsted.gov.uk/inspection-reports/find-inspection-report/provider/CARE/1276216","Ofsted Social Care Provider Webpage")</f>
        <v>Ofsted Social Care Provider Webpage</v>
      </c>
      <c r="B817" s="3">
        <v>1276216</v>
      </c>
      <c r="C817" t="s">
        <v>34</v>
      </c>
      <c r="D817" s="19">
        <v>43304</v>
      </c>
      <c r="E817" t="s">
        <v>154</v>
      </c>
      <c r="F817" t="s">
        <v>155</v>
      </c>
      <c r="G817" t="s">
        <v>128</v>
      </c>
      <c r="H817" t="s">
        <v>128</v>
      </c>
      <c r="I817" t="s">
        <v>134</v>
      </c>
      <c r="J817" t="s">
        <v>228</v>
      </c>
      <c r="K817" t="s">
        <v>157</v>
      </c>
      <c r="L817" s="19">
        <v>44174</v>
      </c>
      <c r="M817" s="19">
        <v>44216</v>
      </c>
      <c r="N817" s="27" t="s">
        <v>557</v>
      </c>
    </row>
    <row r="818" spans="1:14" x14ac:dyDescent="0.25">
      <c r="A818" s="38" t="str">
        <f>HYPERLINK("http://reports.ofsted.gov.uk/inspection-reports/find-inspection-report/provider/CARE/SC488943","Ofsted Social Care Provider Webpage")</f>
        <v>Ofsted Social Care Provider Webpage</v>
      </c>
      <c r="B818" s="3" t="s">
        <v>928</v>
      </c>
      <c r="C818" t="s">
        <v>34</v>
      </c>
      <c r="D818" s="19">
        <v>42207</v>
      </c>
      <c r="E818" t="s">
        <v>154</v>
      </c>
      <c r="F818" t="s">
        <v>155</v>
      </c>
      <c r="G818" t="s">
        <v>128</v>
      </c>
      <c r="H818" t="s">
        <v>128</v>
      </c>
      <c r="I818" t="s">
        <v>134</v>
      </c>
      <c r="J818" t="s">
        <v>228</v>
      </c>
      <c r="K818" t="s">
        <v>157</v>
      </c>
      <c r="L818" s="19">
        <v>44174</v>
      </c>
      <c r="M818" s="19">
        <v>44218</v>
      </c>
      <c r="N818" s="27" t="s">
        <v>557</v>
      </c>
    </row>
    <row r="819" spans="1:14" x14ac:dyDescent="0.25">
      <c r="A819" s="38" t="str">
        <f>HYPERLINK("http://reports.ofsted.gov.uk/inspection-reports/find-inspection-report/provider/CARE/1277453","Ofsted Social Care Provider Webpage")</f>
        <v>Ofsted Social Care Provider Webpage</v>
      </c>
      <c r="B819" s="3">
        <v>1277453</v>
      </c>
      <c r="C819" t="s">
        <v>34</v>
      </c>
      <c r="D819" s="19">
        <v>43293</v>
      </c>
      <c r="E819" t="s">
        <v>154</v>
      </c>
      <c r="F819" t="s">
        <v>155</v>
      </c>
      <c r="G819" t="s">
        <v>105</v>
      </c>
      <c r="H819" t="s">
        <v>105</v>
      </c>
      <c r="I819" t="s">
        <v>106</v>
      </c>
      <c r="J819" t="s">
        <v>793</v>
      </c>
      <c r="K819" t="s">
        <v>172</v>
      </c>
      <c r="L819" s="19">
        <v>44174</v>
      </c>
      <c r="M819" s="19">
        <v>44232</v>
      </c>
      <c r="N819" s="27" t="s">
        <v>557</v>
      </c>
    </row>
    <row r="820" spans="1:14" x14ac:dyDescent="0.25">
      <c r="A820" s="38" t="str">
        <f>HYPERLINK("http://reports.ofsted.gov.uk/inspection-reports/find-inspection-report/provider/CARE/2585541","Ofsted Social Care Provider Webpage")</f>
        <v>Ofsted Social Care Provider Webpage</v>
      </c>
      <c r="B820" s="3">
        <v>2585541</v>
      </c>
      <c r="C820" t="s">
        <v>34</v>
      </c>
      <c r="D820" s="19">
        <v>43999</v>
      </c>
      <c r="E820" t="s">
        <v>154</v>
      </c>
      <c r="F820" t="s">
        <v>155</v>
      </c>
      <c r="G820" t="s">
        <v>87</v>
      </c>
      <c r="H820" t="s">
        <v>87</v>
      </c>
      <c r="I820" t="s">
        <v>563</v>
      </c>
      <c r="J820" t="s">
        <v>563</v>
      </c>
      <c r="K820" t="s">
        <v>157</v>
      </c>
      <c r="L820" s="19">
        <v>44174</v>
      </c>
      <c r="M820" s="19">
        <v>44222</v>
      </c>
      <c r="N820" s="27" t="s">
        <v>557</v>
      </c>
    </row>
    <row r="821" spans="1:14" x14ac:dyDescent="0.25">
      <c r="A821" s="38" t="str">
        <f>HYPERLINK("http://reports.ofsted.gov.uk/inspection-reports/find-inspection-report/provider/CARE/SC436818","Ofsted Social Care Provider Webpage")</f>
        <v>Ofsted Social Care Provider Webpage</v>
      </c>
      <c r="B821" s="3" t="s">
        <v>929</v>
      </c>
      <c r="C821" t="s">
        <v>34</v>
      </c>
      <c r="D821" s="19">
        <v>40959</v>
      </c>
      <c r="E821" t="s">
        <v>154</v>
      </c>
      <c r="F821" t="s">
        <v>155</v>
      </c>
      <c r="G821" t="s">
        <v>39</v>
      </c>
      <c r="H821" t="s">
        <v>39</v>
      </c>
      <c r="I821" t="s">
        <v>45</v>
      </c>
      <c r="J821" t="s">
        <v>432</v>
      </c>
      <c r="K821" t="s">
        <v>157</v>
      </c>
      <c r="L821" s="19">
        <v>44174</v>
      </c>
      <c r="M821" s="19">
        <v>44218</v>
      </c>
      <c r="N821" s="27" t="s">
        <v>557</v>
      </c>
    </row>
    <row r="822" spans="1:14" x14ac:dyDescent="0.25">
      <c r="A822" s="38" t="str">
        <f>HYPERLINK("http://reports.ofsted.gov.uk/inspection-reports/find-inspection-report/provider/CARE/SC043039","Ofsted Social Care Provider Webpage")</f>
        <v>Ofsted Social Care Provider Webpage</v>
      </c>
      <c r="B822" s="3" t="s">
        <v>930</v>
      </c>
      <c r="C822" t="s">
        <v>33</v>
      </c>
      <c r="D822" s="19">
        <v>37666</v>
      </c>
      <c r="E822" t="s">
        <v>154</v>
      </c>
      <c r="F822" t="s">
        <v>931</v>
      </c>
      <c r="G822" t="s">
        <v>128</v>
      </c>
      <c r="H822" t="s">
        <v>128</v>
      </c>
      <c r="I822" t="s">
        <v>140</v>
      </c>
      <c r="J822" t="s">
        <v>520</v>
      </c>
      <c r="K822" t="s">
        <v>168</v>
      </c>
      <c r="L822" s="19">
        <v>44174</v>
      </c>
      <c r="M822" s="19">
        <v>44221</v>
      </c>
      <c r="N822" s="27" t="s">
        <v>557</v>
      </c>
    </row>
    <row r="823" spans="1:14" x14ac:dyDescent="0.25">
      <c r="A823" s="38" t="str">
        <f>HYPERLINK("http://reports.ofsted.gov.uk/inspection-reports/find-inspection-report/provider/CARE/SC065046","Ofsted Social Care Provider Webpage")</f>
        <v>Ofsted Social Care Provider Webpage</v>
      </c>
      <c r="B823" s="3" t="s">
        <v>932</v>
      </c>
      <c r="C823" t="s">
        <v>34</v>
      </c>
      <c r="D823" s="19">
        <v>38611</v>
      </c>
      <c r="E823" t="s">
        <v>154</v>
      </c>
      <c r="F823" t="s">
        <v>155</v>
      </c>
      <c r="G823" t="s">
        <v>114</v>
      </c>
      <c r="H823" t="s">
        <v>114</v>
      </c>
      <c r="I823" t="s">
        <v>115</v>
      </c>
      <c r="J823" t="s">
        <v>248</v>
      </c>
      <c r="K823" t="s">
        <v>157</v>
      </c>
      <c r="L823" s="19">
        <v>44174</v>
      </c>
      <c r="M823" s="19">
        <v>44216</v>
      </c>
      <c r="N823" s="27" t="s">
        <v>557</v>
      </c>
    </row>
    <row r="824" spans="1:14" x14ac:dyDescent="0.25">
      <c r="A824" s="38" t="str">
        <f>HYPERLINK("http://reports.ofsted.gov.uk/inspection-reports/find-inspection-report/provider/CARE/SC021684","Ofsted Social Care Provider Webpage")</f>
        <v>Ofsted Social Care Provider Webpage</v>
      </c>
      <c r="B824" s="3" t="s">
        <v>933</v>
      </c>
      <c r="C824" t="s">
        <v>34</v>
      </c>
      <c r="D824" s="19">
        <v>37229</v>
      </c>
      <c r="E824" t="s">
        <v>154</v>
      </c>
      <c r="F824" t="s">
        <v>155</v>
      </c>
      <c r="G824" t="s">
        <v>87</v>
      </c>
      <c r="H824" t="s">
        <v>87</v>
      </c>
      <c r="I824" t="s">
        <v>95</v>
      </c>
      <c r="J824" t="s">
        <v>450</v>
      </c>
      <c r="K824" t="s">
        <v>157</v>
      </c>
      <c r="L824" s="19">
        <v>44174</v>
      </c>
      <c r="M824" s="19">
        <v>44221</v>
      </c>
      <c r="N824" s="27" t="s">
        <v>557</v>
      </c>
    </row>
    <row r="825" spans="1:14" x14ac:dyDescent="0.25">
      <c r="A825" s="38" t="str">
        <f>HYPERLINK("http://reports.ofsted.gov.uk/inspection-reports/find-inspection-report/provider/CARE/1271234","Ofsted Social Care Provider Webpage")</f>
        <v>Ofsted Social Care Provider Webpage</v>
      </c>
      <c r="B825" s="3">
        <v>1271234</v>
      </c>
      <c r="C825" t="s">
        <v>34</v>
      </c>
      <c r="D825" s="19">
        <v>43196</v>
      </c>
      <c r="E825" t="s">
        <v>154</v>
      </c>
      <c r="F825" t="s">
        <v>155</v>
      </c>
      <c r="G825" t="s">
        <v>128</v>
      </c>
      <c r="H825" t="s">
        <v>128</v>
      </c>
      <c r="I825" t="s">
        <v>134</v>
      </c>
      <c r="J825" t="s">
        <v>934</v>
      </c>
      <c r="K825" t="s">
        <v>157</v>
      </c>
      <c r="L825" s="19">
        <v>44174</v>
      </c>
      <c r="M825" s="19">
        <v>44217</v>
      </c>
      <c r="N825" s="27" t="s">
        <v>557</v>
      </c>
    </row>
    <row r="826" spans="1:14" x14ac:dyDescent="0.25">
      <c r="A826" s="38" t="str">
        <f>HYPERLINK("http://reports.ofsted.gov.uk/inspection-reports/find-inspection-report/provider/CARE/2506232","Ofsted Social Care Provider Webpage")</f>
        <v>Ofsted Social Care Provider Webpage</v>
      </c>
      <c r="B826" s="3">
        <v>2506232</v>
      </c>
      <c r="C826" t="s">
        <v>34</v>
      </c>
      <c r="D826" s="19">
        <v>43509</v>
      </c>
      <c r="E826" t="s">
        <v>154</v>
      </c>
      <c r="F826" t="s">
        <v>155</v>
      </c>
      <c r="G826" t="s">
        <v>105</v>
      </c>
      <c r="H826" t="s">
        <v>105</v>
      </c>
      <c r="I826" t="s">
        <v>108</v>
      </c>
      <c r="J826" t="s">
        <v>278</v>
      </c>
      <c r="K826" t="s">
        <v>157</v>
      </c>
      <c r="L826" s="19">
        <v>44174</v>
      </c>
      <c r="M826" s="19">
        <v>44222</v>
      </c>
      <c r="N826" s="27" t="s">
        <v>557</v>
      </c>
    </row>
    <row r="827" spans="1:14" x14ac:dyDescent="0.25">
      <c r="A827" s="38" t="str">
        <f>HYPERLINK("http://reports.ofsted.gov.uk/inspection-reports/find-inspection-report/provider/CARE/SC470290","Ofsted Social Care Provider Webpage")</f>
        <v>Ofsted Social Care Provider Webpage</v>
      </c>
      <c r="B827" s="3" t="s">
        <v>935</v>
      </c>
      <c r="C827" t="s">
        <v>34</v>
      </c>
      <c r="D827" s="19">
        <v>41662</v>
      </c>
      <c r="E827" t="s">
        <v>154</v>
      </c>
      <c r="F827" t="s">
        <v>155</v>
      </c>
      <c r="G827" t="s">
        <v>114</v>
      </c>
      <c r="H827" t="s">
        <v>114</v>
      </c>
      <c r="I827" t="s">
        <v>123</v>
      </c>
      <c r="J827" t="s">
        <v>319</v>
      </c>
      <c r="K827" t="s">
        <v>157</v>
      </c>
      <c r="L827" s="19">
        <v>44174</v>
      </c>
      <c r="M827" s="19">
        <v>44218</v>
      </c>
      <c r="N827" s="27" t="s">
        <v>557</v>
      </c>
    </row>
    <row r="828" spans="1:14" x14ac:dyDescent="0.25">
      <c r="A828" s="38" t="str">
        <f>HYPERLINK("http://reports.ofsted.gov.uk/inspection-reports/find-inspection-report/provider/CARE/SC059037","Ofsted Social Care Provider Webpage")</f>
        <v>Ofsted Social Care Provider Webpage</v>
      </c>
      <c r="B828" s="3" t="s">
        <v>936</v>
      </c>
      <c r="C828" t="s">
        <v>34</v>
      </c>
      <c r="D828" s="19">
        <v>38054</v>
      </c>
      <c r="E828" t="s">
        <v>154</v>
      </c>
      <c r="F828" t="s">
        <v>155</v>
      </c>
      <c r="G828" t="s">
        <v>105</v>
      </c>
      <c r="H828" t="s">
        <v>105</v>
      </c>
      <c r="I828" t="s">
        <v>109</v>
      </c>
      <c r="J828" t="s">
        <v>606</v>
      </c>
      <c r="K828" t="s">
        <v>157</v>
      </c>
      <c r="L828" s="19">
        <v>44175</v>
      </c>
      <c r="M828" s="19">
        <v>44221</v>
      </c>
      <c r="N828" s="27" t="s">
        <v>557</v>
      </c>
    </row>
    <row r="829" spans="1:14" x14ac:dyDescent="0.25">
      <c r="A829" s="38" t="str">
        <f>HYPERLINK("http://reports.ofsted.gov.uk/inspection-reports/find-inspection-report/provider/CARE/1269421","Ofsted Social Care Provider Webpage")</f>
        <v>Ofsted Social Care Provider Webpage</v>
      </c>
      <c r="B829" s="3">
        <v>1269421</v>
      </c>
      <c r="C829" t="s">
        <v>34</v>
      </c>
      <c r="D829" s="19">
        <v>43123</v>
      </c>
      <c r="E829" t="s">
        <v>154</v>
      </c>
      <c r="F829" t="s">
        <v>155</v>
      </c>
      <c r="G829" t="s">
        <v>39</v>
      </c>
      <c r="H829" t="s">
        <v>39</v>
      </c>
      <c r="I829" t="s">
        <v>41</v>
      </c>
      <c r="J829" t="s">
        <v>937</v>
      </c>
      <c r="K829" t="s">
        <v>157</v>
      </c>
      <c r="L829" s="19">
        <v>44175</v>
      </c>
      <c r="M829" s="19">
        <v>44210</v>
      </c>
      <c r="N829" s="27" t="s">
        <v>557</v>
      </c>
    </row>
    <row r="830" spans="1:14" x14ac:dyDescent="0.25">
      <c r="A830" s="38" t="str">
        <f>HYPERLINK("http://reports.ofsted.gov.uk/inspection-reports/find-inspection-report/provider/CARE/2577014","Ofsted Social Care Provider Webpage")</f>
        <v>Ofsted Social Care Provider Webpage</v>
      </c>
      <c r="B830" s="3">
        <v>2577014</v>
      </c>
      <c r="C830" t="s">
        <v>34</v>
      </c>
      <c r="D830" s="19">
        <v>44055</v>
      </c>
      <c r="E830" t="s">
        <v>154</v>
      </c>
      <c r="F830" t="s">
        <v>155</v>
      </c>
      <c r="G830" t="s">
        <v>64</v>
      </c>
      <c r="H830" t="s">
        <v>164</v>
      </c>
      <c r="I830" t="s">
        <v>82</v>
      </c>
      <c r="J830" t="s">
        <v>383</v>
      </c>
      <c r="K830" t="s">
        <v>157</v>
      </c>
      <c r="L830" s="19">
        <v>44175</v>
      </c>
      <c r="M830" s="19">
        <v>44217</v>
      </c>
      <c r="N830" s="27" t="s">
        <v>557</v>
      </c>
    </row>
    <row r="831" spans="1:14" x14ac:dyDescent="0.25">
      <c r="A831" s="38" t="str">
        <f>HYPERLINK("http://reports.ofsted.gov.uk/inspection-reports/find-inspection-report/provider/CARE/SC451174","Ofsted Social Care Provider Webpage")</f>
        <v>Ofsted Social Care Provider Webpage</v>
      </c>
      <c r="B831" s="3" t="s">
        <v>938</v>
      </c>
      <c r="C831" t="s">
        <v>34</v>
      </c>
      <c r="D831" s="19">
        <v>41239</v>
      </c>
      <c r="E831" t="s">
        <v>154</v>
      </c>
      <c r="F831" t="s">
        <v>155</v>
      </c>
      <c r="G831" t="s">
        <v>87</v>
      </c>
      <c r="H831" t="s">
        <v>87</v>
      </c>
      <c r="I831" t="s">
        <v>95</v>
      </c>
      <c r="J831" t="s">
        <v>939</v>
      </c>
      <c r="K831" t="s">
        <v>157</v>
      </c>
      <c r="L831" s="19">
        <v>44175</v>
      </c>
      <c r="M831" s="19">
        <v>44222</v>
      </c>
      <c r="N831" s="27" t="s">
        <v>557</v>
      </c>
    </row>
    <row r="832" spans="1:14" x14ac:dyDescent="0.25">
      <c r="A832" s="38" t="str">
        <f>HYPERLINK("http://reports.ofsted.gov.uk/inspection-reports/find-inspection-report/provider/CARE/SC466786","Ofsted Social Care Provider Webpage")</f>
        <v>Ofsted Social Care Provider Webpage</v>
      </c>
      <c r="B832" s="3" t="s">
        <v>940</v>
      </c>
      <c r="C832" t="s">
        <v>34</v>
      </c>
      <c r="D832" s="19">
        <v>41519</v>
      </c>
      <c r="E832" t="s">
        <v>154</v>
      </c>
      <c r="F832" t="s">
        <v>155</v>
      </c>
      <c r="G832" t="s">
        <v>48</v>
      </c>
      <c r="H832" t="s">
        <v>48</v>
      </c>
      <c r="I832" t="s">
        <v>54</v>
      </c>
      <c r="J832" t="s">
        <v>258</v>
      </c>
      <c r="K832" t="s">
        <v>157</v>
      </c>
      <c r="L832" s="19">
        <v>44175</v>
      </c>
      <c r="M832" s="19">
        <v>44214</v>
      </c>
      <c r="N832" s="27" t="s">
        <v>557</v>
      </c>
    </row>
    <row r="833" spans="1:14" x14ac:dyDescent="0.25">
      <c r="A833" s="38" t="str">
        <f>HYPERLINK("http://reports.ofsted.gov.uk/inspection-reports/find-inspection-report/provider/CARE/1256367","Ofsted Social Care Provider Webpage")</f>
        <v>Ofsted Social Care Provider Webpage</v>
      </c>
      <c r="B833" s="3">
        <v>1256367</v>
      </c>
      <c r="C833" t="s">
        <v>34</v>
      </c>
      <c r="D833" s="19">
        <v>42879</v>
      </c>
      <c r="E833" t="s">
        <v>154</v>
      </c>
      <c r="F833" t="s">
        <v>155</v>
      </c>
      <c r="G833" t="s">
        <v>39</v>
      </c>
      <c r="H833" t="s">
        <v>39</v>
      </c>
      <c r="I833" t="s">
        <v>44</v>
      </c>
      <c r="J833" t="s">
        <v>194</v>
      </c>
      <c r="K833" t="s">
        <v>157</v>
      </c>
      <c r="L833" s="19">
        <v>44175</v>
      </c>
      <c r="M833" s="19">
        <v>44221</v>
      </c>
      <c r="N833" s="27" t="s">
        <v>557</v>
      </c>
    </row>
    <row r="834" spans="1:14" x14ac:dyDescent="0.25">
      <c r="A834" s="38" t="str">
        <f>HYPERLINK("http://reports.ofsted.gov.uk/inspection-reports/find-inspection-report/provider/CARE/SC032439","Ofsted Social Care Provider Webpage")</f>
        <v>Ofsted Social Care Provider Webpage</v>
      </c>
      <c r="B834" s="3" t="s">
        <v>941</v>
      </c>
      <c r="C834" t="s">
        <v>34</v>
      </c>
      <c r="D834" s="19">
        <v>38036</v>
      </c>
      <c r="E834" t="s">
        <v>154</v>
      </c>
      <c r="F834" t="s">
        <v>155</v>
      </c>
      <c r="G834" t="s">
        <v>114</v>
      </c>
      <c r="H834" t="s">
        <v>114</v>
      </c>
      <c r="I834" t="s">
        <v>127</v>
      </c>
      <c r="J834" t="s">
        <v>477</v>
      </c>
      <c r="K834" t="s">
        <v>172</v>
      </c>
      <c r="L834" s="19">
        <v>44175</v>
      </c>
      <c r="M834" s="19">
        <v>44222</v>
      </c>
      <c r="N834" s="27" t="s">
        <v>557</v>
      </c>
    </row>
    <row r="835" spans="1:14" x14ac:dyDescent="0.25">
      <c r="A835" s="38" t="str">
        <f>HYPERLINK("http://reports.ofsted.gov.uk/inspection-reports/find-inspection-report/provider/CARE/SC457132","Ofsted Social Care Provider Webpage")</f>
        <v>Ofsted Social Care Provider Webpage</v>
      </c>
      <c r="B835" s="3" t="s">
        <v>942</v>
      </c>
      <c r="C835" t="s">
        <v>34</v>
      </c>
      <c r="D835" s="19">
        <v>41330</v>
      </c>
      <c r="E835" t="s">
        <v>154</v>
      </c>
      <c r="F835" t="s">
        <v>155</v>
      </c>
      <c r="G835" t="s">
        <v>114</v>
      </c>
      <c r="H835" t="s">
        <v>114</v>
      </c>
      <c r="I835" t="s">
        <v>118</v>
      </c>
      <c r="J835" t="s">
        <v>636</v>
      </c>
      <c r="K835" t="s">
        <v>157</v>
      </c>
      <c r="L835" s="19">
        <v>44175</v>
      </c>
      <c r="M835" s="19">
        <v>44221</v>
      </c>
      <c r="N835" s="27" t="s">
        <v>557</v>
      </c>
    </row>
    <row r="836" spans="1:14" x14ac:dyDescent="0.25">
      <c r="A836" s="38" t="str">
        <f>HYPERLINK("http://reports.ofsted.gov.uk/inspection-reports/find-inspection-report/provider/CARE/2515380","Ofsted Social Care Provider Webpage")</f>
        <v>Ofsted Social Care Provider Webpage</v>
      </c>
      <c r="B836" s="3">
        <v>2515380</v>
      </c>
      <c r="C836" t="s">
        <v>34</v>
      </c>
      <c r="D836" s="19">
        <v>43507</v>
      </c>
      <c r="E836" t="s">
        <v>154</v>
      </c>
      <c r="F836" t="s">
        <v>155</v>
      </c>
      <c r="G836" t="s">
        <v>39</v>
      </c>
      <c r="H836" t="s">
        <v>39</v>
      </c>
      <c r="I836" t="s">
        <v>44</v>
      </c>
      <c r="J836" t="s">
        <v>943</v>
      </c>
      <c r="K836" t="s">
        <v>157</v>
      </c>
      <c r="L836" s="19">
        <v>44175</v>
      </c>
      <c r="M836" s="19">
        <v>44225</v>
      </c>
      <c r="N836" s="27" t="s">
        <v>559</v>
      </c>
    </row>
    <row r="837" spans="1:14" x14ac:dyDescent="0.25">
      <c r="A837" s="38" t="str">
        <f>HYPERLINK("http://reports.ofsted.gov.uk/inspection-reports/find-inspection-report/provider/CARE/SC446003","Ofsted Social Care Provider Webpage")</f>
        <v>Ofsted Social Care Provider Webpage</v>
      </c>
      <c r="B837" s="3" t="s">
        <v>944</v>
      </c>
      <c r="C837" t="s">
        <v>34</v>
      </c>
      <c r="D837" s="19">
        <v>41187</v>
      </c>
      <c r="E837" t="s">
        <v>154</v>
      </c>
      <c r="F837" t="s">
        <v>155</v>
      </c>
      <c r="G837" t="s">
        <v>87</v>
      </c>
      <c r="H837" t="s">
        <v>87</v>
      </c>
      <c r="I837" t="s">
        <v>92</v>
      </c>
      <c r="J837" t="s">
        <v>254</v>
      </c>
      <c r="K837" t="s">
        <v>168</v>
      </c>
      <c r="L837" s="19">
        <v>44175</v>
      </c>
      <c r="M837" s="19">
        <v>44223</v>
      </c>
      <c r="N837" s="27" t="s">
        <v>557</v>
      </c>
    </row>
    <row r="838" spans="1:14" x14ac:dyDescent="0.25">
      <c r="A838" s="38" t="str">
        <f>HYPERLINK("http://reports.ofsted.gov.uk/inspection-reports/find-inspection-report/provider/CARE/SC381667","Ofsted Social Care Provider Webpage")</f>
        <v>Ofsted Social Care Provider Webpage</v>
      </c>
      <c r="B838" s="3" t="s">
        <v>947</v>
      </c>
      <c r="C838" t="s">
        <v>34</v>
      </c>
      <c r="D838" s="19">
        <v>39721</v>
      </c>
      <c r="E838" t="s">
        <v>154</v>
      </c>
      <c r="F838" t="s">
        <v>155</v>
      </c>
      <c r="G838" t="s">
        <v>87</v>
      </c>
      <c r="H838" t="s">
        <v>87</v>
      </c>
      <c r="I838" t="s">
        <v>94</v>
      </c>
      <c r="J838" t="s">
        <v>948</v>
      </c>
      <c r="K838" t="s">
        <v>157</v>
      </c>
      <c r="L838" s="19">
        <v>44176</v>
      </c>
      <c r="M838" s="19">
        <v>44229</v>
      </c>
      <c r="N838" s="27" t="s">
        <v>557</v>
      </c>
    </row>
    <row r="839" spans="1:14" x14ac:dyDescent="0.25">
      <c r="A839" s="38" t="str">
        <f>HYPERLINK("http://reports.ofsted.gov.uk/inspection-reports/find-inspection-report/provider/CARE/2496864","Ofsted Social Care Provider Webpage")</f>
        <v>Ofsted Social Care Provider Webpage</v>
      </c>
      <c r="B839" s="3">
        <v>2496864</v>
      </c>
      <c r="C839" t="s">
        <v>34</v>
      </c>
      <c r="D839" s="19">
        <v>43349</v>
      </c>
      <c r="E839" t="s">
        <v>154</v>
      </c>
      <c r="F839" t="s">
        <v>155</v>
      </c>
      <c r="G839" t="s">
        <v>64</v>
      </c>
      <c r="H839" t="s">
        <v>213</v>
      </c>
      <c r="I839" t="s">
        <v>80</v>
      </c>
      <c r="J839" t="s">
        <v>987</v>
      </c>
      <c r="K839" t="s">
        <v>157</v>
      </c>
      <c r="L839" s="19">
        <v>44179</v>
      </c>
      <c r="M839" s="19">
        <v>44222</v>
      </c>
      <c r="N839" s="27" t="s">
        <v>557</v>
      </c>
    </row>
    <row r="840" spans="1:14" x14ac:dyDescent="0.25">
      <c r="A840" s="38" t="str">
        <f>HYPERLINK("http://reports.ofsted.gov.uk/inspection-reports/find-inspection-report/provider/CARE/1027158","Ofsted Social Care Provider Webpage")</f>
        <v>Ofsted Social Care Provider Webpage</v>
      </c>
      <c r="B840" s="3">
        <v>1027158</v>
      </c>
      <c r="C840" t="s">
        <v>34</v>
      </c>
      <c r="D840" s="19">
        <v>42251</v>
      </c>
      <c r="E840" t="s">
        <v>154</v>
      </c>
      <c r="F840" t="s">
        <v>155</v>
      </c>
      <c r="G840" t="s">
        <v>48</v>
      </c>
      <c r="H840" t="s">
        <v>48</v>
      </c>
      <c r="I840" t="s">
        <v>53</v>
      </c>
      <c r="J840" t="s">
        <v>178</v>
      </c>
      <c r="K840" t="s">
        <v>157</v>
      </c>
      <c r="L840" s="19">
        <v>44179</v>
      </c>
      <c r="M840" s="19">
        <v>44221</v>
      </c>
      <c r="N840" s="27" t="s">
        <v>557</v>
      </c>
    </row>
    <row r="841" spans="1:14" x14ac:dyDescent="0.25">
      <c r="A841" s="38" t="str">
        <f>HYPERLINK("http://reports.ofsted.gov.uk/inspection-reports/find-inspection-report/provider/CARE/2579887","Ofsted Social Care Provider Webpage")</f>
        <v>Ofsted Social Care Provider Webpage</v>
      </c>
      <c r="B841" s="3">
        <v>2579887</v>
      </c>
      <c r="C841" t="s">
        <v>34</v>
      </c>
      <c r="D841" s="19">
        <v>44000</v>
      </c>
      <c r="E841" t="s">
        <v>154</v>
      </c>
      <c r="F841" t="s">
        <v>155</v>
      </c>
      <c r="G841" t="s">
        <v>114</v>
      </c>
      <c r="H841" t="s">
        <v>114</v>
      </c>
      <c r="I841" t="s">
        <v>119</v>
      </c>
      <c r="J841" t="s">
        <v>988</v>
      </c>
      <c r="K841" t="s">
        <v>157</v>
      </c>
      <c r="L841" s="19">
        <v>44179</v>
      </c>
      <c r="M841" s="19">
        <v>44217</v>
      </c>
      <c r="N841" s="27" t="s">
        <v>559</v>
      </c>
    </row>
    <row r="842" spans="1:14" x14ac:dyDescent="0.25">
      <c r="A842" s="38" t="str">
        <f>HYPERLINK("http://reports.ofsted.gov.uk/inspection-reports/find-inspection-report/provider/CARE/2571759","Ofsted Social Care Provider Webpage")</f>
        <v>Ofsted Social Care Provider Webpage</v>
      </c>
      <c r="B842" s="3">
        <v>2571759</v>
      </c>
      <c r="C842" t="s">
        <v>34</v>
      </c>
      <c r="D842" s="19">
        <v>43872</v>
      </c>
      <c r="E842" t="s">
        <v>154</v>
      </c>
      <c r="F842" t="s">
        <v>155</v>
      </c>
      <c r="G842" t="s">
        <v>64</v>
      </c>
      <c r="H842" t="s">
        <v>164</v>
      </c>
      <c r="I842" t="s">
        <v>73</v>
      </c>
      <c r="J842" t="s">
        <v>989</v>
      </c>
      <c r="K842" t="s">
        <v>157</v>
      </c>
      <c r="L842" s="19">
        <v>44179</v>
      </c>
      <c r="M842" s="19">
        <v>44221</v>
      </c>
      <c r="N842" s="27" t="s">
        <v>557</v>
      </c>
    </row>
    <row r="843" spans="1:14" x14ac:dyDescent="0.25">
      <c r="A843" s="38" t="str">
        <f>HYPERLINK("http://reports.ofsted.gov.uk/inspection-reports/find-inspection-report/provider/CARE/SC426172","Ofsted Social Care Provider Webpage")</f>
        <v>Ofsted Social Care Provider Webpage</v>
      </c>
      <c r="B843" s="3" t="s">
        <v>990</v>
      </c>
      <c r="C843" t="s">
        <v>34</v>
      </c>
      <c r="D843" s="19">
        <v>40639</v>
      </c>
      <c r="E843" t="s">
        <v>154</v>
      </c>
      <c r="F843" t="s">
        <v>155</v>
      </c>
      <c r="G843" t="s">
        <v>48</v>
      </c>
      <c r="H843" t="s">
        <v>48</v>
      </c>
      <c r="I843" t="s">
        <v>52</v>
      </c>
      <c r="J843" t="s">
        <v>538</v>
      </c>
      <c r="K843" t="s">
        <v>168</v>
      </c>
      <c r="L843" s="19">
        <v>44179</v>
      </c>
      <c r="M843" s="19">
        <v>44221</v>
      </c>
      <c r="N843" s="27" t="s">
        <v>557</v>
      </c>
    </row>
    <row r="844" spans="1:14" x14ac:dyDescent="0.25">
      <c r="A844" s="38" t="str">
        <f>HYPERLINK("http://reports.ofsted.gov.uk/inspection-reports/find-inspection-report/provider/CARE/SC381522","Ofsted Social Care Provider Webpage")</f>
        <v>Ofsted Social Care Provider Webpage</v>
      </c>
      <c r="B844" s="3" t="s">
        <v>991</v>
      </c>
      <c r="C844" t="s">
        <v>34</v>
      </c>
      <c r="D844" s="19">
        <v>39727</v>
      </c>
      <c r="E844" t="s">
        <v>154</v>
      </c>
      <c r="F844" t="s">
        <v>155</v>
      </c>
      <c r="G844" t="s">
        <v>39</v>
      </c>
      <c r="H844" t="s">
        <v>39</v>
      </c>
      <c r="I844" t="s">
        <v>46</v>
      </c>
      <c r="J844" t="s">
        <v>992</v>
      </c>
      <c r="K844" t="s">
        <v>157</v>
      </c>
      <c r="L844" s="19">
        <v>44179</v>
      </c>
      <c r="M844" s="19">
        <v>44218</v>
      </c>
      <c r="N844" s="27" t="s">
        <v>557</v>
      </c>
    </row>
    <row r="845" spans="1:14" x14ac:dyDescent="0.25">
      <c r="A845" s="38" t="str">
        <f>HYPERLINK("http://reports.ofsted.gov.uk/inspection-reports/find-inspection-report/provider/CARE/SC476008","Ofsted Social Care Provider Webpage")</f>
        <v>Ofsted Social Care Provider Webpage</v>
      </c>
      <c r="B845" s="3" t="s">
        <v>993</v>
      </c>
      <c r="C845" t="s">
        <v>34</v>
      </c>
      <c r="D845" s="19">
        <v>41698</v>
      </c>
      <c r="E845" t="s">
        <v>154</v>
      </c>
      <c r="F845" t="s">
        <v>155</v>
      </c>
      <c r="G845" t="s">
        <v>87</v>
      </c>
      <c r="H845" t="s">
        <v>87</v>
      </c>
      <c r="I845" t="s">
        <v>90</v>
      </c>
      <c r="J845" t="s">
        <v>994</v>
      </c>
      <c r="K845" t="s">
        <v>157</v>
      </c>
      <c r="L845" s="19">
        <v>44179</v>
      </c>
      <c r="M845" s="19">
        <v>44225</v>
      </c>
      <c r="N845" s="27" t="s">
        <v>557</v>
      </c>
    </row>
    <row r="846" spans="1:14" x14ac:dyDescent="0.25">
      <c r="A846" s="38" t="str">
        <f>HYPERLINK("http://reports.ofsted.gov.uk/inspection-reports/find-inspection-report/provider/CARE/1270002","Ofsted Social Care Provider Webpage")</f>
        <v>Ofsted Social Care Provider Webpage</v>
      </c>
      <c r="B846" s="3">
        <v>1270002</v>
      </c>
      <c r="C846" t="s">
        <v>34</v>
      </c>
      <c r="D846" s="19">
        <v>43242</v>
      </c>
      <c r="E846" t="s">
        <v>154</v>
      </c>
      <c r="F846" t="s">
        <v>155</v>
      </c>
      <c r="G846" t="s">
        <v>87</v>
      </c>
      <c r="H846" t="s">
        <v>87</v>
      </c>
      <c r="I846" t="s">
        <v>94</v>
      </c>
      <c r="J846" t="s">
        <v>995</v>
      </c>
      <c r="K846" t="s">
        <v>157</v>
      </c>
      <c r="L846" s="19">
        <v>44179</v>
      </c>
      <c r="M846" s="19">
        <v>44222</v>
      </c>
      <c r="N846" s="27" t="s">
        <v>557</v>
      </c>
    </row>
    <row r="847" spans="1:14" x14ac:dyDescent="0.25">
      <c r="A847" s="38" t="str">
        <f>HYPERLINK("http://reports.ofsted.gov.uk/inspection-reports/find-inspection-report/provider/CARE/2521953","Ofsted Social Care Provider Webpage")</f>
        <v>Ofsted Social Care Provider Webpage</v>
      </c>
      <c r="B847" s="3">
        <v>2521953</v>
      </c>
      <c r="C847" t="s">
        <v>34</v>
      </c>
      <c r="D847" s="19">
        <v>43739</v>
      </c>
      <c r="E847" t="s">
        <v>154</v>
      </c>
      <c r="F847" t="s">
        <v>155</v>
      </c>
      <c r="G847" t="s">
        <v>87</v>
      </c>
      <c r="H847" t="s">
        <v>87</v>
      </c>
      <c r="I847" t="s">
        <v>93</v>
      </c>
      <c r="J847" t="s">
        <v>996</v>
      </c>
      <c r="K847" t="s">
        <v>157</v>
      </c>
      <c r="L847" s="19">
        <v>44179</v>
      </c>
      <c r="M847" s="19">
        <v>44225</v>
      </c>
      <c r="N847" s="27" t="s">
        <v>557</v>
      </c>
    </row>
    <row r="848" spans="1:14" x14ac:dyDescent="0.25">
      <c r="A848" s="38" t="str">
        <f>HYPERLINK("http://reports.ofsted.gov.uk/inspection-reports/find-inspection-report/provider/CARE/2548794","Ofsted Social Care Provider Webpage")</f>
        <v>Ofsted Social Care Provider Webpage</v>
      </c>
      <c r="B848" s="3">
        <v>2548794</v>
      </c>
      <c r="C848" t="s">
        <v>34</v>
      </c>
      <c r="D848" s="19">
        <v>44014</v>
      </c>
      <c r="E848" t="s">
        <v>154</v>
      </c>
      <c r="F848" t="s">
        <v>155</v>
      </c>
      <c r="G848" t="s">
        <v>57</v>
      </c>
      <c r="H848" t="s">
        <v>57</v>
      </c>
      <c r="I848" t="s">
        <v>666</v>
      </c>
      <c r="J848" t="s">
        <v>1004</v>
      </c>
      <c r="K848" t="s">
        <v>157</v>
      </c>
      <c r="L848" s="19">
        <v>44180</v>
      </c>
      <c r="M848" s="19">
        <v>44223</v>
      </c>
      <c r="N848" s="27" t="s">
        <v>559</v>
      </c>
    </row>
    <row r="849" spans="1:14" x14ac:dyDescent="0.25">
      <c r="A849" s="38" t="str">
        <f>HYPERLINK("http://reports.ofsted.gov.uk/inspection-reports/find-inspection-report/provider/CARE/1249196","Ofsted Social Care Provider Webpage")</f>
        <v>Ofsted Social Care Provider Webpage</v>
      </c>
      <c r="B849" s="3">
        <v>1249196</v>
      </c>
      <c r="C849" t="s">
        <v>34</v>
      </c>
      <c r="D849" s="19">
        <v>42758</v>
      </c>
      <c r="E849" t="s">
        <v>154</v>
      </c>
      <c r="F849" t="s">
        <v>155</v>
      </c>
      <c r="G849" t="s">
        <v>114</v>
      </c>
      <c r="H849" t="s">
        <v>114</v>
      </c>
      <c r="I849" t="s">
        <v>123</v>
      </c>
      <c r="J849" t="s">
        <v>319</v>
      </c>
      <c r="K849" t="s">
        <v>157</v>
      </c>
      <c r="L849" s="19">
        <v>44180</v>
      </c>
      <c r="M849" s="19">
        <v>44221</v>
      </c>
      <c r="N849" s="27" t="s">
        <v>557</v>
      </c>
    </row>
    <row r="850" spans="1:14" x14ac:dyDescent="0.25">
      <c r="A850" s="38" t="str">
        <f>HYPERLINK("http://reports.ofsted.gov.uk/inspection-reports/find-inspection-report/provider/CARE/SC069293","Ofsted Social Care Provider Webpage")</f>
        <v>Ofsted Social Care Provider Webpage</v>
      </c>
      <c r="B850" s="3" t="s">
        <v>1005</v>
      </c>
      <c r="C850" t="s">
        <v>34</v>
      </c>
      <c r="D850" s="19">
        <v>39122</v>
      </c>
      <c r="E850" t="s">
        <v>154</v>
      </c>
      <c r="F850" t="s">
        <v>155</v>
      </c>
      <c r="G850" t="s">
        <v>64</v>
      </c>
      <c r="H850" t="s">
        <v>164</v>
      </c>
      <c r="I850" t="s">
        <v>67</v>
      </c>
      <c r="J850" t="s">
        <v>306</v>
      </c>
      <c r="K850" t="s">
        <v>157</v>
      </c>
      <c r="L850" s="19">
        <v>44180</v>
      </c>
      <c r="M850" s="19">
        <v>44222</v>
      </c>
      <c r="N850" s="27" t="s">
        <v>557</v>
      </c>
    </row>
    <row r="851" spans="1:14" x14ac:dyDescent="0.25">
      <c r="A851" s="38" t="str">
        <f>HYPERLINK("http://reports.ofsted.gov.uk/inspection-reports/find-inspection-report/provider/CARE/1164089","Ofsted Social Care Provider Webpage")</f>
        <v>Ofsted Social Care Provider Webpage</v>
      </c>
      <c r="B851" s="3">
        <v>1164089</v>
      </c>
      <c r="C851" t="s">
        <v>34</v>
      </c>
      <c r="D851" s="19">
        <v>42232</v>
      </c>
      <c r="E851" t="s">
        <v>154</v>
      </c>
      <c r="F851" t="s">
        <v>155</v>
      </c>
      <c r="G851" t="s">
        <v>48</v>
      </c>
      <c r="H851" t="s">
        <v>48</v>
      </c>
      <c r="I851" t="s">
        <v>52</v>
      </c>
      <c r="J851" t="s">
        <v>1006</v>
      </c>
      <c r="K851" t="s">
        <v>157</v>
      </c>
      <c r="L851" s="19">
        <v>44180</v>
      </c>
      <c r="M851" s="19">
        <v>44221</v>
      </c>
      <c r="N851" s="27" t="s">
        <v>557</v>
      </c>
    </row>
    <row r="852" spans="1:14" x14ac:dyDescent="0.25">
      <c r="A852" s="38" t="str">
        <f>HYPERLINK("http://reports.ofsted.gov.uk/inspection-reports/find-inspection-report/provider/CARE/SC413985","Ofsted Social Care Provider Webpage")</f>
        <v>Ofsted Social Care Provider Webpage</v>
      </c>
      <c r="B852" s="3" t="s">
        <v>1007</v>
      </c>
      <c r="C852" t="s">
        <v>34</v>
      </c>
      <c r="D852" s="19">
        <v>40451</v>
      </c>
      <c r="E852" t="s">
        <v>154</v>
      </c>
      <c r="F852" t="s">
        <v>155</v>
      </c>
      <c r="G852" t="s">
        <v>87</v>
      </c>
      <c r="H852" t="s">
        <v>87</v>
      </c>
      <c r="I852" t="s">
        <v>98</v>
      </c>
      <c r="J852" t="s">
        <v>209</v>
      </c>
      <c r="K852" t="s">
        <v>168</v>
      </c>
      <c r="L852" s="19">
        <v>44180</v>
      </c>
      <c r="M852" s="19">
        <v>44224</v>
      </c>
      <c r="N852" s="27" t="s">
        <v>557</v>
      </c>
    </row>
    <row r="853" spans="1:14" x14ac:dyDescent="0.25">
      <c r="A853" s="38" t="str">
        <f>HYPERLINK("http://reports.ofsted.gov.uk/inspection-reports/find-inspection-report/provider/CARE/2602980","Ofsted Social Care Provider Webpage")</f>
        <v>Ofsted Social Care Provider Webpage</v>
      </c>
      <c r="B853" s="3">
        <v>2602980</v>
      </c>
      <c r="C853" t="s">
        <v>34</v>
      </c>
      <c r="D853" s="19">
        <v>44077</v>
      </c>
      <c r="E853" t="s">
        <v>154</v>
      </c>
      <c r="F853" t="s">
        <v>155</v>
      </c>
      <c r="G853" t="s">
        <v>48</v>
      </c>
      <c r="H853" t="s">
        <v>48</v>
      </c>
      <c r="I853" t="s">
        <v>49</v>
      </c>
      <c r="J853" t="s">
        <v>1008</v>
      </c>
      <c r="K853" t="s">
        <v>172</v>
      </c>
      <c r="L853" s="19">
        <v>44180</v>
      </c>
      <c r="M853" s="19">
        <v>44221</v>
      </c>
      <c r="N853" s="27" t="s">
        <v>557</v>
      </c>
    </row>
    <row r="854" spans="1:14" x14ac:dyDescent="0.25">
      <c r="A854" s="38" t="str">
        <f>HYPERLINK("http://reports.ofsted.gov.uk/inspection-reports/find-inspection-report/provider/CARE/SC411825","Ofsted Social Care Provider Webpage")</f>
        <v>Ofsted Social Care Provider Webpage</v>
      </c>
      <c r="B854" s="3" t="s">
        <v>1009</v>
      </c>
      <c r="C854" t="s">
        <v>34</v>
      </c>
      <c r="D854" s="19">
        <v>40346</v>
      </c>
      <c r="E854" t="s">
        <v>154</v>
      </c>
      <c r="F854" t="s">
        <v>155</v>
      </c>
      <c r="G854" t="s">
        <v>87</v>
      </c>
      <c r="H854" t="s">
        <v>87</v>
      </c>
      <c r="I854" t="s">
        <v>103</v>
      </c>
      <c r="J854" t="s">
        <v>648</v>
      </c>
      <c r="K854" t="s">
        <v>157</v>
      </c>
      <c r="L854" s="19">
        <v>44180</v>
      </c>
      <c r="M854" s="19">
        <v>44224</v>
      </c>
      <c r="N854" s="27" t="s">
        <v>557</v>
      </c>
    </row>
    <row r="855" spans="1:14" x14ac:dyDescent="0.25">
      <c r="A855" s="38" t="str">
        <f>HYPERLINK("http://reports.ofsted.gov.uk/inspection-reports/find-inspection-report/provider/CARE/2555505","Ofsted Social Care Provider Webpage")</f>
        <v>Ofsted Social Care Provider Webpage</v>
      </c>
      <c r="B855" s="3">
        <v>2555505</v>
      </c>
      <c r="C855" t="s">
        <v>34</v>
      </c>
      <c r="D855" s="19">
        <v>43922</v>
      </c>
      <c r="E855" t="s">
        <v>154</v>
      </c>
      <c r="F855" t="s">
        <v>155</v>
      </c>
      <c r="G855" t="s">
        <v>39</v>
      </c>
      <c r="H855" t="s">
        <v>39</v>
      </c>
      <c r="I855" t="s">
        <v>43</v>
      </c>
      <c r="J855" t="s">
        <v>1010</v>
      </c>
      <c r="K855" t="s">
        <v>157</v>
      </c>
      <c r="L855" s="19">
        <v>44180</v>
      </c>
      <c r="M855" s="19">
        <v>44221</v>
      </c>
      <c r="N855" s="27" t="s">
        <v>559</v>
      </c>
    </row>
    <row r="856" spans="1:14" x14ac:dyDescent="0.25">
      <c r="A856" s="38" t="str">
        <f>HYPERLINK("http://reports.ofsted.gov.uk/inspection-reports/find-inspection-report/provider/CARE/SC458115","Ofsted Social Care Provider Webpage")</f>
        <v>Ofsted Social Care Provider Webpage</v>
      </c>
      <c r="B856" s="3" t="s">
        <v>1011</v>
      </c>
      <c r="C856" t="s">
        <v>36</v>
      </c>
      <c r="D856" s="19">
        <v>41306</v>
      </c>
      <c r="E856" t="s">
        <v>154</v>
      </c>
      <c r="F856" t="s">
        <v>155</v>
      </c>
      <c r="G856" t="s">
        <v>64</v>
      </c>
      <c r="H856" t="s">
        <v>164</v>
      </c>
      <c r="I856" t="s">
        <v>83</v>
      </c>
      <c r="J856" t="s">
        <v>761</v>
      </c>
      <c r="K856" t="s">
        <v>172</v>
      </c>
      <c r="L856" s="19">
        <v>44180</v>
      </c>
      <c r="M856" s="19">
        <v>44222</v>
      </c>
      <c r="N856" s="27" t="s">
        <v>557</v>
      </c>
    </row>
    <row r="857" spans="1:14" x14ac:dyDescent="0.25">
      <c r="A857" s="38" t="str">
        <f>HYPERLINK("http://reports.ofsted.gov.uk/inspection-reports/find-inspection-report/provider/CARE/SC013553","Ofsted Social Care Provider Webpage")</f>
        <v>Ofsted Social Care Provider Webpage</v>
      </c>
      <c r="B857" s="3" t="s">
        <v>1012</v>
      </c>
      <c r="C857" t="s">
        <v>34</v>
      </c>
      <c r="D857" s="19">
        <v>35811</v>
      </c>
      <c r="E857" t="s">
        <v>154</v>
      </c>
      <c r="F857" t="s">
        <v>155</v>
      </c>
      <c r="G857" t="s">
        <v>105</v>
      </c>
      <c r="H857" t="s">
        <v>105</v>
      </c>
      <c r="I857" t="s">
        <v>112</v>
      </c>
      <c r="J857" t="s">
        <v>916</v>
      </c>
      <c r="K857" t="s">
        <v>157</v>
      </c>
      <c r="L857" s="19">
        <v>44180</v>
      </c>
      <c r="M857" s="19">
        <v>44223</v>
      </c>
      <c r="N857" s="27" t="s">
        <v>557</v>
      </c>
    </row>
    <row r="858" spans="1:14" x14ac:dyDescent="0.25">
      <c r="A858" s="38" t="str">
        <f>HYPERLINK("http://reports.ofsted.gov.uk/inspection-reports/find-inspection-report/provider/CARE/SC457183","Ofsted Social Care Provider Webpage")</f>
        <v>Ofsted Social Care Provider Webpage</v>
      </c>
      <c r="B858" s="3" t="s">
        <v>1013</v>
      </c>
      <c r="C858" t="s">
        <v>34</v>
      </c>
      <c r="D858" s="19">
        <v>41319</v>
      </c>
      <c r="E858" t="s">
        <v>154</v>
      </c>
      <c r="F858" t="s">
        <v>155</v>
      </c>
      <c r="G858" t="s">
        <v>87</v>
      </c>
      <c r="H858" t="s">
        <v>87</v>
      </c>
      <c r="I858" t="s">
        <v>562</v>
      </c>
      <c r="J858" t="s">
        <v>562</v>
      </c>
      <c r="K858" t="s">
        <v>157</v>
      </c>
      <c r="L858" s="19">
        <v>44180</v>
      </c>
      <c r="M858" s="19">
        <v>44225</v>
      </c>
      <c r="N858" s="27" t="s">
        <v>559</v>
      </c>
    </row>
    <row r="859" spans="1:14" x14ac:dyDescent="0.25">
      <c r="A859" s="38" t="str">
        <f>HYPERLINK("http://reports.ofsted.gov.uk/inspection-reports/find-inspection-report/provider/CARE/SC368137","Ofsted Social Care Provider Webpage")</f>
        <v>Ofsted Social Care Provider Webpage</v>
      </c>
      <c r="B859" s="3" t="s">
        <v>1014</v>
      </c>
      <c r="C859" t="s">
        <v>34</v>
      </c>
      <c r="D859" s="19">
        <v>39426</v>
      </c>
      <c r="E859" t="s">
        <v>154</v>
      </c>
      <c r="F859" t="s">
        <v>155</v>
      </c>
      <c r="G859" t="s">
        <v>114</v>
      </c>
      <c r="H859" t="s">
        <v>114</v>
      </c>
      <c r="I859" t="s">
        <v>118</v>
      </c>
      <c r="J859" t="s">
        <v>427</v>
      </c>
      <c r="K859" t="s">
        <v>157</v>
      </c>
      <c r="L859" s="19">
        <v>44180</v>
      </c>
      <c r="M859" s="19">
        <v>44223</v>
      </c>
      <c r="N859" s="27" t="s">
        <v>557</v>
      </c>
    </row>
    <row r="860" spans="1:14" x14ac:dyDescent="0.25">
      <c r="A860" s="38" t="str">
        <f>HYPERLINK("http://reports.ofsted.gov.uk/inspection-reports/find-inspection-report/provider/CARE/SC408655","Ofsted Social Care Provider Webpage")</f>
        <v>Ofsted Social Care Provider Webpage</v>
      </c>
      <c r="B860" s="3" t="s">
        <v>1015</v>
      </c>
      <c r="C860" t="s">
        <v>34</v>
      </c>
      <c r="D860" s="19">
        <v>40318</v>
      </c>
      <c r="E860" t="s">
        <v>154</v>
      </c>
      <c r="F860" t="s">
        <v>155</v>
      </c>
      <c r="G860" t="s">
        <v>105</v>
      </c>
      <c r="H860" t="s">
        <v>105</v>
      </c>
      <c r="I860" t="s">
        <v>108</v>
      </c>
      <c r="J860" t="s">
        <v>296</v>
      </c>
      <c r="K860" t="s">
        <v>157</v>
      </c>
      <c r="L860" s="19">
        <v>44180</v>
      </c>
      <c r="M860" s="19">
        <v>44224</v>
      </c>
      <c r="N860" s="27" t="s">
        <v>557</v>
      </c>
    </row>
    <row r="861" spans="1:14" x14ac:dyDescent="0.25">
      <c r="A861" s="38" t="str">
        <f>HYPERLINK("http://reports.ofsted.gov.uk/inspection-reports/find-inspection-report/provider/CARE/SC008490","Ofsted Social Care Provider Webpage")</f>
        <v>Ofsted Social Care Provider Webpage</v>
      </c>
      <c r="B861" s="3" t="s">
        <v>1016</v>
      </c>
      <c r="C861" t="s">
        <v>34</v>
      </c>
      <c r="D861" s="19">
        <v>37020</v>
      </c>
      <c r="E861" t="s">
        <v>154</v>
      </c>
      <c r="F861" t="s">
        <v>155</v>
      </c>
      <c r="G861" t="s">
        <v>87</v>
      </c>
      <c r="H861" t="s">
        <v>87</v>
      </c>
      <c r="I861" t="s">
        <v>100</v>
      </c>
      <c r="J861" t="s">
        <v>1017</v>
      </c>
      <c r="K861" t="s">
        <v>157</v>
      </c>
      <c r="L861" s="19">
        <v>44180</v>
      </c>
      <c r="M861" s="19">
        <v>44223</v>
      </c>
      <c r="N861" s="27" t="s">
        <v>557</v>
      </c>
    </row>
    <row r="862" spans="1:14" x14ac:dyDescent="0.25">
      <c r="A862" s="38" t="str">
        <f>HYPERLINK("http://reports.ofsted.gov.uk/inspection-reports/find-inspection-report/provider/CARE/SC037596","Ofsted Social Care Provider Webpage")</f>
        <v>Ofsted Social Care Provider Webpage</v>
      </c>
      <c r="B862" s="3" t="s">
        <v>1018</v>
      </c>
      <c r="C862" t="s">
        <v>34</v>
      </c>
      <c r="D862" s="19">
        <v>37575</v>
      </c>
      <c r="E862" t="s">
        <v>154</v>
      </c>
      <c r="F862" t="s">
        <v>155</v>
      </c>
      <c r="G862" t="s">
        <v>114</v>
      </c>
      <c r="H862" t="s">
        <v>114</v>
      </c>
      <c r="I862" t="s">
        <v>127</v>
      </c>
      <c r="J862" t="s">
        <v>245</v>
      </c>
      <c r="K862" t="s">
        <v>157</v>
      </c>
      <c r="L862" s="19">
        <v>44180</v>
      </c>
      <c r="M862" s="19">
        <v>44222</v>
      </c>
      <c r="N862" s="27" t="s">
        <v>557</v>
      </c>
    </row>
    <row r="863" spans="1:14" x14ac:dyDescent="0.25">
      <c r="A863" s="38" t="str">
        <f>HYPERLINK("http://reports.ofsted.gov.uk/inspection-reports/find-inspection-report/provider/CARE/2483715","Ofsted Social Care Provider Webpage")</f>
        <v>Ofsted Social Care Provider Webpage</v>
      </c>
      <c r="B863" s="3">
        <v>2483715</v>
      </c>
      <c r="C863" t="s">
        <v>34</v>
      </c>
      <c r="D863" s="19">
        <v>43307</v>
      </c>
      <c r="E863" t="s">
        <v>154</v>
      </c>
      <c r="F863" t="s">
        <v>155</v>
      </c>
      <c r="G863" t="s">
        <v>105</v>
      </c>
      <c r="H863" t="s">
        <v>105</v>
      </c>
      <c r="I863" t="s">
        <v>706</v>
      </c>
      <c r="J863" t="s">
        <v>771</v>
      </c>
      <c r="K863" t="s">
        <v>157</v>
      </c>
      <c r="L863" s="19">
        <v>44180</v>
      </c>
      <c r="M863" s="19">
        <v>44215</v>
      </c>
      <c r="N863" s="27" t="s">
        <v>557</v>
      </c>
    </row>
    <row r="864" spans="1:14" x14ac:dyDescent="0.25">
      <c r="A864" s="38" t="str">
        <f>HYPERLINK("http://reports.ofsted.gov.uk/inspection-reports/find-inspection-report/provider/CARE/SC044562","Ofsted Social Care Provider Webpage")</f>
        <v>Ofsted Social Care Provider Webpage</v>
      </c>
      <c r="B864" s="3" t="s">
        <v>1019</v>
      </c>
      <c r="C864" t="s">
        <v>36</v>
      </c>
      <c r="D864" s="19">
        <v>37827</v>
      </c>
      <c r="E864" t="s">
        <v>154</v>
      </c>
      <c r="F864" t="s">
        <v>155</v>
      </c>
      <c r="G864" t="s">
        <v>39</v>
      </c>
      <c r="H864" t="s">
        <v>39</v>
      </c>
      <c r="I864" t="s">
        <v>43</v>
      </c>
      <c r="J864" t="s">
        <v>362</v>
      </c>
      <c r="K864" t="s">
        <v>157</v>
      </c>
      <c r="L864" s="19">
        <v>44180</v>
      </c>
      <c r="M864" s="19">
        <v>44221</v>
      </c>
      <c r="N864" s="27" t="s">
        <v>557</v>
      </c>
    </row>
    <row r="865" spans="1:14" x14ac:dyDescent="0.25">
      <c r="A865" s="38" t="str">
        <f>HYPERLINK("http://reports.ofsted.gov.uk/inspection-reports/find-inspection-report/provider/CARE/1263120","Ofsted Social Care Provider Webpage")</f>
        <v>Ofsted Social Care Provider Webpage</v>
      </c>
      <c r="B865" s="3">
        <v>1263120</v>
      </c>
      <c r="C865" t="s">
        <v>34</v>
      </c>
      <c r="D865" s="19">
        <v>43000</v>
      </c>
      <c r="E865" t="s">
        <v>154</v>
      </c>
      <c r="F865" t="s">
        <v>155</v>
      </c>
      <c r="G865" t="s">
        <v>87</v>
      </c>
      <c r="H865" t="s">
        <v>87</v>
      </c>
      <c r="I865" t="s">
        <v>104</v>
      </c>
      <c r="J865" t="s">
        <v>772</v>
      </c>
      <c r="K865" t="s">
        <v>157</v>
      </c>
      <c r="L865" s="19">
        <v>44180</v>
      </c>
      <c r="M865" s="19">
        <v>44222</v>
      </c>
      <c r="N865" s="27" t="s">
        <v>557</v>
      </c>
    </row>
    <row r="866" spans="1:14" x14ac:dyDescent="0.25">
      <c r="A866" s="38" t="str">
        <f>HYPERLINK("http://reports.ofsted.gov.uk/inspection-reports/find-inspection-report/provider/CARE/1256795","Ofsted Social Care Provider Webpage")</f>
        <v>Ofsted Social Care Provider Webpage</v>
      </c>
      <c r="B866" s="3">
        <v>1256795</v>
      </c>
      <c r="C866" t="s">
        <v>34</v>
      </c>
      <c r="D866" s="19">
        <v>42916</v>
      </c>
      <c r="E866" t="s">
        <v>154</v>
      </c>
      <c r="F866" t="s">
        <v>155</v>
      </c>
      <c r="G866" t="s">
        <v>64</v>
      </c>
      <c r="H866" t="s">
        <v>164</v>
      </c>
      <c r="I866" t="s">
        <v>73</v>
      </c>
      <c r="J866" t="s">
        <v>989</v>
      </c>
      <c r="K866" t="s">
        <v>157</v>
      </c>
      <c r="L866" s="19">
        <v>44180</v>
      </c>
      <c r="M866" s="19">
        <v>44224</v>
      </c>
      <c r="N866" s="27" t="s">
        <v>559</v>
      </c>
    </row>
    <row r="867" spans="1:14" x14ac:dyDescent="0.25">
      <c r="A867" s="38" t="str">
        <f>HYPERLINK("http://reports.ofsted.gov.uk/inspection-reports/find-inspection-report/provider/CARE/2531620","Ofsted Social Care Provider Webpage")</f>
        <v>Ofsted Social Care Provider Webpage</v>
      </c>
      <c r="B867" s="3">
        <v>2531620</v>
      </c>
      <c r="C867" t="s">
        <v>34</v>
      </c>
      <c r="D867" s="19">
        <v>43627</v>
      </c>
      <c r="E867" t="s">
        <v>154</v>
      </c>
      <c r="F867" t="s">
        <v>155</v>
      </c>
      <c r="G867" t="s">
        <v>48</v>
      </c>
      <c r="H867" t="s">
        <v>48</v>
      </c>
      <c r="I867" t="s">
        <v>49</v>
      </c>
      <c r="J867" t="s">
        <v>258</v>
      </c>
      <c r="K867" t="s">
        <v>157</v>
      </c>
      <c r="L867" s="19">
        <v>44180</v>
      </c>
      <c r="M867" s="19">
        <v>44218</v>
      </c>
      <c r="N867" s="27" t="s">
        <v>557</v>
      </c>
    </row>
    <row r="868" spans="1:14" x14ac:dyDescent="0.25">
      <c r="A868" s="38" t="str">
        <f>HYPERLINK("http://reports.ofsted.gov.uk/inspection-reports/find-inspection-report/provider/CARE/1273591","Ofsted Social Care Provider Webpage")</f>
        <v>Ofsted Social Care Provider Webpage</v>
      </c>
      <c r="B868" s="3">
        <v>1273591</v>
      </c>
      <c r="C868" t="s">
        <v>581</v>
      </c>
      <c r="D868" s="19">
        <v>43178</v>
      </c>
      <c r="E868" t="s">
        <v>154</v>
      </c>
      <c r="F868" t="s">
        <v>1020</v>
      </c>
      <c r="G868" t="s">
        <v>128</v>
      </c>
      <c r="H868" t="s">
        <v>128</v>
      </c>
      <c r="I868" t="s">
        <v>129</v>
      </c>
      <c r="J868" t="s">
        <v>576</v>
      </c>
      <c r="K868" t="s">
        <v>168</v>
      </c>
      <c r="L868" s="19">
        <v>44180</v>
      </c>
      <c r="M868" s="19">
        <v>44229</v>
      </c>
      <c r="N868" s="27" t="s">
        <v>557</v>
      </c>
    </row>
    <row r="869" spans="1:14" x14ac:dyDescent="0.25">
      <c r="A869" s="38" t="str">
        <f>HYPERLINK("http://reports.ofsted.gov.uk/inspection-reports/find-inspection-report/provider/CARE/SC062573","Ofsted Social Care Provider Webpage")</f>
        <v>Ofsted Social Care Provider Webpage</v>
      </c>
      <c r="B869" s="3" t="s">
        <v>1021</v>
      </c>
      <c r="C869" t="s">
        <v>34</v>
      </c>
      <c r="D869" s="19">
        <v>38372</v>
      </c>
      <c r="E869" t="s">
        <v>154</v>
      </c>
      <c r="F869" t="s">
        <v>155</v>
      </c>
      <c r="G869" t="s">
        <v>64</v>
      </c>
      <c r="H869" t="s">
        <v>164</v>
      </c>
      <c r="I869" t="s">
        <v>86</v>
      </c>
      <c r="J869" t="s">
        <v>1022</v>
      </c>
      <c r="K869" t="s">
        <v>172</v>
      </c>
      <c r="L869" s="19">
        <v>44180</v>
      </c>
      <c r="M869" s="19">
        <v>44222</v>
      </c>
      <c r="N869" s="27" t="s">
        <v>557</v>
      </c>
    </row>
    <row r="870" spans="1:14" x14ac:dyDescent="0.25">
      <c r="A870" s="38" t="str">
        <f>HYPERLINK("http://reports.ofsted.gov.uk/inspection-reports/find-inspection-report/provider/CARE/SC011185","Ofsted Social Care Provider Webpage")</f>
        <v>Ofsted Social Care Provider Webpage</v>
      </c>
      <c r="B870" s="3" t="s">
        <v>1023</v>
      </c>
      <c r="C870" t="s">
        <v>34</v>
      </c>
      <c r="D870" s="19">
        <v>33967</v>
      </c>
      <c r="E870" t="s">
        <v>154</v>
      </c>
      <c r="F870" t="s">
        <v>155</v>
      </c>
      <c r="G870" t="s">
        <v>105</v>
      </c>
      <c r="H870" t="s">
        <v>105</v>
      </c>
      <c r="I870" t="s">
        <v>706</v>
      </c>
      <c r="J870" t="s">
        <v>953</v>
      </c>
      <c r="K870" t="s">
        <v>157</v>
      </c>
      <c r="L870" s="19">
        <v>44180</v>
      </c>
      <c r="M870" s="19">
        <v>44217</v>
      </c>
      <c r="N870" s="27" t="s">
        <v>557</v>
      </c>
    </row>
    <row r="871" spans="1:14" x14ac:dyDescent="0.25">
      <c r="A871" s="38" t="str">
        <f>HYPERLINK("http://reports.ofsted.gov.uk/inspection-reports/find-inspection-report/provider/CARE/SC393940","Ofsted Social Care Provider Webpage")</f>
        <v>Ofsted Social Care Provider Webpage</v>
      </c>
      <c r="B871" s="3" t="s">
        <v>1024</v>
      </c>
      <c r="C871" t="s">
        <v>34</v>
      </c>
      <c r="D871" s="19">
        <v>39962</v>
      </c>
      <c r="E871" t="s">
        <v>154</v>
      </c>
      <c r="F871" t="s">
        <v>155</v>
      </c>
      <c r="G871" t="s">
        <v>48</v>
      </c>
      <c r="H871" t="s">
        <v>48</v>
      </c>
      <c r="I871" t="s">
        <v>51</v>
      </c>
      <c r="J871" t="s">
        <v>1025</v>
      </c>
      <c r="K871" t="s">
        <v>157</v>
      </c>
      <c r="L871" s="19">
        <v>44180</v>
      </c>
      <c r="M871" s="19">
        <v>44221</v>
      </c>
      <c r="N871" s="27" t="s">
        <v>557</v>
      </c>
    </row>
    <row r="872" spans="1:14" x14ac:dyDescent="0.25">
      <c r="A872" s="38" t="str">
        <f>HYPERLINK("http://reports.ofsted.gov.uk/inspection-reports/find-inspection-report/provider/CARE/2597738","Ofsted Social Care Provider Webpage")</f>
        <v>Ofsted Social Care Provider Webpage</v>
      </c>
      <c r="B872" s="3">
        <v>2597738</v>
      </c>
      <c r="C872" t="s">
        <v>34</v>
      </c>
      <c r="D872" s="19">
        <v>44012</v>
      </c>
      <c r="E872" t="s">
        <v>154</v>
      </c>
      <c r="F872" t="s">
        <v>155</v>
      </c>
      <c r="G872" t="s">
        <v>87</v>
      </c>
      <c r="H872" t="s">
        <v>87</v>
      </c>
      <c r="I872" t="s">
        <v>103</v>
      </c>
      <c r="J872" t="s">
        <v>648</v>
      </c>
      <c r="K872" t="s">
        <v>157</v>
      </c>
      <c r="L872" s="19">
        <v>44180</v>
      </c>
      <c r="M872" s="19">
        <v>44222</v>
      </c>
      <c r="N872" s="27" t="s">
        <v>559</v>
      </c>
    </row>
    <row r="873" spans="1:14" x14ac:dyDescent="0.25">
      <c r="A873" s="38" t="str">
        <f>HYPERLINK("http://reports.ofsted.gov.uk/inspection-reports/find-inspection-report/provider/CARE/1183136","Ofsted Social Care Provider Webpage")</f>
        <v>Ofsted Social Care Provider Webpage</v>
      </c>
      <c r="B873" s="3">
        <v>1183136</v>
      </c>
      <c r="C873" t="s">
        <v>34</v>
      </c>
      <c r="D873" s="19">
        <v>42256</v>
      </c>
      <c r="E873" t="s">
        <v>154</v>
      </c>
      <c r="F873" t="s">
        <v>155</v>
      </c>
      <c r="G873" t="s">
        <v>39</v>
      </c>
      <c r="H873" t="s">
        <v>39</v>
      </c>
      <c r="I873" t="s">
        <v>45</v>
      </c>
      <c r="J873" t="s">
        <v>490</v>
      </c>
      <c r="K873" t="s">
        <v>168</v>
      </c>
      <c r="L873" s="19">
        <v>44180</v>
      </c>
      <c r="M873" s="19">
        <v>44223</v>
      </c>
      <c r="N873" s="27" t="s">
        <v>557</v>
      </c>
    </row>
    <row r="874" spans="1:14" x14ac:dyDescent="0.25">
      <c r="A874" s="38" t="str">
        <f>HYPERLINK("http://reports.ofsted.gov.uk/inspection-reports/find-inspection-report/provider/CARE/2585139","Ofsted Social Care Provider Webpage")</f>
        <v>Ofsted Social Care Provider Webpage</v>
      </c>
      <c r="B874" s="3">
        <v>2585139</v>
      </c>
      <c r="C874" t="s">
        <v>34</v>
      </c>
      <c r="D874" s="19">
        <v>44004</v>
      </c>
      <c r="E874" t="s">
        <v>154</v>
      </c>
      <c r="F874" t="s">
        <v>155</v>
      </c>
      <c r="G874" t="s">
        <v>87</v>
      </c>
      <c r="H874" t="s">
        <v>87</v>
      </c>
      <c r="I874" t="s">
        <v>94</v>
      </c>
      <c r="J874" t="s">
        <v>811</v>
      </c>
      <c r="K874" t="s">
        <v>157</v>
      </c>
      <c r="L874" s="19">
        <v>44180</v>
      </c>
      <c r="M874" s="19">
        <v>44218</v>
      </c>
      <c r="N874" s="27" t="s">
        <v>557</v>
      </c>
    </row>
    <row r="875" spans="1:14" x14ac:dyDescent="0.25">
      <c r="A875" s="38" t="str">
        <f>HYPERLINK("http://reports.ofsted.gov.uk/inspection-reports/find-inspection-report/provider/CARE/SC013598","Ofsted Social Care Provider Webpage")</f>
        <v>Ofsted Social Care Provider Webpage</v>
      </c>
      <c r="B875" s="3" t="s">
        <v>1026</v>
      </c>
      <c r="C875" t="s">
        <v>34</v>
      </c>
      <c r="D875" s="19">
        <v>31497</v>
      </c>
      <c r="E875" t="s">
        <v>154</v>
      </c>
      <c r="F875" t="s">
        <v>155</v>
      </c>
      <c r="G875" t="s">
        <v>105</v>
      </c>
      <c r="H875" t="s">
        <v>105</v>
      </c>
      <c r="I875" t="s">
        <v>112</v>
      </c>
      <c r="J875" t="s">
        <v>1027</v>
      </c>
      <c r="K875" t="s">
        <v>168</v>
      </c>
      <c r="L875" s="19">
        <v>44180</v>
      </c>
      <c r="M875" s="19">
        <v>44232</v>
      </c>
      <c r="N875" s="27" t="s">
        <v>557</v>
      </c>
    </row>
    <row r="876" spans="1:14" x14ac:dyDescent="0.25">
      <c r="A876" s="38" t="str">
        <f>HYPERLINK("http://reports.ofsted.gov.uk/inspection-reports/find-inspection-report/provider/CARE/2566488","Ofsted Social Care Provider Webpage")</f>
        <v>Ofsted Social Care Provider Webpage</v>
      </c>
      <c r="B876" s="3">
        <v>2566488</v>
      </c>
      <c r="C876" t="s">
        <v>34</v>
      </c>
      <c r="D876" s="19">
        <v>43908</v>
      </c>
      <c r="E876" t="s">
        <v>154</v>
      </c>
      <c r="F876" t="s">
        <v>155</v>
      </c>
      <c r="G876" t="s">
        <v>48</v>
      </c>
      <c r="H876" t="s">
        <v>48</v>
      </c>
      <c r="I876" t="s">
        <v>53</v>
      </c>
      <c r="J876" t="s">
        <v>219</v>
      </c>
      <c r="K876" t="s">
        <v>157</v>
      </c>
      <c r="L876" s="19">
        <v>44180</v>
      </c>
      <c r="M876" s="19">
        <v>44217</v>
      </c>
      <c r="N876" s="27" t="s">
        <v>557</v>
      </c>
    </row>
    <row r="877" spans="1:14" x14ac:dyDescent="0.25">
      <c r="A877" s="38" t="str">
        <f>HYPERLINK("http://reports.ofsted.gov.uk/inspection-reports/find-inspection-report/provider/CARE/1261138","Ofsted Social Care Provider Webpage")</f>
        <v>Ofsted Social Care Provider Webpage</v>
      </c>
      <c r="B877" s="3">
        <v>1261138</v>
      </c>
      <c r="C877" t="s">
        <v>34</v>
      </c>
      <c r="D877" s="19">
        <v>42976</v>
      </c>
      <c r="E877" t="s">
        <v>154</v>
      </c>
      <c r="F877" t="s">
        <v>155</v>
      </c>
      <c r="G877" t="s">
        <v>87</v>
      </c>
      <c r="H877" t="s">
        <v>87</v>
      </c>
      <c r="I877" t="s">
        <v>696</v>
      </c>
      <c r="J877" t="s">
        <v>981</v>
      </c>
      <c r="K877" t="s">
        <v>157</v>
      </c>
      <c r="L877" s="19">
        <v>44180</v>
      </c>
      <c r="M877" s="19">
        <v>44221</v>
      </c>
      <c r="N877" s="27" t="s">
        <v>557</v>
      </c>
    </row>
    <row r="878" spans="1:14" x14ac:dyDescent="0.25">
      <c r="A878" s="38" t="str">
        <f>HYPERLINK("http://reports.ofsted.gov.uk/inspection-reports/find-inspection-report/provider/CARE/1226978","Ofsted Social Care Provider Webpage")</f>
        <v>Ofsted Social Care Provider Webpage</v>
      </c>
      <c r="B878" s="3">
        <v>1226978</v>
      </c>
      <c r="C878" t="s">
        <v>34</v>
      </c>
      <c r="D878" s="19">
        <v>42516</v>
      </c>
      <c r="E878" t="s">
        <v>154</v>
      </c>
      <c r="F878" t="s">
        <v>155</v>
      </c>
      <c r="G878" t="s">
        <v>64</v>
      </c>
      <c r="H878" t="s">
        <v>164</v>
      </c>
      <c r="I878" t="s">
        <v>79</v>
      </c>
      <c r="J878" t="s">
        <v>1028</v>
      </c>
      <c r="K878" t="s">
        <v>157</v>
      </c>
      <c r="L878" s="19">
        <v>44180</v>
      </c>
      <c r="M878" s="19">
        <v>44222</v>
      </c>
      <c r="N878" s="27" t="s">
        <v>557</v>
      </c>
    </row>
    <row r="879" spans="1:14" x14ac:dyDescent="0.25">
      <c r="A879" s="38" t="str">
        <f>HYPERLINK("http://reports.ofsted.gov.uk/inspection-reports/find-inspection-report/provider/CARE/SC442864","Ofsted Social Care Provider Webpage")</f>
        <v>Ofsted Social Care Provider Webpage</v>
      </c>
      <c r="B879" s="3" t="s">
        <v>1029</v>
      </c>
      <c r="C879" t="s">
        <v>34</v>
      </c>
      <c r="D879" s="19">
        <v>40977</v>
      </c>
      <c r="E879" t="s">
        <v>154</v>
      </c>
      <c r="F879" t="s">
        <v>155</v>
      </c>
      <c r="G879" t="s">
        <v>87</v>
      </c>
      <c r="H879" t="s">
        <v>87</v>
      </c>
      <c r="I879" t="s">
        <v>97</v>
      </c>
      <c r="J879" t="s">
        <v>97</v>
      </c>
      <c r="K879" t="s">
        <v>157</v>
      </c>
      <c r="L879" s="19">
        <v>44180</v>
      </c>
      <c r="M879" s="19">
        <v>44222</v>
      </c>
      <c r="N879" s="27" t="s">
        <v>557</v>
      </c>
    </row>
    <row r="880" spans="1:14" x14ac:dyDescent="0.25">
      <c r="A880" s="38" t="str">
        <f>HYPERLINK("http://reports.ofsted.gov.uk/inspection-reports/find-inspection-report/provider/CARE/2575713","Ofsted Social Care Provider Webpage")</f>
        <v>Ofsted Social Care Provider Webpage</v>
      </c>
      <c r="B880" s="3">
        <v>2575713</v>
      </c>
      <c r="C880" t="s">
        <v>34</v>
      </c>
      <c r="D880" s="19">
        <v>43930</v>
      </c>
      <c r="E880" t="s">
        <v>154</v>
      </c>
      <c r="F880" t="s">
        <v>155</v>
      </c>
      <c r="G880" t="s">
        <v>48</v>
      </c>
      <c r="H880" t="s">
        <v>48</v>
      </c>
      <c r="I880" t="s">
        <v>52</v>
      </c>
      <c r="J880" t="s">
        <v>511</v>
      </c>
      <c r="K880" t="s">
        <v>157</v>
      </c>
      <c r="L880" s="19">
        <v>44180</v>
      </c>
      <c r="M880" s="19">
        <v>44208</v>
      </c>
      <c r="N880" s="27" t="s">
        <v>559</v>
      </c>
    </row>
    <row r="881" spans="1:14" x14ac:dyDescent="0.25">
      <c r="A881" s="38" t="str">
        <f>HYPERLINK("http://reports.ofsted.gov.uk/inspection-reports/find-inspection-report/provider/CARE/SC023740","Ofsted Social Care Provider Webpage")</f>
        <v>Ofsted Social Care Provider Webpage</v>
      </c>
      <c r="B881" s="3" t="s">
        <v>1033</v>
      </c>
      <c r="C881" t="s">
        <v>34</v>
      </c>
      <c r="D881" s="19">
        <v>37089</v>
      </c>
      <c r="E881" t="s">
        <v>154</v>
      </c>
      <c r="F881" t="s">
        <v>155</v>
      </c>
      <c r="G881" t="s">
        <v>105</v>
      </c>
      <c r="H881" t="s">
        <v>105</v>
      </c>
      <c r="I881" t="s">
        <v>109</v>
      </c>
      <c r="J881" t="s">
        <v>472</v>
      </c>
      <c r="K881" t="s">
        <v>157</v>
      </c>
      <c r="L881" s="19">
        <v>44181</v>
      </c>
      <c r="M881" s="19">
        <v>44228</v>
      </c>
      <c r="N881" s="27" t="s">
        <v>557</v>
      </c>
    </row>
    <row r="882" spans="1:14" x14ac:dyDescent="0.25">
      <c r="A882" s="38" t="str">
        <f>HYPERLINK("http://reports.ofsted.gov.uk/inspection-reports/find-inspection-report/provider/CARE/SC474728","Ofsted Social Care Provider Webpage")</f>
        <v>Ofsted Social Care Provider Webpage</v>
      </c>
      <c r="B882" s="3" t="s">
        <v>1034</v>
      </c>
      <c r="C882" t="s">
        <v>641</v>
      </c>
      <c r="D882" s="19">
        <v>41801</v>
      </c>
      <c r="E882" t="s">
        <v>154</v>
      </c>
      <c r="F882" t="s">
        <v>1035</v>
      </c>
      <c r="G882" t="s">
        <v>57</v>
      </c>
      <c r="H882" t="s">
        <v>57</v>
      </c>
      <c r="I882" t="s">
        <v>61</v>
      </c>
      <c r="J882" t="s">
        <v>265</v>
      </c>
      <c r="K882" t="s">
        <v>157</v>
      </c>
      <c r="L882" s="19">
        <v>44181</v>
      </c>
      <c r="M882" s="19">
        <v>44222</v>
      </c>
      <c r="N882" s="27" t="s">
        <v>557</v>
      </c>
    </row>
    <row r="883" spans="1:14" x14ac:dyDescent="0.25">
      <c r="A883" s="38" t="str">
        <f>HYPERLINK("http://reports.ofsted.gov.uk/inspection-reports/find-inspection-report/provider/CARE/SC034804","Ofsted Social Care Provider Webpage")</f>
        <v>Ofsted Social Care Provider Webpage</v>
      </c>
      <c r="B883" s="3" t="s">
        <v>1036</v>
      </c>
      <c r="C883" t="s">
        <v>581</v>
      </c>
      <c r="D883" s="19">
        <v>38140</v>
      </c>
      <c r="E883" t="s">
        <v>154</v>
      </c>
      <c r="F883" t="s">
        <v>1037</v>
      </c>
      <c r="G883" t="s">
        <v>128</v>
      </c>
      <c r="H883" t="s">
        <v>128</v>
      </c>
      <c r="I883" t="s">
        <v>140</v>
      </c>
      <c r="J883" t="s">
        <v>1038</v>
      </c>
      <c r="K883" t="s">
        <v>168</v>
      </c>
      <c r="L883" s="19">
        <v>44181</v>
      </c>
      <c r="M883" s="19">
        <v>44222</v>
      </c>
      <c r="N883" s="27" t="s">
        <v>557</v>
      </c>
    </row>
    <row r="884" spans="1:14" x14ac:dyDescent="0.25">
      <c r="A884" s="38" t="str">
        <f>HYPERLINK("http://reports.ofsted.gov.uk/inspection-reports/find-inspection-report/provider/CARE/1280530","Ofsted Social Care Provider Webpage")</f>
        <v>Ofsted Social Care Provider Webpage</v>
      </c>
      <c r="B884" s="3">
        <v>1280530</v>
      </c>
      <c r="C884" t="s">
        <v>581</v>
      </c>
      <c r="D884" s="19">
        <v>43455</v>
      </c>
      <c r="E884" t="s">
        <v>154</v>
      </c>
      <c r="F884" t="s">
        <v>1039</v>
      </c>
      <c r="G884" t="s">
        <v>128</v>
      </c>
      <c r="H884" t="s">
        <v>128</v>
      </c>
      <c r="I884" t="s">
        <v>132</v>
      </c>
      <c r="J884" t="s">
        <v>339</v>
      </c>
      <c r="K884" t="s">
        <v>157</v>
      </c>
      <c r="L884" s="19">
        <v>44181</v>
      </c>
      <c r="M884" s="19">
        <v>44218</v>
      </c>
      <c r="N884" s="27" t="s">
        <v>557</v>
      </c>
    </row>
    <row r="885" spans="1:14" x14ac:dyDescent="0.25">
      <c r="A885" s="38" t="str">
        <f>HYPERLINK("http://reports.ofsted.gov.uk/inspection-reports/find-inspection-report/provider/CARE/1159272","Ofsted Social Care Provider Webpage")</f>
        <v>Ofsted Social Care Provider Webpage</v>
      </c>
      <c r="B885" s="3">
        <v>1159272</v>
      </c>
      <c r="C885" t="s">
        <v>34</v>
      </c>
      <c r="D885" s="19">
        <v>42284</v>
      </c>
      <c r="E885" t="s">
        <v>154</v>
      </c>
      <c r="F885" t="s">
        <v>155</v>
      </c>
      <c r="G885" t="s">
        <v>64</v>
      </c>
      <c r="H885" t="s">
        <v>164</v>
      </c>
      <c r="I885" t="s">
        <v>79</v>
      </c>
      <c r="J885" t="s">
        <v>601</v>
      </c>
      <c r="K885" t="s">
        <v>157</v>
      </c>
      <c r="L885" s="19">
        <v>44181</v>
      </c>
      <c r="M885" s="19">
        <v>44230</v>
      </c>
      <c r="N885" s="27" t="s">
        <v>557</v>
      </c>
    </row>
    <row r="886" spans="1:14" x14ac:dyDescent="0.25">
      <c r="A886" s="38" t="str">
        <f>HYPERLINK("http://reports.ofsted.gov.uk/inspection-reports/find-inspection-report/provider/CARE/2543640","Ofsted Social Care Provider Webpage")</f>
        <v>Ofsted Social Care Provider Webpage</v>
      </c>
      <c r="B886" s="3">
        <v>2543640</v>
      </c>
      <c r="C886" t="s">
        <v>34</v>
      </c>
      <c r="D886" s="19">
        <v>43766</v>
      </c>
      <c r="E886" t="s">
        <v>154</v>
      </c>
      <c r="F886" t="s">
        <v>155</v>
      </c>
      <c r="G886" t="s">
        <v>87</v>
      </c>
      <c r="H886" t="s">
        <v>87</v>
      </c>
      <c r="I886" t="s">
        <v>93</v>
      </c>
      <c r="J886" t="s">
        <v>408</v>
      </c>
      <c r="K886" t="s">
        <v>157</v>
      </c>
      <c r="L886" s="19">
        <v>44181</v>
      </c>
      <c r="M886" s="19">
        <v>44217</v>
      </c>
      <c r="N886" s="27" t="s">
        <v>557</v>
      </c>
    </row>
    <row r="887" spans="1:14" x14ac:dyDescent="0.25">
      <c r="A887" s="38" t="str">
        <f>HYPERLINK("http://reports.ofsted.gov.uk/inspection-reports/find-inspection-report/provider/CARE/SC028868","Ofsted Social Care Provider Webpage")</f>
        <v>Ofsted Social Care Provider Webpage</v>
      </c>
      <c r="B887" s="3" t="s">
        <v>1040</v>
      </c>
      <c r="C887" t="s">
        <v>34</v>
      </c>
      <c r="D887" s="19">
        <v>37385</v>
      </c>
      <c r="E887" t="s">
        <v>154</v>
      </c>
      <c r="F887" t="s">
        <v>155</v>
      </c>
      <c r="G887" t="s">
        <v>114</v>
      </c>
      <c r="H887" t="s">
        <v>114</v>
      </c>
      <c r="I887" t="s">
        <v>120</v>
      </c>
      <c r="J887" t="s">
        <v>1041</v>
      </c>
      <c r="K887" t="s">
        <v>157</v>
      </c>
      <c r="L887" s="19">
        <v>44181</v>
      </c>
      <c r="M887" s="19">
        <v>44221</v>
      </c>
      <c r="N887" s="27" t="s">
        <v>557</v>
      </c>
    </row>
    <row r="888" spans="1:14" x14ac:dyDescent="0.25">
      <c r="A888" s="38" t="str">
        <f>HYPERLINK("http://reports.ofsted.gov.uk/inspection-reports/find-inspection-report/provider/CARE/2593651","Ofsted Social Care Provider Webpage")</f>
        <v>Ofsted Social Care Provider Webpage</v>
      </c>
      <c r="B888" s="3">
        <v>2593651</v>
      </c>
      <c r="C888" t="s">
        <v>34</v>
      </c>
      <c r="D888" s="19">
        <v>44039</v>
      </c>
      <c r="E888" t="s">
        <v>154</v>
      </c>
      <c r="F888" t="s">
        <v>155</v>
      </c>
      <c r="G888" t="s">
        <v>64</v>
      </c>
      <c r="H888" t="s">
        <v>164</v>
      </c>
      <c r="I888" t="s">
        <v>82</v>
      </c>
      <c r="J888" t="s">
        <v>1042</v>
      </c>
      <c r="K888" t="s">
        <v>157</v>
      </c>
      <c r="L888" s="19">
        <v>44181</v>
      </c>
      <c r="M888" s="19">
        <v>44223</v>
      </c>
      <c r="N888" s="27" t="s">
        <v>557</v>
      </c>
    </row>
    <row r="889" spans="1:14" x14ac:dyDescent="0.25">
      <c r="A889" s="38" t="str">
        <f>HYPERLINK("http://reports.ofsted.gov.uk/inspection-reports/find-inspection-report/provider/CARE/1233899","Ofsted Social Care Provider Webpage")</f>
        <v>Ofsted Social Care Provider Webpage</v>
      </c>
      <c r="B889" s="3">
        <v>1233899</v>
      </c>
      <c r="C889" t="s">
        <v>34</v>
      </c>
      <c r="D889" s="19">
        <v>42654</v>
      </c>
      <c r="E889" t="s">
        <v>154</v>
      </c>
      <c r="F889" t="s">
        <v>155</v>
      </c>
      <c r="G889" t="s">
        <v>87</v>
      </c>
      <c r="H889" t="s">
        <v>87</v>
      </c>
      <c r="I889" t="s">
        <v>92</v>
      </c>
      <c r="J889" t="s">
        <v>866</v>
      </c>
      <c r="K889" t="s">
        <v>157</v>
      </c>
      <c r="L889" s="19">
        <v>44181</v>
      </c>
      <c r="M889" s="19">
        <v>44225</v>
      </c>
      <c r="N889" s="27" t="s">
        <v>557</v>
      </c>
    </row>
    <row r="890" spans="1:14" x14ac:dyDescent="0.25">
      <c r="A890" s="38" t="str">
        <f>HYPERLINK("http://reports.ofsted.gov.uk/inspection-reports/find-inspection-report/provider/CARE/2549696","Ofsted Social Care Provider Webpage")</f>
        <v>Ofsted Social Care Provider Webpage</v>
      </c>
      <c r="B890" s="3">
        <v>2549696</v>
      </c>
      <c r="C890" t="s">
        <v>581</v>
      </c>
      <c r="D890" s="19">
        <v>43739</v>
      </c>
      <c r="E890" t="s">
        <v>154</v>
      </c>
      <c r="F890" t="s">
        <v>1043</v>
      </c>
      <c r="G890" t="s">
        <v>128</v>
      </c>
      <c r="H890" t="s">
        <v>128</v>
      </c>
      <c r="I890" t="s">
        <v>140</v>
      </c>
      <c r="J890" t="s">
        <v>1044</v>
      </c>
      <c r="K890" t="s">
        <v>157</v>
      </c>
      <c r="L890" s="19">
        <v>44181</v>
      </c>
      <c r="M890" s="19">
        <v>44223</v>
      </c>
      <c r="N890" s="27" t="s">
        <v>557</v>
      </c>
    </row>
    <row r="891" spans="1:14" x14ac:dyDescent="0.25">
      <c r="A891" s="38" t="str">
        <f>HYPERLINK("http://reports.ofsted.gov.uk/inspection-reports/find-inspection-report/provider/CARE/2529331","Ofsted Social Care Provider Webpage")</f>
        <v>Ofsted Social Care Provider Webpage</v>
      </c>
      <c r="B891" s="3">
        <v>2529331</v>
      </c>
      <c r="C891" t="s">
        <v>34</v>
      </c>
      <c r="D891" s="19">
        <v>43952</v>
      </c>
      <c r="E891" t="s">
        <v>154</v>
      </c>
      <c r="F891" t="s">
        <v>155</v>
      </c>
      <c r="G891" t="s">
        <v>105</v>
      </c>
      <c r="H891" t="s">
        <v>105</v>
      </c>
      <c r="I891" t="s">
        <v>108</v>
      </c>
      <c r="J891" t="s">
        <v>638</v>
      </c>
      <c r="K891" t="s">
        <v>157</v>
      </c>
      <c r="L891" s="19">
        <v>44181</v>
      </c>
      <c r="M891" s="19">
        <v>44223</v>
      </c>
      <c r="N891" s="27" t="s">
        <v>557</v>
      </c>
    </row>
    <row r="892" spans="1:14" x14ac:dyDescent="0.25">
      <c r="A892" s="38" t="str">
        <f>HYPERLINK("http://reports.ofsted.gov.uk/inspection-reports/find-inspection-report/provider/CARE/2547967","Ofsted Social Care Provider Webpage")</f>
        <v>Ofsted Social Care Provider Webpage</v>
      </c>
      <c r="B892" s="3">
        <v>2547967</v>
      </c>
      <c r="C892" t="s">
        <v>34</v>
      </c>
      <c r="D892" s="19">
        <v>43742</v>
      </c>
      <c r="E892" t="s">
        <v>154</v>
      </c>
      <c r="F892" t="s">
        <v>155</v>
      </c>
      <c r="G892" t="s">
        <v>114</v>
      </c>
      <c r="H892" t="s">
        <v>114</v>
      </c>
      <c r="I892" t="s">
        <v>123</v>
      </c>
      <c r="J892" t="s">
        <v>319</v>
      </c>
      <c r="K892" t="s">
        <v>157</v>
      </c>
      <c r="L892" s="19">
        <v>44181</v>
      </c>
      <c r="M892" s="19">
        <v>44222</v>
      </c>
      <c r="N892" s="27" t="s">
        <v>557</v>
      </c>
    </row>
    <row r="893" spans="1:14" x14ac:dyDescent="0.25">
      <c r="A893" s="38" t="str">
        <f>HYPERLINK("http://reports.ofsted.gov.uk/inspection-reports/find-inspection-report/provider/CARE/SC465257","Ofsted Social Care Provider Webpage")</f>
        <v>Ofsted Social Care Provider Webpage</v>
      </c>
      <c r="B893" s="3" t="s">
        <v>1045</v>
      </c>
      <c r="C893" t="s">
        <v>34</v>
      </c>
      <c r="D893" s="19">
        <v>41484</v>
      </c>
      <c r="E893" t="s">
        <v>154</v>
      </c>
      <c r="F893" t="s">
        <v>155</v>
      </c>
      <c r="G893" t="s">
        <v>39</v>
      </c>
      <c r="H893" t="s">
        <v>39</v>
      </c>
      <c r="I893" t="s">
        <v>44</v>
      </c>
      <c r="J893" t="s">
        <v>194</v>
      </c>
      <c r="K893" t="s">
        <v>524</v>
      </c>
      <c r="L893" s="19">
        <v>44181</v>
      </c>
      <c r="M893" s="19">
        <v>44223</v>
      </c>
      <c r="N893" s="27" t="s">
        <v>557</v>
      </c>
    </row>
    <row r="894" spans="1:14" x14ac:dyDescent="0.25">
      <c r="A894" s="38" t="str">
        <f>HYPERLINK("http://reports.ofsted.gov.uk/inspection-reports/find-inspection-report/provider/CARE/1264537","Ofsted Social Care Provider Webpage")</f>
        <v>Ofsted Social Care Provider Webpage</v>
      </c>
      <c r="B894" s="3">
        <v>1264537</v>
      </c>
      <c r="C894" t="s">
        <v>34</v>
      </c>
      <c r="D894" s="19">
        <v>43068</v>
      </c>
      <c r="E894" t="s">
        <v>154</v>
      </c>
      <c r="F894" t="s">
        <v>155</v>
      </c>
      <c r="G894" t="s">
        <v>87</v>
      </c>
      <c r="H894" t="s">
        <v>87</v>
      </c>
      <c r="I894" t="s">
        <v>103</v>
      </c>
      <c r="J894" t="s">
        <v>103</v>
      </c>
      <c r="K894" t="s">
        <v>157</v>
      </c>
      <c r="L894" s="19">
        <v>44181</v>
      </c>
      <c r="M894" s="19">
        <v>44230</v>
      </c>
      <c r="N894" s="27" t="s">
        <v>557</v>
      </c>
    </row>
    <row r="895" spans="1:14" x14ac:dyDescent="0.25">
      <c r="A895" s="38" t="str">
        <f>HYPERLINK("http://reports.ofsted.gov.uk/inspection-reports/find-inspection-report/provider/CARE/SC417504","Ofsted Social Care Provider Webpage")</f>
        <v>Ofsted Social Care Provider Webpage</v>
      </c>
      <c r="B895" s="3" t="s">
        <v>1046</v>
      </c>
      <c r="C895" t="s">
        <v>581</v>
      </c>
      <c r="D895" s="19">
        <v>40560</v>
      </c>
      <c r="E895" t="s">
        <v>154</v>
      </c>
      <c r="F895" t="s">
        <v>1047</v>
      </c>
      <c r="G895" t="s">
        <v>128</v>
      </c>
      <c r="H895" t="s">
        <v>128</v>
      </c>
      <c r="I895" t="s">
        <v>131</v>
      </c>
      <c r="J895" t="s">
        <v>348</v>
      </c>
      <c r="K895" t="s">
        <v>157</v>
      </c>
      <c r="L895" s="19">
        <v>44181</v>
      </c>
      <c r="M895" s="19">
        <v>44222</v>
      </c>
      <c r="N895" s="27" t="s">
        <v>557</v>
      </c>
    </row>
    <row r="896" spans="1:14" x14ac:dyDescent="0.25">
      <c r="A896" s="38" t="str">
        <f>HYPERLINK("http://reports.ofsted.gov.uk/inspection-reports/find-inspection-report/provider/CARE/2561726","Ofsted Social Care Provider Webpage")</f>
        <v>Ofsted Social Care Provider Webpage</v>
      </c>
      <c r="B896" s="3">
        <v>2561726</v>
      </c>
      <c r="C896" t="s">
        <v>34</v>
      </c>
      <c r="D896" s="19">
        <v>43872</v>
      </c>
      <c r="E896" t="s">
        <v>154</v>
      </c>
      <c r="F896" t="s">
        <v>155</v>
      </c>
      <c r="G896" t="s">
        <v>64</v>
      </c>
      <c r="H896" t="s">
        <v>164</v>
      </c>
      <c r="I896" t="s">
        <v>71</v>
      </c>
      <c r="J896" t="s">
        <v>373</v>
      </c>
      <c r="K896" t="s">
        <v>157</v>
      </c>
      <c r="L896" s="19">
        <v>44181</v>
      </c>
      <c r="M896" s="19">
        <v>44223</v>
      </c>
      <c r="N896" s="27" t="s">
        <v>557</v>
      </c>
    </row>
    <row r="897" spans="1:14" x14ac:dyDescent="0.25">
      <c r="A897" s="38" t="str">
        <f>HYPERLINK("http://reports.ofsted.gov.uk/inspection-reports/find-inspection-report/provider/CARE/1244283","Ofsted Social Care Provider Webpage")</f>
        <v>Ofsted Social Care Provider Webpage</v>
      </c>
      <c r="B897" s="3">
        <v>1244283</v>
      </c>
      <c r="C897" t="s">
        <v>34</v>
      </c>
      <c r="D897" s="19">
        <v>42744</v>
      </c>
      <c r="E897" t="s">
        <v>154</v>
      </c>
      <c r="F897" t="s">
        <v>155</v>
      </c>
      <c r="G897" t="s">
        <v>87</v>
      </c>
      <c r="H897" t="s">
        <v>87</v>
      </c>
      <c r="I897" t="s">
        <v>93</v>
      </c>
      <c r="J897" t="s">
        <v>398</v>
      </c>
      <c r="K897" t="s">
        <v>157</v>
      </c>
      <c r="L897" s="19">
        <v>44181</v>
      </c>
      <c r="M897" s="19">
        <v>44222</v>
      </c>
      <c r="N897" s="27" t="s">
        <v>557</v>
      </c>
    </row>
    <row r="898" spans="1:14" x14ac:dyDescent="0.25">
      <c r="A898" s="38" t="str">
        <f>HYPERLINK("http://reports.ofsted.gov.uk/inspection-reports/find-inspection-report/provider/CARE/2583468","Ofsted Social Care Provider Webpage")</f>
        <v>Ofsted Social Care Provider Webpage</v>
      </c>
      <c r="B898" s="3">
        <v>2583468</v>
      </c>
      <c r="C898" t="s">
        <v>34</v>
      </c>
      <c r="D898" s="19">
        <v>43930</v>
      </c>
      <c r="E898" t="s">
        <v>154</v>
      </c>
      <c r="F898" t="s">
        <v>155</v>
      </c>
      <c r="G898" t="s">
        <v>39</v>
      </c>
      <c r="H898" t="s">
        <v>39</v>
      </c>
      <c r="I898" t="s">
        <v>42</v>
      </c>
      <c r="J898" t="s">
        <v>439</v>
      </c>
      <c r="K898" t="s">
        <v>157</v>
      </c>
      <c r="L898" s="19">
        <v>44181</v>
      </c>
      <c r="M898" s="19">
        <v>44216</v>
      </c>
      <c r="N898" s="27" t="s">
        <v>557</v>
      </c>
    </row>
    <row r="899" spans="1:14" x14ac:dyDescent="0.25">
      <c r="A899" s="38" t="str">
        <f>HYPERLINK("http://reports.ofsted.gov.uk/inspection-reports/find-inspection-report/provider/CARE/1235576","Ofsted Social Care Provider Webpage")</f>
        <v>Ofsted Social Care Provider Webpage</v>
      </c>
      <c r="B899" s="3">
        <v>1235576</v>
      </c>
      <c r="C899" t="s">
        <v>34</v>
      </c>
      <c r="D899" s="19">
        <v>42537</v>
      </c>
      <c r="E899" t="s">
        <v>154</v>
      </c>
      <c r="F899" t="s">
        <v>155</v>
      </c>
      <c r="G899" t="s">
        <v>114</v>
      </c>
      <c r="H899" t="s">
        <v>114</v>
      </c>
      <c r="I899" t="s">
        <v>122</v>
      </c>
      <c r="J899" t="s">
        <v>188</v>
      </c>
      <c r="K899" t="s">
        <v>157</v>
      </c>
      <c r="L899" s="19">
        <v>44182</v>
      </c>
      <c r="M899" s="19">
        <v>44223</v>
      </c>
      <c r="N899" s="27" t="s">
        <v>557</v>
      </c>
    </row>
    <row r="900" spans="1:14" x14ac:dyDescent="0.25">
      <c r="A900" s="38" t="str">
        <f>HYPERLINK("http://reports.ofsted.gov.uk/inspection-reports/find-inspection-report/provider/CARE/SC480075","Ofsted Social Care Provider Webpage")</f>
        <v>Ofsted Social Care Provider Webpage</v>
      </c>
      <c r="B900" s="3" t="s">
        <v>1053</v>
      </c>
      <c r="C900" t="s">
        <v>34</v>
      </c>
      <c r="D900" s="19">
        <v>41990</v>
      </c>
      <c r="E900" t="s">
        <v>154</v>
      </c>
      <c r="F900" t="s">
        <v>155</v>
      </c>
      <c r="G900" t="s">
        <v>87</v>
      </c>
      <c r="H900" t="s">
        <v>87</v>
      </c>
      <c r="I900" t="s">
        <v>104</v>
      </c>
      <c r="J900" t="s">
        <v>772</v>
      </c>
      <c r="K900" t="s">
        <v>157</v>
      </c>
      <c r="L900" s="19">
        <v>44182</v>
      </c>
      <c r="M900" s="19">
        <v>44221</v>
      </c>
      <c r="N900" s="27" t="s">
        <v>557</v>
      </c>
    </row>
    <row r="901" spans="1:14" x14ac:dyDescent="0.25">
      <c r="A901" s="38" t="str">
        <f>HYPERLINK("http://reports.ofsted.gov.uk/inspection-reports/find-inspection-report/provider/CARE/SC035137","Ofsted Social Care Provider Webpage")</f>
        <v>Ofsted Social Care Provider Webpage</v>
      </c>
      <c r="B901" s="3" t="s">
        <v>1054</v>
      </c>
      <c r="C901" t="s">
        <v>34</v>
      </c>
      <c r="D901" s="19">
        <v>37868</v>
      </c>
      <c r="E901" t="s">
        <v>154</v>
      </c>
      <c r="F901" t="s">
        <v>155</v>
      </c>
      <c r="G901" t="s">
        <v>64</v>
      </c>
      <c r="H901" t="s">
        <v>213</v>
      </c>
      <c r="I901" t="s">
        <v>70</v>
      </c>
      <c r="J901" t="s">
        <v>328</v>
      </c>
      <c r="K901" t="s">
        <v>172</v>
      </c>
      <c r="L901" s="19">
        <v>44182</v>
      </c>
      <c r="M901" s="19">
        <v>44229</v>
      </c>
      <c r="N901" s="27" t="s">
        <v>557</v>
      </c>
    </row>
    <row r="902" spans="1:14" x14ac:dyDescent="0.25">
      <c r="A902" s="38" t="str">
        <f>HYPERLINK("http://reports.ofsted.gov.uk/inspection-reports/find-inspection-report/provider/CARE/SC456863","Ofsted Social Care Provider Webpage")</f>
        <v>Ofsted Social Care Provider Webpage</v>
      </c>
      <c r="B902" s="3" t="s">
        <v>1055</v>
      </c>
      <c r="C902" t="s">
        <v>34</v>
      </c>
      <c r="D902" s="19">
        <v>41347</v>
      </c>
      <c r="E902" t="s">
        <v>154</v>
      </c>
      <c r="F902" t="s">
        <v>155</v>
      </c>
      <c r="G902" t="s">
        <v>114</v>
      </c>
      <c r="H902" t="s">
        <v>114</v>
      </c>
      <c r="I902" t="s">
        <v>126</v>
      </c>
      <c r="J902" t="s">
        <v>126</v>
      </c>
      <c r="K902" t="s">
        <v>157</v>
      </c>
      <c r="L902" s="19">
        <v>44182</v>
      </c>
      <c r="M902" s="19">
        <v>44224</v>
      </c>
      <c r="N902" s="27" t="s">
        <v>557</v>
      </c>
    </row>
    <row r="903" spans="1:14" x14ac:dyDescent="0.25">
      <c r="A903" s="38" t="str">
        <f>HYPERLINK("http://reports.ofsted.gov.uk/inspection-reports/find-inspection-report/provider/CARE/2599388","Ofsted Social Care Provider Webpage")</f>
        <v>Ofsted Social Care Provider Webpage</v>
      </c>
      <c r="B903" s="3">
        <v>2599388</v>
      </c>
      <c r="C903" t="s">
        <v>34</v>
      </c>
      <c r="D903" s="19">
        <v>44033</v>
      </c>
      <c r="E903" t="s">
        <v>154</v>
      </c>
      <c r="F903" t="s">
        <v>155</v>
      </c>
      <c r="G903" t="s">
        <v>114</v>
      </c>
      <c r="H903" t="s">
        <v>114</v>
      </c>
      <c r="I903" t="s">
        <v>118</v>
      </c>
      <c r="J903" t="s">
        <v>413</v>
      </c>
      <c r="K903" t="s">
        <v>157</v>
      </c>
      <c r="L903" s="19">
        <v>44182</v>
      </c>
      <c r="M903" s="19">
        <v>44228</v>
      </c>
      <c r="N903" s="27" t="s">
        <v>557</v>
      </c>
    </row>
    <row r="904" spans="1:14" x14ac:dyDescent="0.25">
      <c r="A904" s="38" t="str">
        <f>HYPERLINK("http://reports.ofsted.gov.uk/inspection-reports/find-inspection-report/provider/CARE/1263766","Ofsted Social Care Provider Webpage")</f>
        <v>Ofsted Social Care Provider Webpage</v>
      </c>
      <c r="B904" s="3">
        <v>1263766</v>
      </c>
      <c r="C904" t="s">
        <v>34</v>
      </c>
      <c r="D904" s="19">
        <v>43031</v>
      </c>
      <c r="E904" t="s">
        <v>154</v>
      </c>
      <c r="F904" t="s">
        <v>155</v>
      </c>
      <c r="G904" t="s">
        <v>87</v>
      </c>
      <c r="H904" t="s">
        <v>87</v>
      </c>
      <c r="I904" t="s">
        <v>697</v>
      </c>
      <c r="J904" t="s">
        <v>817</v>
      </c>
      <c r="K904" t="s">
        <v>172</v>
      </c>
      <c r="L904" s="19">
        <v>44182</v>
      </c>
      <c r="M904" s="19">
        <v>44223</v>
      </c>
      <c r="N904" s="27" t="s">
        <v>557</v>
      </c>
    </row>
    <row r="905" spans="1:14" x14ac:dyDescent="0.25">
      <c r="A905" s="38" t="str">
        <f>HYPERLINK("http://reports.ofsted.gov.uk/inspection-reports/find-inspection-report/provider/CARE/2587132","Ofsted Social Care Provider Webpage")</f>
        <v>Ofsted Social Care Provider Webpage</v>
      </c>
      <c r="B905" s="3">
        <v>2587132</v>
      </c>
      <c r="C905" t="s">
        <v>34</v>
      </c>
      <c r="D905" s="19">
        <v>44018</v>
      </c>
      <c r="E905" t="s">
        <v>154</v>
      </c>
      <c r="F905" t="s">
        <v>155</v>
      </c>
      <c r="G905" t="s">
        <v>64</v>
      </c>
      <c r="H905" t="s">
        <v>213</v>
      </c>
      <c r="I905" t="s">
        <v>76</v>
      </c>
      <c r="J905" t="s">
        <v>281</v>
      </c>
      <c r="K905" t="s">
        <v>157</v>
      </c>
      <c r="L905" s="19">
        <v>44182</v>
      </c>
      <c r="M905" s="19">
        <v>44229</v>
      </c>
      <c r="N905" s="27" t="s">
        <v>557</v>
      </c>
    </row>
    <row r="906" spans="1:14" x14ac:dyDescent="0.25">
      <c r="A906" s="38" t="str">
        <f>HYPERLINK("http://reports.ofsted.gov.uk/inspection-reports/find-inspection-report/provider/CARE/SC362965","Ofsted Social Care Provider Webpage")</f>
        <v>Ofsted Social Care Provider Webpage</v>
      </c>
      <c r="B906" s="3" t="s">
        <v>1056</v>
      </c>
      <c r="C906" t="s">
        <v>34</v>
      </c>
      <c r="D906" s="19">
        <v>39414</v>
      </c>
      <c r="E906" t="s">
        <v>154</v>
      </c>
      <c r="F906" t="s">
        <v>155</v>
      </c>
      <c r="G906" t="s">
        <v>114</v>
      </c>
      <c r="H906" t="s">
        <v>114</v>
      </c>
      <c r="I906" t="s">
        <v>119</v>
      </c>
      <c r="J906" t="s">
        <v>529</v>
      </c>
      <c r="K906" t="s">
        <v>157</v>
      </c>
      <c r="L906" s="19">
        <v>44182</v>
      </c>
      <c r="M906" s="19">
        <v>44218</v>
      </c>
      <c r="N906" s="27" t="s">
        <v>557</v>
      </c>
    </row>
    <row r="907" spans="1:14" x14ac:dyDescent="0.25">
      <c r="A907" s="38" t="str">
        <f>HYPERLINK("http://reports.ofsted.gov.uk/inspection-reports/find-inspection-report/provider/CARE/2602142","Ofsted Social Care Provider Webpage")</f>
        <v>Ofsted Social Care Provider Webpage</v>
      </c>
      <c r="B907" s="3">
        <v>2602142</v>
      </c>
      <c r="C907" t="s">
        <v>34</v>
      </c>
      <c r="D907" s="19">
        <v>44069</v>
      </c>
      <c r="E907" t="s">
        <v>154</v>
      </c>
      <c r="F907" t="s">
        <v>155</v>
      </c>
      <c r="G907" t="s">
        <v>64</v>
      </c>
      <c r="H907" t="s">
        <v>213</v>
      </c>
      <c r="I907" t="s">
        <v>78</v>
      </c>
      <c r="J907" t="s">
        <v>78</v>
      </c>
      <c r="K907" t="s">
        <v>172</v>
      </c>
      <c r="L907" s="19">
        <v>44182</v>
      </c>
      <c r="M907" s="19">
        <v>44224</v>
      </c>
      <c r="N907" s="27" t="s">
        <v>557</v>
      </c>
    </row>
    <row r="908" spans="1:14" x14ac:dyDescent="0.25">
      <c r="A908" s="38" t="str">
        <f>HYPERLINK("http://reports.ofsted.gov.uk/inspection-reports/find-inspection-report/provider/CARE/2533109","Ofsted Social Care Provider Webpage")</f>
        <v>Ofsted Social Care Provider Webpage</v>
      </c>
      <c r="B908" s="3">
        <v>2533109</v>
      </c>
      <c r="C908" t="s">
        <v>581</v>
      </c>
      <c r="D908" s="19">
        <v>43709</v>
      </c>
      <c r="E908" t="s">
        <v>154</v>
      </c>
      <c r="F908" t="s">
        <v>1057</v>
      </c>
      <c r="G908" t="s">
        <v>64</v>
      </c>
      <c r="H908" t="s">
        <v>164</v>
      </c>
      <c r="I908" t="s">
        <v>67</v>
      </c>
      <c r="J908" t="s">
        <v>306</v>
      </c>
      <c r="K908" t="s">
        <v>157</v>
      </c>
      <c r="L908" s="19">
        <v>44182</v>
      </c>
      <c r="M908" s="19">
        <v>44223</v>
      </c>
      <c r="N908" s="27" t="s">
        <v>557</v>
      </c>
    </row>
    <row r="909" spans="1:14" x14ac:dyDescent="0.25">
      <c r="A909" s="38" t="str">
        <f>HYPERLINK("http://reports.ofsted.gov.uk/inspection-reports/find-inspection-report/provider/CARE/SC439956","Ofsted Social Care Provider Webpage")</f>
        <v>Ofsted Social Care Provider Webpage</v>
      </c>
      <c r="B909" s="3" t="s">
        <v>1121</v>
      </c>
      <c r="C909" t="s">
        <v>34</v>
      </c>
      <c r="D909" s="19">
        <v>41051</v>
      </c>
      <c r="E909" t="s">
        <v>154</v>
      </c>
      <c r="F909" t="s">
        <v>155</v>
      </c>
      <c r="G909" t="s">
        <v>87</v>
      </c>
      <c r="H909" t="s">
        <v>87</v>
      </c>
      <c r="I909" t="s">
        <v>92</v>
      </c>
      <c r="J909" t="s">
        <v>254</v>
      </c>
      <c r="K909" t="s">
        <v>157</v>
      </c>
      <c r="L909" s="19">
        <v>44186</v>
      </c>
      <c r="M909" s="19">
        <v>44225</v>
      </c>
      <c r="N909" s="27" t="s">
        <v>557</v>
      </c>
    </row>
    <row r="910" spans="1:14" x14ac:dyDescent="0.25">
      <c r="A910" s="38" t="str">
        <f>HYPERLINK("http://reports.ofsted.gov.uk/inspection-reports/find-inspection-report/provider/CARE/1241757","Ofsted Social Care Provider Webpage")</f>
        <v>Ofsted Social Care Provider Webpage</v>
      </c>
      <c r="B910" s="3">
        <v>1241757</v>
      </c>
      <c r="C910" t="s">
        <v>34</v>
      </c>
      <c r="D910" s="19">
        <v>42591</v>
      </c>
      <c r="E910" t="s">
        <v>154</v>
      </c>
      <c r="F910" t="s">
        <v>155</v>
      </c>
      <c r="G910" t="s">
        <v>87</v>
      </c>
      <c r="H910" t="s">
        <v>87</v>
      </c>
      <c r="I910" t="s">
        <v>103</v>
      </c>
      <c r="J910" t="s">
        <v>103</v>
      </c>
      <c r="K910" t="s">
        <v>157</v>
      </c>
      <c r="L910" s="19">
        <v>44186</v>
      </c>
      <c r="M910" s="19">
        <v>44224</v>
      </c>
      <c r="N910" s="27" t="s">
        <v>557</v>
      </c>
    </row>
    <row r="911" spans="1:14" x14ac:dyDescent="0.25">
      <c r="A911" s="38" t="str">
        <f>HYPERLINK("http://reports.ofsted.gov.uk/inspection-reports/find-inspection-report/provider/CARE/1229534","Ofsted Social Care Provider Webpage")</f>
        <v>Ofsted Social Care Provider Webpage</v>
      </c>
      <c r="B911" s="3">
        <v>1229534</v>
      </c>
      <c r="C911" t="s">
        <v>34</v>
      </c>
      <c r="D911" s="19">
        <v>42487</v>
      </c>
      <c r="E911" t="s">
        <v>154</v>
      </c>
      <c r="F911" t="s">
        <v>155</v>
      </c>
      <c r="G911" t="s">
        <v>87</v>
      </c>
      <c r="H911" t="s">
        <v>87</v>
      </c>
      <c r="I911" t="s">
        <v>93</v>
      </c>
      <c r="J911" t="s">
        <v>250</v>
      </c>
      <c r="K911" t="s">
        <v>157</v>
      </c>
      <c r="L911" s="19">
        <v>44186</v>
      </c>
      <c r="M911" s="19">
        <v>44224</v>
      </c>
      <c r="N911" s="27" t="s">
        <v>557</v>
      </c>
    </row>
    <row r="912" spans="1:14" x14ac:dyDescent="0.25">
      <c r="A912" s="38"/>
    </row>
    <row r="913" spans="1:1" x14ac:dyDescent="0.25">
      <c r="A913" s="38"/>
    </row>
    <row r="914" spans="1:1" x14ac:dyDescent="0.25">
      <c r="A914" s="38"/>
    </row>
    <row r="915" spans="1:1" x14ac:dyDescent="0.25">
      <c r="A915" s="38"/>
    </row>
    <row r="916" spans="1:1" x14ac:dyDescent="0.25">
      <c r="A916" s="38"/>
    </row>
    <row r="917" spans="1:1" x14ac:dyDescent="0.25">
      <c r="A917" s="38"/>
    </row>
    <row r="918" spans="1:1" x14ac:dyDescent="0.25">
      <c r="A918" s="38"/>
    </row>
    <row r="919" spans="1:1" x14ac:dyDescent="0.25">
      <c r="A919" s="38"/>
    </row>
    <row r="920" spans="1:1" x14ac:dyDescent="0.25">
      <c r="A920" s="38"/>
    </row>
    <row r="921" spans="1:1" x14ac:dyDescent="0.25">
      <c r="A921" s="38"/>
    </row>
    <row r="922" spans="1:1" x14ac:dyDescent="0.25">
      <c r="A922" s="38"/>
    </row>
    <row r="923" spans="1:1" x14ac:dyDescent="0.25">
      <c r="A923" s="38"/>
    </row>
    <row r="924" spans="1:1" x14ac:dyDescent="0.25">
      <c r="A924" s="38"/>
    </row>
    <row r="925" spans="1:1" x14ac:dyDescent="0.25">
      <c r="A925" s="38"/>
    </row>
    <row r="926" spans="1:1" x14ac:dyDescent="0.25">
      <c r="A926" s="38"/>
    </row>
    <row r="927" spans="1:1" x14ac:dyDescent="0.25">
      <c r="A927" s="38"/>
    </row>
    <row r="928" spans="1:1" x14ac:dyDescent="0.25">
      <c r="A928" s="38"/>
    </row>
    <row r="929" spans="1:1" x14ac:dyDescent="0.25">
      <c r="A929" s="38"/>
    </row>
    <row r="930" spans="1:1" x14ac:dyDescent="0.25">
      <c r="A930" s="38"/>
    </row>
    <row r="931" spans="1:1" x14ac:dyDescent="0.25">
      <c r="A931" s="38"/>
    </row>
    <row r="932" spans="1:1" x14ac:dyDescent="0.25">
      <c r="A932" s="38"/>
    </row>
    <row r="933" spans="1:1" x14ac:dyDescent="0.25">
      <c r="A933" s="38"/>
    </row>
    <row r="934" spans="1:1" x14ac:dyDescent="0.25">
      <c r="A934" s="38"/>
    </row>
    <row r="935" spans="1:1" x14ac:dyDescent="0.25">
      <c r="A935" s="38"/>
    </row>
    <row r="936" spans="1:1" x14ac:dyDescent="0.25">
      <c r="A936" s="38"/>
    </row>
    <row r="937" spans="1:1" x14ac:dyDescent="0.25">
      <c r="A937" s="38"/>
    </row>
    <row r="938" spans="1:1" x14ac:dyDescent="0.25">
      <c r="A938" s="38"/>
    </row>
    <row r="939" spans="1:1" x14ac:dyDescent="0.25">
      <c r="A939" s="38"/>
    </row>
    <row r="940" spans="1:1" x14ac:dyDescent="0.25">
      <c r="A940" s="38"/>
    </row>
    <row r="941" spans="1:1" x14ac:dyDescent="0.25">
      <c r="A941" s="38"/>
    </row>
    <row r="942" spans="1:1" x14ac:dyDescent="0.25">
      <c r="A942" s="38"/>
    </row>
    <row r="943" spans="1:1" x14ac:dyDescent="0.25">
      <c r="A943" s="38"/>
    </row>
    <row r="944" spans="1:1" x14ac:dyDescent="0.25">
      <c r="A944" s="38"/>
    </row>
    <row r="945" spans="1:1" x14ac:dyDescent="0.25">
      <c r="A945" s="38"/>
    </row>
    <row r="946" spans="1:1" x14ac:dyDescent="0.25">
      <c r="A946" s="38"/>
    </row>
    <row r="947" spans="1:1" x14ac:dyDescent="0.25">
      <c r="A947" s="38"/>
    </row>
    <row r="948" spans="1:1" x14ac:dyDescent="0.25">
      <c r="A948" s="38"/>
    </row>
    <row r="949" spans="1:1" x14ac:dyDescent="0.25">
      <c r="A949" s="38"/>
    </row>
    <row r="950" spans="1:1" x14ac:dyDescent="0.25">
      <c r="A950" s="38"/>
    </row>
    <row r="951" spans="1:1" x14ac:dyDescent="0.25">
      <c r="A951" s="38"/>
    </row>
    <row r="952" spans="1:1" x14ac:dyDescent="0.25">
      <c r="A952" s="38"/>
    </row>
    <row r="953" spans="1:1" x14ac:dyDescent="0.25">
      <c r="A953" s="38"/>
    </row>
    <row r="954" spans="1:1" x14ac:dyDescent="0.25">
      <c r="A954" s="38"/>
    </row>
    <row r="955" spans="1:1" x14ac:dyDescent="0.25">
      <c r="A955" s="38"/>
    </row>
    <row r="956" spans="1:1" x14ac:dyDescent="0.25">
      <c r="A956" s="38"/>
    </row>
    <row r="957" spans="1:1" x14ac:dyDescent="0.25">
      <c r="A957" s="38"/>
    </row>
    <row r="958" spans="1:1" x14ac:dyDescent="0.25">
      <c r="A958" s="38"/>
    </row>
    <row r="959" spans="1:1" x14ac:dyDescent="0.25">
      <c r="A959" s="38"/>
    </row>
    <row r="960" spans="1:1" x14ac:dyDescent="0.25">
      <c r="A960" s="38"/>
    </row>
    <row r="961" spans="1:1" x14ac:dyDescent="0.25">
      <c r="A961" s="38"/>
    </row>
    <row r="962" spans="1:1" x14ac:dyDescent="0.25">
      <c r="A962" s="38"/>
    </row>
    <row r="963" spans="1:1" x14ac:dyDescent="0.25">
      <c r="A963" s="38"/>
    </row>
    <row r="964" spans="1:1" x14ac:dyDescent="0.25">
      <c r="A964" s="38"/>
    </row>
    <row r="965" spans="1:1" x14ac:dyDescent="0.25">
      <c r="A965" s="38"/>
    </row>
    <row r="966" spans="1:1" x14ac:dyDescent="0.25">
      <c r="A966" s="38"/>
    </row>
    <row r="967" spans="1:1" x14ac:dyDescent="0.25">
      <c r="A967" s="38"/>
    </row>
    <row r="968" spans="1:1" x14ac:dyDescent="0.25">
      <c r="A968" s="38"/>
    </row>
    <row r="969" spans="1:1" x14ac:dyDescent="0.25">
      <c r="A969" s="38"/>
    </row>
    <row r="970" spans="1:1" x14ac:dyDescent="0.25">
      <c r="A970" s="38"/>
    </row>
    <row r="971" spans="1:1" x14ac:dyDescent="0.25">
      <c r="A971" s="38"/>
    </row>
    <row r="972" spans="1:1" x14ac:dyDescent="0.25">
      <c r="A972" s="38"/>
    </row>
    <row r="973" spans="1:1" x14ac:dyDescent="0.25">
      <c r="A973" s="38"/>
    </row>
    <row r="974" spans="1:1" x14ac:dyDescent="0.25">
      <c r="A974" s="38"/>
    </row>
    <row r="975" spans="1:1" x14ac:dyDescent="0.25">
      <c r="A975" s="38"/>
    </row>
    <row r="976" spans="1:1" x14ac:dyDescent="0.25">
      <c r="A976" s="38"/>
    </row>
    <row r="977" spans="1:1" x14ac:dyDescent="0.25">
      <c r="A977" s="38"/>
    </row>
    <row r="978" spans="1:1" x14ac:dyDescent="0.25">
      <c r="A978" s="38"/>
    </row>
    <row r="979" spans="1:1" x14ac:dyDescent="0.25">
      <c r="A979" s="38"/>
    </row>
    <row r="980" spans="1:1" x14ac:dyDescent="0.25">
      <c r="A980" s="38"/>
    </row>
    <row r="981" spans="1:1" x14ac:dyDescent="0.25">
      <c r="A981" s="38"/>
    </row>
    <row r="982" spans="1:1" x14ac:dyDescent="0.25">
      <c r="A982" s="38"/>
    </row>
    <row r="983" spans="1:1" x14ac:dyDescent="0.25">
      <c r="A983" s="38"/>
    </row>
    <row r="984" spans="1:1" x14ac:dyDescent="0.25">
      <c r="A984" s="38"/>
    </row>
    <row r="985" spans="1:1" x14ac:dyDescent="0.25">
      <c r="A985" s="38"/>
    </row>
    <row r="986" spans="1:1" x14ac:dyDescent="0.25">
      <c r="A986" s="38"/>
    </row>
    <row r="987" spans="1:1" x14ac:dyDescent="0.25">
      <c r="A987" s="38"/>
    </row>
    <row r="988" spans="1:1" x14ac:dyDescent="0.25">
      <c r="A988" s="38"/>
    </row>
    <row r="989" spans="1:1" x14ac:dyDescent="0.25">
      <c r="A989" s="38"/>
    </row>
    <row r="990" spans="1:1" x14ac:dyDescent="0.25">
      <c r="A990" s="38"/>
    </row>
    <row r="991" spans="1:1" x14ac:dyDescent="0.25">
      <c r="A991" s="38"/>
    </row>
    <row r="992" spans="1:1" x14ac:dyDescent="0.25">
      <c r="A992" s="38"/>
    </row>
    <row r="993" spans="1:1" x14ac:dyDescent="0.25">
      <c r="A993" s="38"/>
    </row>
    <row r="994" spans="1:1" x14ac:dyDescent="0.25">
      <c r="A994" s="38"/>
    </row>
    <row r="995" spans="1:1" x14ac:dyDescent="0.25">
      <c r="A995" s="38"/>
    </row>
    <row r="996" spans="1:1" x14ac:dyDescent="0.25">
      <c r="A996" s="38"/>
    </row>
    <row r="997" spans="1:1" x14ac:dyDescent="0.25">
      <c r="A997" s="38"/>
    </row>
    <row r="998" spans="1:1" x14ac:dyDescent="0.25">
      <c r="A998" s="38"/>
    </row>
    <row r="999" spans="1:1" x14ac:dyDescent="0.25">
      <c r="A999" s="38"/>
    </row>
    <row r="1000" spans="1:1" x14ac:dyDescent="0.25">
      <c r="A1000" s="38"/>
    </row>
    <row r="1001" spans="1:1" x14ac:dyDescent="0.25">
      <c r="A1001" s="38"/>
    </row>
    <row r="1002" spans="1:1" x14ac:dyDescent="0.25">
      <c r="A1002" s="38"/>
    </row>
    <row r="1003" spans="1:1" x14ac:dyDescent="0.25">
      <c r="A1003" s="38"/>
    </row>
    <row r="1004" spans="1:1" x14ac:dyDescent="0.25">
      <c r="A1004" s="38"/>
    </row>
    <row r="1005" spans="1:1" x14ac:dyDescent="0.25">
      <c r="A1005" s="38"/>
    </row>
    <row r="1006" spans="1:1" x14ac:dyDescent="0.25">
      <c r="A1006" s="38"/>
    </row>
    <row r="1007" spans="1:1" x14ac:dyDescent="0.25">
      <c r="A1007" s="38"/>
    </row>
    <row r="1008" spans="1:1" x14ac:dyDescent="0.25">
      <c r="A1008" s="38"/>
    </row>
    <row r="1009" spans="1:1" x14ac:dyDescent="0.25">
      <c r="A1009" s="38"/>
    </row>
    <row r="1010" spans="1:1" x14ac:dyDescent="0.25">
      <c r="A1010" s="38"/>
    </row>
    <row r="1011" spans="1:1" x14ac:dyDescent="0.25">
      <c r="A1011" s="38"/>
    </row>
    <row r="1012" spans="1:1" x14ac:dyDescent="0.25">
      <c r="A1012" s="38"/>
    </row>
    <row r="1013" spans="1:1" x14ac:dyDescent="0.25">
      <c r="A1013" s="38"/>
    </row>
    <row r="1014" spans="1:1" x14ac:dyDescent="0.25">
      <c r="A1014" s="38"/>
    </row>
    <row r="1015" spans="1:1" x14ac:dyDescent="0.25">
      <c r="A1015" s="38"/>
    </row>
    <row r="1016" spans="1:1" x14ac:dyDescent="0.25">
      <c r="A1016" s="38"/>
    </row>
    <row r="1017" spans="1:1" x14ac:dyDescent="0.25">
      <c r="A1017" s="38"/>
    </row>
    <row r="1018" spans="1:1" x14ac:dyDescent="0.25">
      <c r="A1018" s="38"/>
    </row>
    <row r="1019" spans="1:1" x14ac:dyDescent="0.25">
      <c r="A1019" s="38"/>
    </row>
    <row r="1020" spans="1:1" x14ac:dyDescent="0.25">
      <c r="A1020" s="38"/>
    </row>
    <row r="1021" spans="1:1" x14ac:dyDescent="0.25">
      <c r="A1021" s="38"/>
    </row>
    <row r="1022" spans="1:1" x14ac:dyDescent="0.25">
      <c r="A1022" s="38"/>
    </row>
    <row r="1023" spans="1:1" x14ac:dyDescent="0.25">
      <c r="A1023" s="38"/>
    </row>
    <row r="1024" spans="1:1" x14ac:dyDescent="0.25">
      <c r="A1024" s="38"/>
    </row>
    <row r="1025" spans="1:1" x14ac:dyDescent="0.25">
      <c r="A1025" s="38"/>
    </row>
    <row r="1026" spans="1:1" x14ac:dyDescent="0.25">
      <c r="A1026" s="38"/>
    </row>
    <row r="1027" spans="1:1" x14ac:dyDescent="0.25">
      <c r="A1027" s="38"/>
    </row>
    <row r="1028" spans="1:1" x14ac:dyDescent="0.25">
      <c r="A1028" s="38"/>
    </row>
    <row r="1029" spans="1:1" x14ac:dyDescent="0.25">
      <c r="A1029" s="38"/>
    </row>
    <row r="1030" spans="1:1" x14ac:dyDescent="0.25">
      <c r="A1030" s="38"/>
    </row>
    <row r="1031" spans="1:1" x14ac:dyDescent="0.25">
      <c r="A1031" s="38"/>
    </row>
    <row r="1032" spans="1:1" x14ac:dyDescent="0.25">
      <c r="A1032" s="38"/>
    </row>
    <row r="1033" spans="1:1" x14ac:dyDescent="0.25">
      <c r="A1033" s="38"/>
    </row>
    <row r="1034" spans="1:1" x14ac:dyDescent="0.25">
      <c r="A1034" s="38"/>
    </row>
    <row r="1035" spans="1:1" x14ac:dyDescent="0.25">
      <c r="A1035" s="38"/>
    </row>
    <row r="1036" spans="1:1" x14ac:dyDescent="0.25">
      <c r="A1036" s="38"/>
    </row>
    <row r="1037" spans="1:1" x14ac:dyDescent="0.25">
      <c r="A1037" s="38"/>
    </row>
    <row r="1038" spans="1:1" x14ac:dyDescent="0.25">
      <c r="A1038" s="38"/>
    </row>
    <row r="1039" spans="1:1" x14ac:dyDescent="0.25">
      <c r="A1039" s="38"/>
    </row>
    <row r="1040" spans="1:1" x14ac:dyDescent="0.25">
      <c r="A1040" s="38"/>
    </row>
    <row r="1041" spans="1:1" x14ac:dyDescent="0.25">
      <c r="A1041" s="38"/>
    </row>
    <row r="1042" spans="1:1" x14ac:dyDescent="0.25">
      <c r="A1042" s="38"/>
    </row>
    <row r="1043" spans="1:1" x14ac:dyDescent="0.25">
      <c r="A1043" s="38"/>
    </row>
    <row r="1044" spans="1:1" x14ac:dyDescent="0.25">
      <c r="A1044" s="38"/>
    </row>
    <row r="1045" spans="1:1" x14ac:dyDescent="0.25">
      <c r="A1045" s="38"/>
    </row>
    <row r="1046" spans="1:1" x14ac:dyDescent="0.25">
      <c r="A1046" s="38"/>
    </row>
    <row r="1047" spans="1:1" x14ac:dyDescent="0.25">
      <c r="A1047" s="38"/>
    </row>
    <row r="1048" spans="1:1" x14ac:dyDescent="0.25">
      <c r="A1048" s="38"/>
    </row>
    <row r="1049" spans="1:1" x14ac:dyDescent="0.25">
      <c r="A1049" s="38"/>
    </row>
    <row r="1050" spans="1:1" x14ac:dyDescent="0.25">
      <c r="A1050" s="38"/>
    </row>
    <row r="1051" spans="1:1" x14ac:dyDescent="0.25">
      <c r="A1051" s="38"/>
    </row>
    <row r="1052" spans="1:1" x14ac:dyDescent="0.25">
      <c r="A1052" s="38"/>
    </row>
    <row r="1053" spans="1:1" x14ac:dyDescent="0.25">
      <c r="A1053" s="38"/>
    </row>
    <row r="1054" spans="1:1" x14ac:dyDescent="0.25">
      <c r="A1054" s="38"/>
    </row>
    <row r="1055" spans="1:1" x14ac:dyDescent="0.25">
      <c r="A1055" s="38"/>
    </row>
    <row r="1056" spans="1:1" x14ac:dyDescent="0.25">
      <c r="A1056" s="38"/>
    </row>
    <row r="1057" spans="1:1" x14ac:dyDescent="0.25">
      <c r="A1057" s="38"/>
    </row>
    <row r="1058" spans="1:1" x14ac:dyDescent="0.25">
      <c r="A1058" s="38"/>
    </row>
    <row r="1059" spans="1:1" x14ac:dyDescent="0.25">
      <c r="A1059" s="38"/>
    </row>
    <row r="1060" spans="1:1" x14ac:dyDescent="0.25">
      <c r="A1060" s="38"/>
    </row>
    <row r="1061" spans="1:1" x14ac:dyDescent="0.25">
      <c r="A1061" s="38"/>
    </row>
    <row r="1062" spans="1:1" x14ac:dyDescent="0.25">
      <c r="A1062" s="38"/>
    </row>
    <row r="1063" spans="1:1" x14ac:dyDescent="0.25">
      <c r="A1063" s="38"/>
    </row>
    <row r="1064" spans="1:1" x14ac:dyDescent="0.25">
      <c r="A1064" s="38"/>
    </row>
    <row r="1065" spans="1:1" x14ac:dyDescent="0.25">
      <c r="A1065" s="38"/>
    </row>
    <row r="1066" spans="1:1" x14ac:dyDescent="0.25">
      <c r="A1066" s="38"/>
    </row>
    <row r="1067" spans="1:1" x14ac:dyDescent="0.25">
      <c r="A1067" s="38"/>
    </row>
    <row r="1068" spans="1:1" x14ac:dyDescent="0.25">
      <c r="A1068" s="38"/>
    </row>
    <row r="1069" spans="1:1" x14ac:dyDescent="0.25">
      <c r="A1069" s="38"/>
    </row>
    <row r="1070" spans="1:1" x14ac:dyDescent="0.25">
      <c r="A1070" s="38"/>
    </row>
    <row r="1071" spans="1:1" x14ac:dyDescent="0.25">
      <c r="A1071" s="38"/>
    </row>
    <row r="1072" spans="1:1" x14ac:dyDescent="0.25">
      <c r="A1072" s="38"/>
    </row>
    <row r="1073" spans="1:1" x14ac:dyDescent="0.25">
      <c r="A1073" s="38"/>
    </row>
    <row r="1074" spans="1:1" x14ac:dyDescent="0.25">
      <c r="A1074" s="38"/>
    </row>
    <row r="1075" spans="1:1" x14ac:dyDescent="0.25">
      <c r="A1075" s="38"/>
    </row>
    <row r="1076" spans="1:1" x14ac:dyDescent="0.25">
      <c r="A1076" s="38"/>
    </row>
    <row r="1077" spans="1:1" x14ac:dyDescent="0.25">
      <c r="A1077" s="38"/>
    </row>
    <row r="1078" spans="1:1" x14ac:dyDescent="0.25">
      <c r="A1078" s="38"/>
    </row>
    <row r="1079" spans="1:1" x14ac:dyDescent="0.25">
      <c r="A1079" s="38"/>
    </row>
    <row r="1080" spans="1:1" x14ac:dyDescent="0.25">
      <c r="A1080" s="38"/>
    </row>
    <row r="1081" spans="1:1" x14ac:dyDescent="0.25">
      <c r="A1081" s="38"/>
    </row>
    <row r="1082" spans="1:1" x14ac:dyDescent="0.25">
      <c r="A1082" s="38"/>
    </row>
    <row r="1083" spans="1:1" x14ac:dyDescent="0.25">
      <c r="A1083" s="38"/>
    </row>
    <row r="1084" spans="1:1" x14ac:dyDescent="0.25">
      <c r="A1084" s="38"/>
    </row>
    <row r="1085" spans="1:1" x14ac:dyDescent="0.25">
      <c r="A1085" s="38"/>
    </row>
    <row r="1086" spans="1:1" x14ac:dyDescent="0.25">
      <c r="A1086" s="38"/>
    </row>
    <row r="1087" spans="1:1" x14ac:dyDescent="0.25">
      <c r="A1087" s="38"/>
    </row>
    <row r="1088" spans="1:1" x14ac:dyDescent="0.25">
      <c r="A1088" s="38"/>
    </row>
    <row r="1089" spans="1:1" x14ac:dyDescent="0.25">
      <c r="A1089" s="38"/>
    </row>
    <row r="1090" spans="1:1" x14ac:dyDescent="0.25">
      <c r="A1090" s="38"/>
    </row>
    <row r="1091" spans="1:1" x14ac:dyDescent="0.25">
      <c r="A1091" s="38"/>
    </row>
    <row r="1092" spans="1:1" x14ac:dyDescent="0.25">
      <c r="A1092" s="38"/>
    </row>
    <row r="1093" spans="1:1" x14ac:dyDescent="0.25">
      <c r="A1093" s="38"/>
    </row>
    <row r="1094" spans="1:1" x14ac:dyDescent="0.25">
      <c r="A1094" s="38"/>
    </row>
    <row r="1095" spans="1:1" x14ac:dyDescent="0.25">
      <c r="A1095" s="38"/>
    </row>
    <row r="1096" spans="1:1" x14ac:dyDescent="0.25">
      <c r="A1096" s="38"/>
    </row>
    <row r="1097" spans="1:1" x14ac:dyDescent="0.25">
      <c r="A1097" s="38"/>
    </row>
    <row r="1098" spans="1:1" x14ac:dyDescent="0.25">
      <c r="A1098" s="38"/>
    </row>
    <row r="1099" spans="1:1" x14ac:dyDescent="0.25">
      <c r="A1099" s="38"/>
    </row>
    <row r="1100" spans="1:1" x14ac:dyDescent="0.25">
      <c r="A1100" s="38"/>
    </row>
    <row r="1101" spans="1:1" x14ac:dyDescent="0.25">
      <c r="A1101" s="38"/>
    </row>
    <row r="1102" spans="1:1" x14ac:dyDescent="0.25">
      <c r="A1102" s="38"/>
    </row>
    <row r="1103" spans="1:1" x14ac:dyDescent="0.25">
      <c r="A1103" s="38"/>
    </row>
    <row r="1104" spans="1:1" x14ac:dyDescent="0.25">
      <c r="A1104" s="38"/>
    </row>
    <row r="1105" spans="1:1" x14ac:dyDescent="0.25">
      <c r="A1105" s="38"/>
    </row>
    <row r="1106" spans="1:1" x14ac:dyDescent="0.25">
      <c r="A1106" s="38"/>
    </row>
    <row r="1107" spans="1:1" x14ac:dyDescent="0.25">
      <c r="A1107" s="38"/>
    </row>
    <row r="1108" spans="1:1" x14ac:dyDescent="0.25">
      <c r="A1108" s="38"/>
    </row>
    <row r="1109" spans="1:1" x14ac:dyDescent="0.25">
      <c r="A1109" s="38"/>
    </row>
    <row r="1110" spans="1:1" x14ac:dyDescent="0.25">
      <c r="A1110" s="38"/>
    </row>
    <row r="1111" spans="1:1" x14ac:dyDescent="0.25">
      <c r="A1111" s="38"/>
    </row>
    <row r="1112" spans="1:1" x14ac:dyDescent="0.25">
      <c r="A1112" s="38"/>
    </row>
    <row r="1113" spans="1:1" x14ac:dyDescent="0.25">
      <c r="A1113" s="38"/>
    </row>
    <row r="1114" spans="1:1" x14ac:dyDescent="0.25">
      <c r="A1114" s="38"/>
    </row>
    <row r="1115" spans="1:1" x14ac:dyDescent="0.25">
      <c r="A1115" s="38"/>
    </row>
    <row r="1116" spans="1:1" x14ac:dyDescent="0.25">
      <c r="A1116" s="38"/>
    </row>
    <row r="1117" spans="1:1" x14ac:dyDescent="0.25">
      <c r="A1117" s="38"/>
    </row>
    <row r="1118" spans="1:1" x14ac:dyDescent="0.25">
      <c r="A1118" s="38"/>
    </row>
    <row r="1119" spans="1:1" x14ac:dyDescent="0.25">
      <c r="A1119" s="38"/>
    </row>
    <row r="1120" spans="1:1" x14ac:dyDescent="0.25">
      <c r="A1120" s="38"/>
    </row>
    <row r="1121" spans="1:1" x14ac:dyDescent="0.25">
      <c r="A1121" s="38"/>
    </row>
    <row r="1122" spans="1:1" x14ac:dyDescent="0.25">
      <c r="A1122" s="38"/>
    </row>
    <row r="1123" spans="1:1" x14ac:dyDescent="0.25">
      <c r="A1123" s="38"/>
    </row>
    <row r="1124" spans="1:1" x14ac:dyDescent="0.25">
      <c r="A1124" s="38"/>
    </row>
    <row r="1125" spans="1:1" x14ac:dyDescent="0.25">
      <c r="A1125" s="38"/>
    </row>
    <row r="1126" spans="1:1" x14ac:dyDescent="0.25">
      <c r="A1126" s="38"/>
    </row>
    <row r="1127" spans="1:1" x14ac:dyDescent="0.25">
      <c r="A1127" s="38"/>
    </row>
    <row r="1128" spans="1:1" x14ac:dyDescent="0.25">
      <c r="A1128" s="38"/>
    </row>
    <row r="1129" spans="1:1" x14ac:dyDescent="0.25">
      <c r="A1129" s="38"/>
    </row>
    <row r="1130" spans="1:1" x14ac:dyDescent="0.25">
      <c r="A1130" s="38"/>
    </row>
    <row r="1131" spans="1:1" x14ac:dyDescent="0.25">
      <c r="A1131" s="38"/>
    </row>
    <row r="1132" spans="1:1" x14ac:dyDescent="0.25">
      <c r="A1132" s="38"/>
    </row>
    <row r="1133" spans="1:1" x14ac:dyDescent="0.25">
      <c r="A1133" s="38"/>
    </row>
    <row r="1134" spans="1:1" x14ac:dyDescent="0.25">
      <c r="A1134" s="38"/>
    </row>
    <row r="1135" spans="1:1" x14ac:dyDescent="0.25">
      <c r="A1135" s="38"/>
    </row>
    <row r="1136" spans="1:1" x14ac:dyDescent="0.25">
      <c r="A1136" s="38"/>
    </row>
    <row r="1137" spans="1:1" x14ac:dyDescent="0.25">
      <c r="A1137" s="38"/>
    </row>
    <row r="1138" spans="1:1" x14ac:dyDescent="0.25">
      <c r="A1138" s="38"/>
    </row>
    <row r="1139" spans="1:1" x14ac:dyDescent="0.25">
      <c r="A1139" s="38"/>
    </row>
    <row r="1140" spans="1:1" x14ac:dyDescent="0.25">
      <c r="A1140" s="38"/>
    </row>
    <row r="1141" spans="1:1" x14ac:dyDescent="0.25">
      <c r="A1141" s="38"/>
    </row>
    <row r="1142" spans="1:1" x14ac:dyDescent="0.25">
      <c r="A1142" s="38"/>
    </row>
    <row r="1143" spans="1:1" x14ac:dyDescent="0.25">
      <c r="A1143" s="38"/>
    </row>
    <row r="1144" spans="1:1" x14ac:dyDescent="0.25">
      <c r="A1144" s="38"/>
    </row>
    <row r="1145" spans="1:1" x14ac:dyDescent="0.25">
      <c r="A1145" s="38"/>
    </row>
    <row r="1146" spans="1:1" x14ac:dyDescent="0.25">
      <c r="A1146" s="38"/>
    </row>
    <row r="1147" spans="1:1" x14ac:dyDescent="0.25">
      <c r="A1147" s="38"/>
    </row>
    <row r="1148" spans="1:1" x14ac:dyDescent="0.25">
      <c r="A1148" s="38"/>
    </row>
    <row r="1149" spans="1:1" x14ac:dyDescent="0.25">
      <c r="A1149" s="38"/>
    </row>
    <row r="1150" spans="1:1" x14ac:dyDescent="0.25">
      <c r="A1150" s="38"/>
    </row>
    <row r="1151" spans="1:1" x14ac:dyDescent="0.25">
      <c r="A1151" s="38"/>
    </row>
    <row r="1152" spans="1:1" x14ac:dyDescent="0.25">
      <c r="A1152" s="38"/>
    </row>
    <row r="1153" spans="1:1" x14ac:dyDescent="0.25">
      <c r="A1153" s="38"/>
    </row>
    <row r="1154" spans="1:1" x14ac:dyDescent="0.25">
      <c r="A1154" s="38"/>
    </row>
    <row r="1155" spans="1:1" x14ac:dyDescent="0.25">
      <c r="A1155" s="38"/>
    </row>
    <row r="1156" spans="1:1" x14ac:dyDescent="0.25">
      <c r="A1156" s="38"/>
    </row>
    <row r="1157" spans="1:1" x14ac:dyDescent="0.25">
      <c r="A1157" s="38"/>
    </row>
    <row r="1158" spans="1:1" x14ac:dyDescent="0.25">
      <c r="A1158" s="38"/>
    </row>
    <row r="1159" spans="1:1" x14ac:dyDescent="0.25">
      <c r="A1159" s="38"/>
    </row>
    <row r="1160" spans="1:1" x14ac:dyDescent="0.25">
      <c r="A1160" s="38"/>
    </row>
    <row r="1161" spans="1:1" x14ac:dyDescent="0.25">
      <c r="A1161" s="38"/>
    </row>
    <row r="1162" spans="1:1" x14ac:dyDescent="0.25">
      <c r="A1162" s="38"/>
    </row>
    <row r="1163" spans="1:1" x14ac:dyDescent="0.25">
      <c r="A1163" s="38"/>
    </row>
    <row r="1164" spans="1:1" x14ac:dyDescent="0.25">
      <c r="A1164" s="38"/>
    </row>
    <row r="1165" spans="1:1" x14ac:dyDescent="0.25">
      <c r="A1165" s="38"/>
    </row>
    <row r="1166" spans="1:1" x14ac:dyDescent="0.25">
      <c r="A1166" s="38"/>
    </row>
    <row r="1167" spans="1:1" x14ac:dyDescent="0.25">
      <c r="A1167" s="38"/>
    </row>
    <row r="1168" spans="1:1" x14ac:dyDescent="0.25">
      <c r="A1168" s="38"/>
    </row>
    <row r="1169" spans="1:1" x14ac:dyDescent="0.25">
      <c r="A1169" s="38"/>
    </row>
    <row r="1170" spans="1:1" x14ac:dyDescent="0.25">
      <c r="A1170" s="38"/>
    </row>
    <row r="1171" spans="1:1" x14ac:dyDescent="0.25">
      <c r="A1171" s="38"/>
    </row>
    <row r="1172" spans="1:1" x14ac:dyDescent="0.25">
      <c r="A1172" s="38"/>
    </row>
    <row r="1173" spans="1:1" x14ac:dyDescent="0.25">
      <c r="A1173" s="38"/>
    </row>
    <row r="1174" spans="1:1" x14ac:dyDescent="0.25">
      <c r="A1174" s="38"/>
    </row>
    <row r="1175" spans="1:1" x14ac:dyDescent="0.25">
      <c r="A1175" s="38"/>
    </row>
    <row r="1176" spans="1:1" x14ac:dyDescent="0.25">
      <c r="A1176" s="38"/>
    </row>
    <row r="1177" spans="1:1" x14ac:dyDescent="0.25">
      <c r="A1177" s="38"/>
    </row>
    <row r="1178" spans="1:1" x14ac:dyDescent="0.25">
      <c r="A1178" s="38"/>
    </row>
    <row r="1179" spans="1:1" x14ac:dyDescent="0.25">
      <c r="A1179" s="38"/>
    </row>
    <row r="1180" spans="1:1" x14ac:dyDescent="0.25">
      <c r="A1180" s="38"/>
    </row>
    <row r="1181" spans="1:1" x14ac:dyDescent="0.25">
      <c r="A1181" s="38"/>
    </row>
    <row r="1182" spans="1:1" x14ac:dyDescent="0.25">
      <c r="A1182" s="38"/>
    </row>
    <row r="1183" spans="1:1" x14ac:dyDescent="0.25">
      <c r="A1183" s="38"/>
    </row>
    <row r="1184" spans="1:1" x14ac:dyDescent="0.25">
      <c r="A1184" s="38"/>
    </row>
    <row r="1185" spans="1:1" x14ac:dyDescent="0.25">
      <c r="A1185" s="38"/>
    </row>
    <row r="1186" spans="1:1" x14ac:dyDescent="0.25">
      <c r="A1186" s="38"/>
    </row>
    <row r="1187" spans="1:1" x14ac:dyDescent="0.25">
      <c r="A1187" s="38"/>
    </row>
    <row r="1188" spans="1:1" x14ac:dyDescent="0.25">
      <c r="A1188" s="38"/>
    </row>
    <row r="1189" spans="1:1" x14ac:dyDescent="0.25">
      <c r="A1189" s="38"/>
    </row>
    <row r="1190" spans="1:1" x14ac:dyDescent="0.25">
      <c r="A1190" s="38"/>
    </row>
    <row r="1191" spans="1:1" x14ac:dyDescent="0.25">
      <c r="A1191" s="38"/>
    </row>
    <row r="1192" spans="1:1" x14ac:dyDescent="0.25">
      <c r="A1192" s="38"/>
    </row>
    <row r="1193" spans="1:1" x14ac:dyDescent="0.25">
      <c r="A1193" s="38"/>
    </row>
    <row r="1194" spans="1:1" x14ac:dyDescent="0.25">
      <c r="A1194" s="38"/>
    </row>
    <row r="1195" spans="1:1" x14ac:dyDescent="0.25">
      <c r="A1195" s="38"/>
    </row>
    <row r="1196" spans="1:1" x14ac:dyDescent="0.25">
      <c r="A1196" s="38"/>
    </row>
    <row r="1197" spans="1:1" x14ac:dyDescent="0.25">
      <c r="A1197" s="38"/>
    </row>
    <row r="1198" spans="1:1" x14ac:dyDescent="0.25">
      <c r="A1198" s="38"/>
    </row>
    <row r="1199" spans="1:1" x14ac:dyDescent="0.25">
      <c r="A1199" s="38"/>
    </row>
    <row r="1200" spans="1:1" x14ac:dyDescent="0.25">
      <c r="A1200" s="38"/>
    </row>
    <row r="1201" spans="1:1" x14ac:dyDescent="0.25">
      <c r="A1201" s="38"/>
    </row>
    <row r="1202" spans="1:1" x14ac:dyDescent="0.25">
      <c r="A1202" s="38"/>
    </row>
    <row r="1203" spans="1:1" x14ac:dyDescent="0.25">
      <c r="A1203" s="38"/>
    </row>
    <row r="1204" spans="1:1" x14ac:dyDescent="0.25">
      <c r="A1204" s="38"/>
    </row>
    <row r="1205" spans="1:1" x14ac:dyDescent="0.25">
      <c r="A1205" s="38"/>
    </row>
    <row r="1206" spans="1:1" x14ac:dyDescent="0.25">
      <c r="A1206" s="38"/>
    </row>
    <row r="1207" spans="1:1" x14ac:dyDescent="0.25">
      <c r="A1207" s="38"/>
    </row>
    <row r="1208" spans="1:1" x14ac:dyDescent="0.25">
      <c r="A1208" s="38"/>
    </row>
    <row r="1209" spans="1:1" x14ac:dyDescent="0.25">
      <c r="A1209" s="38"/>
    </row>
    <row r="1210" spans="1:1" x14ac:dyDescent="0.25">
      <c r="A1210" s="38"/>
    </row>
    <row r="1211" spans="1:1" x14ac:dyDescent="0.25">
      <c r="A1211" s="38"/>
    </row>
    <row r="1212" spans="1:1" x14ac:dyDescent="0.25">
      <c r="A1212" s="38"/>
    </row>
    <row r="1213" spans="1:1" x14ac:dyDescent="0.25">
      <c r="A1213" s="38"/>
    </row>
    <row r="1214" spans="1:1" x14ac:dyDescent="0.25">
      <c r="A1214" s="38"/>
    </row>
    <row r="1215" spans="1:1" x14ac:dyDescent="0.25">
      <c r="A1215" s="38"/>
    </row>
    <row r="1216" spans="1:1" x14ac:dyDescent="0.25">
      <c r="A1216" s="38"/>
    </row>
    <row r="1217" spans="1:1" x14ac:dyDescent="0.25">
      <c r="A1217" s="38"/>
    </row>
    <row r="1218" spans="1:1" x14ac:dyDescent="0.25">
      <c r="A1218" s="38"/>
    </row>
    <row r="1219" spans="1:1" x14ac:dyDescent="0.25">
      <c r="A1219" s="38"/>
    </row>
    <row r="1220" spans="1:1" x14ac:dyDescent="0.25">
      <c r="A1220" s="38"/>
    </row>
    <row r="1221" spans="1:1" x14ac:dyDescent="0.25">
      <c r="A1221" s="38"/>
    </row>
    <row r="1222" spans="1:1" x14ac:dyDescent="0.25">
      <c r="A1222" s="38"/>
    </row>
    <row r="1223" spans="1:1" x14ac:dyDescent="0.25">
      <c r="A1223" s="38"/>
    </row>
    <row r="1224" spans="1:1" x14ac:dyDescent="0.25">
      <c r="A1224" s="38"/>
    </row>
    <row r="1225" spans="1:1" x14ac:dyDescent="0.25">
      <c r="A1225" s="38"/>
    </row>
    <row r="1226" spans="1:1" x14ac:dyDescent="0.25">
      <c r="A1226" s="38"/>
    </row>
    <row r="1227" spans="1:1" x14ac:dyDescent="0.25">
      <c r="A1227" s="38"/>
    </row>
    <row r="1228" spans="1:1" x14ac:dyDescent="0.25">
      <c r="A1228" s="38"/>
    </row>
    <row r="1229" spans="1:1" x14ac:dyDescent="0.25">
      <c r="A1229" s="38"/>
    </row>
    <row r="1230" spans="1:1" x14ac:dyDescent="0.25">
      <c r="A1230" s="38"/>
    </row>
    <row r="1231" spans="1:1" x14ac:dyDescent="0.25">
      <c r="A1231" s="38"/>
    </row>
    <row r="1232" spans="1:1" x14ac:dyDescent="0.25">
      <c r="A1232" s="38"/>
    </row>
    <row r="1233" spans="1:1" x14ac:dyDescent="0.25">
      <c r="A1233" s="38"/>
    </row>
    <row r="1234" spans="1:1" x14ac:dyDescent="0.25">
      <c r="A1234" s="38"/>
    </row>
    <row r="1235" spans="1:1" x14ac:dyDescent="0.25">
      <c r="A1235" s="38"/>
    </row>
    <row r="1236" spans="1:1" x14ac:dyDescent="0.25">
      <c r="A1236" s="38"/>
    </row>
    <row r="1237" spans="1:1" x14ac:dyDescent="0.25">
      <c r="A1237" s="38"/>
    </row>
    <row r="1238" spans="1:1" x14ac:dyDescent="0.25">
      <c r="A1238" s="38"/>
    </row>
    <row r="1239" spans="1:1" x14ac:dyDescent="0.25">
      <c r="A1239" s="38"/>
    </row>
    <row r="1240" spans="1:1" x14ac:dyDescent="0.25">
      <c r="A1240" s="38"/>
    </row>
    <row r="1241" spans="1:1" x14ac:dyDescent="0.25">
      <c r="A1241" s="38"/>
    </row>
    <row r="1242" spans="1:1" x14ac:dyDescent="0.25">
      <c r="A1242" s="38"/>
    </row>
    <row r="1243" spans="1:1" x14ac:dyDescent="0.25">
      <c r="A1243" s="38"/>
    </row>
    <row r="1244" spans="1:1" x14ac:dyDescent="0.25">
      <c r="A1244" s="38"/>
    </row>
    <row r="1245" spans="1:1" x14ac:dyDescent="0.25">
      <c r="A1245" s="38"/>
    </row>
    <row r="1246" spans="1:1" x14ac:dyDescent="0.25">
      <c r="A1246" s="38"/>
    </row>
    <row r="1247" spans="1:1" x14ac:dyDescent="0.25">
      <c r="A1247" s="38"/>
    </row>
    <row r="1248" spans="1:1" x14ac:dyDescent="0.25">
      <c r="A1248" s="38"/>
    </row>
    <row r="1249" spans="1:1" x14ac:dyDescent="0.25">
      <c r="A1249" s="38"/>
    </row>
    <row r="1250" spans="1:1" x14ac:dyDescent="0.25">
      <c r="A1250" s="38"/>
    </row>
    <row r="1251" spans="1:1" x14ac:dyDescent="0.25">
      <c r="A1251" s="38"/>
    </row>
    <row r="1252" spans="1:1" x14ac:dyDescent="0.25">
      <c r="A1252" s="38"/>
    </row>
    <row r="1253" spans="1:1" x14ac:dyDescent="0.25">
      <c r="A1253" s="38"/>
    </row>
    <row r="1254" spans="1:1" x14ac:dyDescent="0.25">
      <c r="A1254" s="38"/>
    </row>
    <row r="1255" spans="1:1" x14ac:dyDescent="0.25">
      <c r="A1255" s="38"/>
    </row>
    <row r="1256" spans="1:1" x14ac:dyDescent="0.25">
      <c r="A1256" s="38"/>
    </row>
    <row r="1257" spans="1:1" x14ac:dyDescent="0.25">
      <c r="A1257" s="38"/>
    </row>
    <row r="1258" spans="1:1" x14ac:dyDescent="0.25">
      <c r="A1258" s="38"/>
    </row>
    <row r="1259" spans="1:1" x14ac:dyDescent="0.25">
      <c r="A1259" s="38"/>
    </row>
    <row r="1260" spans="1:1" x14ac:dyDescent="0.25">
      <c r="A1260" s="38"/>
    </row>
    <row r="1261" spans="1:1" x14ac:dyDescent="0.25">
      <c r="A1261" s="38"/>
    </row>
    <row r="1262" spans="1:1" x14ac:dyDescent="0.25">
      <c r="A1262" s="38"/>
    </row>
    <row r="1263" spans="1:1" x14ac:dyDescent="0.25">
      <c r="A1263" s="38"/>
    </row>
    <row r="1264" spans="1:1" x14ac:dyDescent="0.25">
      <c r="A1264" s="38"/>
    </row>
    <row r="1265" spans="1:1" x14ac:dyDescent="0.25">
      <c r="A1265" s="38"/>
    </row>
    <row r="1266" spans="1:1" x14ac:dyDescent="0.25">
      <c r="A1266" s="38"/>
    </row>
    <row r="1267" spans="1:1" x14ac:dyDescent="0.25">
      <c r="A1267" s="38"/>
    </row>
    <row r="1268" spans="1:1" x14ac:dyDescent="0.25">
      <c r="A1268" s="38"/>
    </row>
    <row r="1269" spans="1:1" x14ac:dyDescent="0.25">
      <c r="A1269" s="38"/>
    </row>
    <row r="1270" spans="1:1" x14ac:dyDescent="0.25">
      <c r="A1270" s="38"/>
    </row>
    <row r="1271" spans="1:1" x14ac:dyDescent="0.25">
      <c r="A1271" s="38"/>
    </row>
    <row r="1272" spans="1:1" x14ac:dyDescent="0.25">
      <c r="A1272" s="38"/>
    </row>
    <row r="1273" spans="1:1" x14ac:dyDescent="0.25">
      <c r="A1273" s="38"/>
    </row>
    <row r="1274" spans="1:1" x14ac:dyDescent="0.25">
      <c r="A1274" s="38"/>
    </row>
    <row r="1275" spans="1:1" x14ac:dyDescent="0.25">
      <c r="A1275" s="38"/>
    </row>
    <row r="1276" spans="1:1" x14ac:dyDescent="0.25">
      <c r="A1276" s="38"/>
    </row>
    <row r="1277" spans="1:1" x14ac:dyDescent="0.25">
      <c r="A1277" s="38"/>
    </row>
    <row r="1278" spans="1:1" x14ac:dyDescent="0.25">
      <c r="A1278" s="38"/>
    </row>
    <row r="1279" spans="1:1" x14ac:dyDescent="0.25">
      <c r="A1279" s="38"/>
    </row>
    <row r="1280" spans="1:1" x14ac:dyDescent="0.25">
      <c r="A1280" s="38"/>
    </row>
    <row r="1281" spans="1:1" x14ac:dyDescent="0.25">
      <c r="A1281" s="38"/>
    </row>
    <row r="1282" spans="1:1" x14ac:dyDescent="0.25">
      <c r="A1282" s="38"/>
    </row>
    <row r="1283" spans="1:1" x14ac:dyDescent="0.25">
      <c r="A1283" s="38"/>
    </row>
    <row r="1284" spans="1:1" x14ac:dyDescent="0.25">
      <c r="A1284" s="38"/>
    </row>
    <row r="1285" spans="1:1" x14ac:dyDescent="0.25">
      <c r="A1285" s="38"/>
    </row>
    <row r="1286" spans="1:1" x14ac:dyDescent="0.25">
      <c r="A1286" s="38"/>
    </row>
    <row r="1287" spans="1:1" x14ac:dyDescent="0.25">
      <c r="A1287" s="38"/>
    </row>
    <row r="1288" spans="1:1" x14ac:dyDescent="0.25">
      <c r="A1288" s="38"/>
    </row>
    <row r="1289" spans="1:1" x14ac:dyDescent="0.25">
      <c r="A1289" s="38"/>
    </row>
    <row r="1290" spans="1:1" x14ac:dyDescent="0.25">
      <c r="A1290" s="38"/>
    </row>
    <row r="1291" spans="1:1" x14ac:dyDescent="0.25">
      <c r="A1291" s="38"/>
    </row>
    <row r="1292" spans="1:1" x14ac:dyDescent="0.25">
      <c r="A1292" s="38"/>
    </row>
    <row r="1293" spans="1:1" x14ac:dyDescent="0.25">
      <c r="A1293" s="38"/>
    </row>
    <row r="1294" spans="1:1" x14ac:dyDescent="0.25">
      <c r="A1294" s="38"/>
    </row>
    <row r="1295" spans="1:1" x14ac:dyDescent="0.25">
      <c r="A1295" s="38"/>
    </row>
    <row r="1296" spans="1:1" x14ac:dyDescent="0.25">
      <c r="A1296" s="38"/>
    </row>
    <row r="1297" spans="1:1" x14ac:dyDescent="0.25">
      <c r="A1297" s="38"/>
    </row>
    <row r="1298" spans="1:1" x14ac:dyDescent="0.25">
      <c r="A1298" s="38"/>
    </row>
    <row r="1299" spans="1:1" x14ac:dyDescent="0.25">
      <c r="A1299" s="38"/>
    </row>
    <row r="1300" spans="1:1" x14ac:dyDescent="0.25">
      <c r="A1300" s="38"/>
    </row>
    <row r="1301" spans="1:1" x14ac:dyDescent="0.25">
      <c r="A1301" s="38"/>
    </row>
    <row r="1302" spans="1:1" x14ac:dyDescent="0.25">
      <c r="A1302" s="38"/>
    </row>
    <row r="1303" spans="1:1" x14ac:dyDescent="0.25">
      <c r="A1303" s="38"/>
    </row>
    <row r="1304" spans="1:1" x14ac:dyDescent="0.25">
      <c r="A1304" s="38"/>
    </row>
    <row r="1305" spans="1:1" x14ac:dyDescent="0.25">
      <c r="A1305" s="38"/>
    </row>
    <row r="1306" spans="1:1" x14ac:dyDescent="0.25">
      <c r="A1306" s="38"/>
    </row>
    <row r="1307" spans="1:1" x14ac:dyDescent="0.25">
      <c r="A1307" s="38"/>
    </row>
    <row r="1308" spans="1:1" x14ac:dyDescent="0.25">
      <c r="A1308" s="38"/>
    </row>
    <row r="1309" spans="1:1" x14ac:dyDescent="0.25">
      <c r="A1309" s="38"/>
    </row>
    <row r="1310" spans="1:1" x14ac:dyDescent="0.25">
      <c r="A1310" s="38"/>
    </row>
    <row r="1311" spans="1:1" x14ac:dyDescent="0.25">
      <c r="A1311" s="38"/>
    </row>
    <row r="1312" spans="1:1" x14ac:dyDescent="0.25">
      <c r="A1312" s="38"/>
    </row>
    <row r="1313" spans="1:1" x14ac:dyDescent="0.25">
      <c r="A1313" s="38"/>
    </row>
    <row r="1314" spans="1:1" x14ac:dyDescent="0.25">
      <c r="A1314" s="38"/>
    </row>
    <row r="1315" spans="1:1" x14ac:dyDescent="0.25">
      <c r="A1315" s="38"/>
    </row>
    <row r="1316" spans="1:1" x14ac:dyDescent="0.25">
      <c r="A1316" s="38"/>
    </row>
    <row r="1317" spans="1:1" x14ac:dyDescent="0.25">
      <c r="A1317" s="38"/>
    </row>
    <row r="1318" spans="1:1" x14ac:dyDescent="0.25">
      <c r="A1318" s="38"/>
    </row>
    <row r="1319" spans="1:1" x14ac:dyDescent="0.25">
      <c r="A1319" s="38"/>
    </row>
    <row r="1320" spans="1:1" x14ac:dyDescent="0.25">
      <c r="A1320" s="38"/>
    </row>
    <row r="1321" spans="1:1" x14ac:dyDescent="0.25">
      <c r="A1321" s="38"/>
    </row>
    <row r="1322" spans="1:1" x14ac:dyDescent="0.25">
      <c r="A1322" s="38"/>
    </row>
    <row r="1323" spans="1:1" x14ac:dyDescent="0.25">
      <c r="A1323" s="38"/>
    </row>
    <row r="1324" spans="1:1" x14ac:dyDescent="0.25">
      <c r="A1324" s="38"/>
    </row>
    <row r="1325" spans="1:1" x14ac:dyDescent="0.25">
      <c r="A1325" s="38"/>
    </row>
    <row r="1326" spans="1:1" x14ac:dyDescent="0.25">
      <c r="A1326" s="38"/>
    </row>
    <row r="1327" spans="1:1" x14ac:dyDescent="0.25">
      <c r="A1327" s="38"/>
    </row>
    <row r="1328" spans="1:1" x14ac:dyDescent="0.25">
      <c r="A1328" s="38"/>
    </row>
    <row r="1329" spans="1:1" x14ac:dyDescent="0.25">
      <c r="A1329" s="38"/>
    </row>
    <row r="1330" spans="1:1" x14ac:dyDescent="0.25">
      <c r="A1330" s="38"/>
    </row>
    <row r="1331" spans="1:1" x14ac:dyDescent="0.25">
      <c r="A1331" s="38"/>
    </row>
    <row r="1332" spans="1:1" x14ac:dyDescent="0.25">
      <c r="A1332" s="38"/>
    </row>
    <row r="1333" spans="1:1" x14ac:dyDescent="0.25">
      <c r="A1333" s="38"/>
    </row>
    <row r="1334" spans="1:1" x14ac:dyDescent="0.25">
      <c r="A1334" s="38"/>
    </row>
    <row r="1335" spans="1:1" x14ac:dyDescent="0.25">
      <c r="A1335" s="38"/>
    </row>
    <row r="1336" spans="1:1" x14ac:dyDescent="0.25">
      <c r="A1336" s="38"/>
    </row>
    <row r="1337" spans="1:1" x14ac:dyDescent="0.25">
      <c r="A1337" s="38"/>
    </row>
    <row r="1338" spans="1:1" x14ac:dyDescent="0.25">
      <c r="A1338" s="38"/>
    </row>
    <row r="1339" spans="1:1" x14ac:dyDescent="0.25">
      <c r="A1339" s="38"/>
    </row>
    <row r="1340" spans="1:1" x14ac:dyDescent="0.25">
      <c r="A1340" s="38"/>
    </row>
    <row r="1341" spans="1:1" x14ac:dyDescent="0.25">
      <c r="A1341" s="38"/>
    </row>
    <row r="1342" spans="1:1" x14ac:dyDescent="0.25">
      <c r="A1342" s="38"/>
    </row>
    <row r="1343" spans="1:1" x14ac:dyDescent="0.25">
      <c r="A1343" s="38"/>
    </row>
    <row r="1344" spans="1:1" x14ac:dyDescent="0.25">
      <c r="A1344" s="38"/>
    </row>
    <row r="1345" spans="1:1" x14ac:dyDescent="0.25">
      <c r="A1345" s="38"/>
    </row>
    <row r="1346" spans="1:1" x14ac:dyDescent="0.25">
      <c r="A1346" s="38"/>
    </row>
    <row r="1347" spans="1:1" x14ac:dyDescent="0.25">
      <c r="A1347" s="38"/>
    </row>
    <row r="1348" spans="1:1" x14ac:dyDescent="0.25">
      <c r="A1348" s="38"/>
    </row>
    <row r="1349" spans="1:1" x14ac:dyDescent="0.25">
      <c r="A1349" s="38"/>
    </row>
    <row r="1350" spans="1:1" x14ac:dyDescent="0.25">
      <c r="A1350" s="38"/>
    </row>
    <row r="1351" spans="1:1" x14ac:dyDescent="0.25">
      <c r="A1351" s="38"/>
    </row>
    <row r="1352" spans="1:1" x14ac:dyDescent="0.25">
      <c r="A1352" s="38"/>
    </row>
    <row r="1353" spans="1:1" x14ac:dyDescent="0.25">
      <c r="A1353" s="38"/>
    </row>
    <row r="1354" spans="1:1" x14ac:dyDescent="0.25">
      <c r="A1354" s="38"/>
    </row>
    <row r="1355" spans="1:1" x14ac:dyDescent="0.25">
      <c r="A1355" s="38"/>
    </row>
    <row r="1356" spans="1:1" x14ac:dyDescent="0.25">
      <c r="A1356" s="38"/>
    </row>
    <row r="1357" spans="1:1" x14ac:dyDescent="0.25">
      <c r="A1357" s="38"/>
    </row>
    <row r="1358" spans="1:1" x14ac:dyDescent="0.25">
      <c r="A1358" s="38"/>
    </row>
    <row r="1359" spans="1:1" x14ac:dyDescent="0.25">
      <c r="A1359" s="38"/>
    </row>
    <row r="1360" spans="1:1" x14ac:dyDescent="0.25">
      <c r="A1360" s="38"/>
    </row>
    <row r="1361" spans="1:1" x14ac:dyDescent="0.25">
      <c r="A1361" s="38"/>
    </row>
    <row r="1362" spans="1:1" x14ac:dyDescent="0.25">
      <c r="A1362" s="38"/>
    </row>
    <row r="1363" spans="1:1" x14ac:dyDescent="0.25">
      <c r="A1363" s="38"/>
    </row>
    <row r="1364" spans="1:1" x14ac:dyDescent="0.25">
      <c r="A1364" s="38"/>
    </row>
    <row r="1365" spans="1:1" x14ac:dyDescent="0.25">
      <c r="A1365" s="38"/>
    </row>
    <row r="1366" spans="1:1" x14ac:dyDescent="0.25">
      <c r="A1366" s="38"/>
    </row>
    <row r="1367" spans="1:1" x14ac:dyDescent="0.25">
      <c r="A1367" s="38"/>
    </row>
    <row r="1368" spans="1:1" x14ac:dyDescent="0.25">
      <c r="A1368" s="38"/>
    </row>
    <row r="1369" spans="1:1" x14ac:dyDescent="0.25">
      <c r="A1369" s="38"/>
    </row>
    <row r="1370" spans="1:1" x14ac:dyDescent="0.25">
      <c r="A1370" s="38"/>
    </row>
    <row r="1371" spans="1:1" x14ac:dyDescent="0.25">
      <c r="A1371" s="38"/>
    </row>
    <row r="1372" spans="1:1" x14ac:dyDescent="0.25">
      <c r="A1372" s="38"/>
    </row>
    <row r="1373" spans="1:1" x14ac:dyDescent="0.25">
      <c r="A1373" s="38"/>
    </row>
    <row r="1374" spans="1:1" x14ac:dyDescent="0.25">
      <c r="A1374" s="38"/>
    </row>
    <row r="1375" spans="1:1" x14ac:dyDescent="0.25">
      <c r="A1375" s="38"/>
    </row>
    <row r="1376" spans="1:1" x14ac:dyDescent="0.25">
      <c r="A1376" s="38"/>
    </row>
    <row r="1377" spans="1:1" x14ac:dyDescent="0.25">
      <c r="A1377" s="38"/>
    </row>
    <row r="1378" spans="1:1" x14ac:dyDescent="0.25">
      <c r="A1378" s="38"/>
    </row>
    <row r="1379" spans="1:1" x14ac:dyDescent="0.25">
      <c r="A1379" s="38"/>
    </row>
    <row r="1380" spans="1:1" x14ac:dyDescent="0.25">
      <c r="A1380" s="38"/>
    </row>
    <row r="1381" spans="1:1" x14ac:dyDescent="0.25">
      <c r="A1381" s="38"/>
    </row>
    <row r="1382" spans="1:1" x14ac:dyDescent="0.25">
      <c r="A1382" s="38"/>
    </row>
    <row r="1383" spans="1:1" x14ac:dyDescent="0.25">
      <c r="A1383" s="38"/>
    </row>
    <row r="1384" spans="1:1" x14ac:dyDescent="0.25">
      <c r="A1384" s="38"/>
    </row>
    <row r="1385" spans="1:1" x14ac:dyDescent="0.25">
      <c r="A1385" s="38"/>
    </row>
    <row r="1386" spans="1:1" x14ac:dyDescent="0.25">
      <c r="A1386" s="38"/>
    </row>
    <row r="1387" spans="1:1" x14ac:dyDescent="0.25">
      <c r="A1387" s="38"/>
    </row>
    <row r="1388" spans="1:1" x14ac:dyDescent="0.25">
      <c r="A1388" s="38"/>
    </row>
    <row r="1389" spans="1:1" x14ac:dyDescent="0.25">
      <c r="A1389" s="38"/>
    </row>
    <row r="1390" spans="1:1" x14ac:dyDescent="0.25">
      <c r="A1390" s="38"/>
    </row>
    <row r="1391" spans="1:1" x14ac:dyDescent="0.25">
      <c r="A1391" s="38"/>
    </row>
    <row r="1392" spans="1:1" x14ac:dyDescent="0.25">
      <c r="A1392" s="38"/>
    </row>
    <row r="1393" spans="1:1" x14ac:dyDescent="0.25">
      <c r="A1393" s="38"/>
    </row>
    <row r="1394" spans="1:1" x14ac:dyDescent="0.25">
      <c r="A1394" s="38"/>
    </row>
    <row r="1395" spans="1:1" x14ac:dyDescent="0.25">
      <c r="A1395" s="38"/>
    </row>
    <row r="1396" spans="1:1" x14ac:dyDescent="0.25">
      <c r="A1396" s="38"/>
    </row>
    <row r="1397" spans="1:1" x14ac:dyDescent="0.25">
      <c r="A1397" s="38"/>
    </row>
    <row r="1398" spans="1:1" x14ac:dyDescent="0.25">
      <c r="A1398" s="38"/>
    </row>
    <row r="1399" spans="1:1" x14ac:dyDescent="0.25">
      <c r="A1399" s="38"/>
    </row>
    <row r="1400" spans="1:1" x14ac:dyDescent="0.25">
      <c r="A1400" s="38"/>
    </row>
    <row r="1401" spans="1:1" x14ac:dyDescent="0.25">
      <c r="A1401" s="38"/>
    </row>
    <row r="1402" spans="1:1" x14ac:dyDescent="0.25">
      <c r="A1402" s="38"/>
    </row>
    <row r="1403" spans="1:1" x14ac:dyDescent="0.25">
      <c r="A1403" s="38"/>
    </row>
    <row r="1404" spans="1:1" x14ac:dyDescent="0.25">
      <c r="A1404" s="38"/>
    </row>
    <row r="1405" spans="1:1" x14ac:dyDescent="0.25">
      <c r="A1405" s="38"/>
    </row>
    <row r="1406" spans="1:1" x14ac:dyDescent="0.25">
      <c r="A1406" s="38"/>
    </row>
    <row r="1407" spans="1:1" x14ac:dyDescent="0.25">
      <c r="A1407" s="38"/>
    </row>
    <row r="1408" spans="1:1" x14ac:dyDescent="0.25">
      <c r="A1408" s="38"/>
    </row>
    <row r="1409" spans="1:1" x14ac:dyDescent="0.25">
      <c r="A1409" s="38"/>
    </row>
    <row r="1410" spans="1:1" x14ac:dyDescent="0.25">
      <c r="A1410" s="38"/>
    </row>
    <row r="1411" spans="1:1" x14ac:dyDescent="0.25">
      <c r="A1411" s="38"/>
    </row>
    <row r="1412" spans="1:1" x14ac:dyDescent="0.25">
      <c r="A1412" s="38"/>
    </row>
    <row r="1413" spans="1:1" x14ac:dyDescent="0.25">
      <c r="A1413" s="38"/>
    </row>
    <row r="1414" spans="1:1" x14ac:dyDescent="0.25">
      <c r="A1414" s="38"/>
    </row>
    <row r="1415" spans="1:1" x14ac:dyDescent="0.25">
      <c r="A1415" s="38"/>
    </row>
    <row r="1416" spans="1:1" x14ac:dyDescent="0.25">
      <c r="A1416" s="38"/>
    </row>
    <row r="1417" spans="1:1" x14ac:dyDescent="0.25">
      <c r="A1417" s="38"/>
    </row>
    <row r="1418" spans="1:1" x14ac:dyDescent="0.25">
      <c r="A1418" s="38"/>
    </row>
    <row r="1419" spans="1:1" x14ac:dyDescent="0.25">
      <c r="A1419" s="38"/>
    </row>
    <row r="1420" spans="1:1" x14ac:dyDescent="0.25">
      <c r="A1420" s="38"/>
    </row>
    <row r="1421" spans="1:1" x14ac:dyDescent="0.25">
      <c r="A1421" s="38"/>
    </row>
    <row r="1422" spans="1:1" x14ac:dyDescent="0.25">
      <c r="A1422" s="38"/>
    </row>
    <row r="1423" spans="1:1" x14ac:dyDescent="0.25">
      <c r="A1423" s="38"/>
    </row>
    <row r="1424" spans="1:1" x14ac:dyDescent="0.25">
      <c r="A1424" s="38"/>
    </row>
    <row r="1425" spans="1:1" x14ac:dyDescent="0.25">
      <c r="A1425" s="38"/>
    </row>
    <row r="1426" spans="1:1" x14ac:dyDescent="0.25">
      <c r="A1426" s="38"/>
    </row>
    <row r="1427" spans="1:1" x14ac:dyDescent="0.25">
      <c r="A1427" s="38"/>
    </row>
    <row r="1428" spans="1:1" x14ac:dyDescent="0.25">
      <c r="A1428" s="38"/>
    </row>
    <row r="1429" spans="1:1" x14ac:dyDescent="0.25">
      <c r="A1429" s="38"/>
    </row>
    <row r="1430" spans="1:1" x14ac:dyDescent="0.25">
      <c r="A1430" s="38"/>
    </row>
    <row r="1431" spans="1:1" x14ac:dyDescent="0.25">
      <c r="A1431" s="38"/>
    </row>
    <row r="1432" spans="1:1" x14ac:dyDescent="0.25">
      <c r="A1432" s="38"/>
    </row>
    <row r="1433" spans="1:1" x14ac:dyDescent="0.25">
      <c r="A1433" s="38"/>
    </row>
    <row r="1434" spans="1:1" x14ac:dyDescent="0.25">
      <c r="A1434" s="38"/>
    </row>
    <row r="1435" spans="1:1" x14ac:dyDescent="0.25">
      <c r="A1435" s="38"/>
    </row>
    <row r="1436" spans="1:1" x14ac:dyDescent="0.25">
      <c r="A1436" s="38"/>
    </row>
    <row r="1437" spans="1:1" x14ac:dyDescent="0.25">
      <c r="A1437" s="38"/>
    </row>
    <row r="1438" spans="1:1" x14ac:dyDescent="0.25">
      <c r="A1438" s="38"/>
    </row>
    <row r="1439" spans="1:1" x14ac:dyDescent="0.25">
      <c r="A1439" s="38"/>
    </row>
    <row r="1440" spans="1:1" x14ac:dyDescent="0.25">
      <c r="A1440" s="38"/>
    </row>
    <row r="1441" spans="1:1" x14ac:dyDescent="0.25">
      <c r="A1441" s="38"/>
    </row>
    <row r="1442" spans="1:1" x14ac:dyDescent="0.25">
      <c r="A1442" s="38"/>
    </row>
    <row r="1443" spans="1:1" x14ac:dyDescent="0.25">
      <c r="A1443" s="38"/>
    </row>
    <row r="1444" spans="1:1" x14ac:dyDescent="0.25">
      <c r="A1444" s="38"/>
    </row>
    <row r="1445" spans="1:1" x14ac:dyDescent="0.25">
      <c r="A1445" s="38"/>
    </row>
    <row r="1446" spans="1:1" x14ac:dyDescent="0.25">
      <c r="A1446" s="38"/>
    </row>
    <row r="1447" spans="1:1" x14ac:dyDescent="0.25">
      <c r="A1447" s="38"/>
    </row>
    <row r="1448" spans="1:1" x14ac:dyDescent="0.25">
      <c r="A1448" s="38"/>
    </row>
    <row r="1449" spans="1:1" x14ac:dyDescent="0.25">
      <c r="A1449" s="38"/>
    </row>
    <row r="1450" spans="1:1" x14ac:dyDescent="0.25">
      <c r="A1450" s="38"/>
    </row>
    <row r="1451" spans="1:1" x14ac:dyDescent="0.25">
      <c r="A1451" s="38"/>
    </row>
    <row r="1452" spans="1:1" x14ac:dyDescent="0.25">
      <c r="A1452" s="38"/>
    </row>
    <row r="1453" spans="1:1" x14ac:dyDescent="0.25">
      <c r="A1453" s="38"/>
    </row>
    <row r="1454" spans="1:1" x14ac:dyDescent="0.25">
      <c r="A1454" s="38"/>
    </row>
    <row r="1455" spans="1:1" x14ac:dyDescent="0.25">
      <c r="A1455" s="38"/>
    </row>
    <row r="1456" spans="1:1" x14ac:dyDescent="0.25">
      <c r="A1456" s="38"/>
    </row>
    <row r="1457" spans="1:1" x14ac:dyDescent="0.25">
      <c r="A1457" s="38"/>
    </row>
    <row r="1458" spans="1:1" x14ac:dyDescent="0.25">
      <c r="A1458" s="38"/>
    </row>
    <row r="1459" spans="1:1" x14ac:dyDescent="0.25">
      <c r="A1459" s="38"/>
    </row>
    <row r="1460" spans="1:1" x14ac:dyDescent="0.25">
      <c r="A1460" s="38"/>
    </row>
    <row r="1461" spans="1:1" x14ac:dyDescent="0.25">
      <c r="A1461" s="38"/>
    </row>
    <row r="1462" spans="1:1" x14ac:dyDescent="0.25">
      <c r="A1462" s="38"/>
    </row>
    <row r="1463" spans="1:1" x14ac:dyDescent="0.25">
      <c r="A1463" s="38"/>
    </row>
    <row r="1464" spans="1:1" x14ac:dyDescent="0.25">
      <c r="A1464" s="38"/>
    </row>
    <row r="1465" spans="1:1" x14ac:dyDescent="0.25">
      <c r="A1465" s="38"/>
    </row>
    <row r="1466" spans="1:1" x14ac:dyDescent="0.25">
      <c r="A1466" s="38"/>
    </row>
    <row r="1467" spans="1:1" x14ac:dyDescent="0.25">
      <c r="A1467" s="38"/>
    </row>
    <row r="1468" spans="1:1" x14ac:dyDescent="0.25">
      <c r="A1468" s="38"/>
    </row>
    <row r="1469" spans="1:1" x14ac:dyDescent="0.25">
      <c r="A1469" s="38"/>
    </row>
    <row r="1470" spans="1:1" x14ac:dyDescent="0.25">
      <c r="A1470" s="38"/>
    </row>
    <row r="1471" spans="1:1" x14ac:dyDescent="0.25">
      <c r="A1471" s="38"/>
    </row>
    <row r="1472" spans="1:1" x14ac:dyDescent="0.25">
      <c r="A1472" s="38"/>
    </row>
    <row r="1473" spans="1:1" x14ac:dyDescent="0.25">
      <c r="A1473" s="38"/>
    </row>
    <row r="1474" spans="1:1" x14ac:dyDescent="0.25">
      <c r="A1474" s="38"/>
    </row>
    <row r="1475" spans="1:1" x14ac:dyDescent="0.25">
      <c r="A1475" s="38"/>
    </row>
    <row r="1476" spans="1:1" x14ac:dyDescent="0.25">
      <c r="A1476" s="38"/>
    </row>
    <row r="1477" spans="1:1" x14ac:dyDescent="0.25">
      <c r="A1477" s="38"/>
    </row>
    <row r="1478" spans="1:1" x14ac:dyDescent="0.25">
      <c r="A1478" s="38"/>
    </row>
    <row r="1479" spans="1:1" x14ac:dyDescent="0.25">
      <c r="A1479" s="38"/>
    </row>
    <row r="1480" spans="1:1" x14ac:dyDescent="0.25">
      <c r="A1480" s="38"/>
    </row>
    <row r="1481" spans="1:1" x14ac:dyDescent="0.25">
      <c r="A1481" s="38"/>
    </row>
    <row r="1482" spans="1:1" x14ac:dyDescent="0.25">
      <c r="A1482" s="38"/>
    </row>
    <row r="1483" spans="1:1" x14ac:dyDescent="0.25">
      <c r="A1483" s="38"/>
    </row>
    <row r="1484" spans="1:1" x14ac:dyDescent="0.25">
      <c r="A1484" s="38"/>
    </row>
    <row r="1485" spans="1:1" x14ac:dyDescent="0.25">
      <c r="A1485" s="38"/>
    </row>
    <row r="1486" spans="1:1" x14ac:dyDescent="0.25">
      <c r="A1486" s="38"/>
    </row>
    <row r="1487" spans="1:1" x14ac:dyDescent="0.25">
      <c r="A1487" s="38"/>
    </row>
    <row r="1488" spans="1:1" x14ac:dyDescent="0.25">
      <c r="A1488" s="38"/>
    </row>
    <row r="1489" spans="1:1" x14ac:dyDescent="0.25">
      <c r="A1489" s="38"/>
    </row>
    <row r="1490" spans="1:1" x14ac:dyDescent="0.25">
      <c r="A1490" s="38"/>
    </row>
    <row r="1491" spans="1:1" x14ac:dyDescent="0.25">
      <c r="A1491" s="38"/>
    </row>
    <row r="1492" spans="1:1" x14ac:dyDescent="0.25">
      <c r="A1492" s="38"/>
    </row>
    <row r="1493" spans="1:1" x14ac:dyDescent="0.25">
      <c r="A1493" s="38"/>
    </row>
    <row r="1494" spans="1:1" x14ac:dyDescent="0.25">
      <c r="A1494" s="38"/>
    </row>
    <row r="1495" spans="1:1" x14ac:dyDescent="0.25">
      <c r="A1495" s="38"/>
    </row>
    <row r="1496" spans="1:1" x14ac:dyDescent="0.25">
      <c r="A1496" s="38"/>
    </row>
    <row r="1497" spans="1:1" x14ac:dyDescent="0.25">
      <c r="A1497" s="38"/>
    </row>
    <row r="1498" spans="1:1" x14ac:dyDescent="0.25">
      <c r="A1498" s="38"/>
    </row>
    <row r="1499" spans="1:1" x14ac:dyDescent="0.25">
      <c r="A1499" s="38"/>
    </row>
    <row r="1500" spans="1:1" x14ac:dyDescent="0.25">
      <c r="A1500" s="38"/>
    </row>
    <row r="1501" spans="1:1" x14ac:dyDescent="0.25">
      <c r="A1501" s="38"/>
    </row>
    <row r="1502" spans="1:1" x14ac:dyDescent="0.25">
      <c r="A1502" s="38"/>
    </row>
    <row r="1503" spans="1:1" x14ac:dyDescent="0.25">
      <c r="A1503" s="38"/>
    </row>
    <row r="1504" spans="1:1" x14ac:dyDescent="0.25">
      <c r="A1504" s="38"/>
    </row>
    <row r="1505" spans="1:1" x14ac:dyDescent="0.25">
      <c r="A1505" s="38"/>
    </row>
    <row r="1506" spans="1:1" x14ac:dyDescent="0.25">
      <c r="A1506" s="38"/>
    </row>
    <row r="1507" spans="1:1" x14ac:dyDescent="0.25">
      <c r="A1507" s="38"/>
    </row>
    <row r="1508" spans="1:1" x14ac:dyDescent="0.25">
      <c r="A1508" s="38"/>
    </row>
    <row r="1509" spans="1:1" x14ac:dyDescent="0.25">
      <c r="A1509" s="38"/>
    </row>
    <row r="1510" spans="1:1" x14ac:dyDescent="0.25">
      <c r="A1510" s="38"/>
    </row>
    <row r="1511" spans="1:1" x14ac:dyDescent="0.25">
      <c r="A1511" s="38"/>
    </row>
    <row r="1512" spans="1:1" x14ac:dyDescent="0.25">
      <c r="A1512" s="38"/>
    </row>
    <row r="1513" spans="1:1" x14ac:dyDescent="0.25">
      <c r="A1513" s="38"/>
    </row>
    <row r="1514" spans="1:1" x14ac:dyDescent="0.25">
      <c r="A1514" s="38"/>
    </row>
    <row r="1515" spans="1:1" x14ac:dyDescent="0.25">
      <c r="A1515" s="38"/>
    </row>
    <row r="1516" spans="1:1" x14ac:dyDescent="0.25">
      <c r="A1516" s="38"/>
    </row>
    <row r="1517" spans="1:1" x14ac:dyDescent="0.25">
      <c r="A1517" s="38"/>
    </row>
    <row r="1518" spans="1:1" x14ac:dyDescent="0.25">
      <c r="A1518" s="38"/>
    </row>
    <row r="1519" spans="1:1" x14ac:dyDescent="0.25">
      <c r="A1519" s="38"/>
    </row>
    <row r="1520" spans="1:1" x14ac:dyDescent="0.25">
      <c r="A1520" s="38"/>
    </row>
    <row r="1521" spans="1:1" x14ac:dyDescent="0.25">
      <c r="A1521" s="38"/>
    </row>
    <row r="1522" spans="1:1" x14ac:dyDescent="0.25">
      <c r="A1522" s="38"/>
    </row>
    <row r="1523" spans="1:1" x14ac:dyDescent="0.25">
      <c r="A1523" s="38"/>
    </row>
    <row r="1524" spans="1:1" x14ac:dyDescent="0.25">
      <c r="A1524" s="38"/>
    </row>
    <row r="1525" spans="1:1" x14ac:dyDescent="0.25">
      <c r="A1525" s="38"/>
    </row>
    <row r="1526" spans="1:1" x14ac:dyDescent="0.25">
      <c r="A1526" s="38"/>
    </row>
    <row r="1527" spans="1:1" x14ac:dyDescent="0.25">
      <c r="A1527" s="38"/>
    </row>
    <row r="1528" spans="1:1" x14ac:dyDescent="0.25">
      <c r="A1528" s="38"/>
    </row>
    <row r="1529" spans="1:1" x14ac:dyDescent="0.25">
      <c r="A1529" s="38"/>
    </row>
    <row r="1530" spans="1:1" x14ac:dyDescent="0.25">
      <c r="A1530" s="38"/>
    </row>
    <row r="1531" spans="1:1" x14ac:dyDescent="0.25">
      <c r="A1531" s="38"/>
    </row>
    <row r="1532" spans="1:1" x14ac:dyDescent="0.25">
      <c r="A1532" s="38"/>
    </row>
    <row r="1533" spans="1:1" x14ac:dyDescent="0.25">
      <c r="A1533" s="38"/>
    </row>
    <row r="1534" spans="1:1" x14ac:dyDescent="0.25">
      <c r="A1534" s="38"/>
    </row>
    <row r="1535" spans="1:1" x14ac:dyDescent="0.25">
      <c r="A1535" s="38"/>
    </row>
    <row r="1536" spans="1:1" x14ac:dyDescent="0.25">
      <c r="A1536" s="38"/>
    </row>
    <row r="1537" spans="1:1" x14ac:dyDescent="0.25">
      <c r="A1537" s="38"/>
    </row>
    <row r="1538" spans="1:1" x14ac:dyDescent="0.25">
      <c r="A1538" s="38"/>
    </row>
    <row r="1539" spans="1:1" x14ac:dyDescent="0.25">
      <c r="A1539" s="38"/>
    </row>
    <row r="1540" spans="1:1" x14ac:dyDescent="0.25">
      <c r="A1540" s="38"/>
    </row>
    <row r="1541" spans="1:1" x14ac:dyDescent="0.25">
      <c r="A1541" s="38"/>
    </row>
    <row r="1542" spans="1:1" x14ac:dyDescent="0.25">
      <c r="A1542" s="38"/>
    </row>
    <row r="1543" spans="1:1" x14ac:dyDescent="0.25">
      <c r="A1543" s="38"/>
    </row>
    <row r="1544" spans="1:1" x14ac:dyDescent="0.25">
      <c r="A1544" s="38"/>
    </row>
    <row r="1545" spans="1:1" x14ac:dyDescent="0.25">
      <c r="A1545" s="38"/>
    </row>
    <row r="1546" spans="1:1" x14ac:dyDescent="0.25">
      <c r="A1546" s="38"/>
    </row>
    <row r="1547" spans="1:1" x14ac:dyDescent="0.25">
      <c r="A1547" s="38"/>
    </row>
    <row r="1548" spans="1:1" x14ac:dyDescent="0.25">
      <c r="A1548" s="38"/>
    </row>
    <row r="1549" spans="1:1" x14ac:dyDescent="0.25">
      <c r="A1549" s="38"/>
    </row>
    <row r="1550" spans="1:1" x14ac:dyDescent="0.25">
      <c r="A1550" s="38"/>
    </row>
    <row r="1551" spans="1:1" x14ac:dyDescent="0.25">
      <c r="A1551" s="38"/>
    </row>
    <row r="1552" spans="1:1" x14ac:dyDescent="0.25">
      <c r="A1552" s="38"/>
    </row>
    <row r="1553" spans="1:1" x14ac:dyDescent="0.25">
      <c r="A1553" s="38"/>
    </row>
    <row r="1554" spans="1:1" x14ac:dyDescent="0.25">
      <c r="A1554" s="38"/>
    </row>
    <row r="1555" spans="1:1" x14ac:dyDescent="0.25">
      <c r="A1555" s="38"/>
    </row>
    <row r="1556" spans="1:1" x14ac:dyDescent="0.25">
      <c r="A1556" s="38"/>
    </row>
    <row r="1557" spans="1:1" x14ac:dyDescent="0.25">
      <c r="A1557" s="38"/>
    </row>
    <row r="1558" spans="1:1" x14ac:dyDescent="0.25">
      <c r="A1558" s="38"/>
    </row>
    <row r="1559" spans="1:1" x14ac:dyDescent="0.25">
      <c r="A1559" s="38"/>
    </row>
    <row r="1560" spans="1:1" x14ac:dyDescent="0.25">
      <c r="A1560" s="38"/>
    </row>
    <row r="1561" spans="1:1" x14ac:dyDescent="0.25">
      <c r="A1561" s="38"/>
    </row>
    <row r="1562" spans="1:1" x14ac:dyDescent="0.25">
      <c r="A1562" s="38"/>
    </row>
    <row r="1563" spans="1:1" x14ac:dyDescent="0.25">
      <c r="A1563" s="38"/>
    </row>
    <row r="1564" spans="1:1" x14ac:dyDescent="0.25">
      <c r="A1564" s="38"/>
    </row>
    <row r="1565" spans="1:1" x14ac:dyDescent="0.25">
      <c r="A1565" s="38"/>
    </row>
    <row r="1566" spans="1:1" x14ac:dyDescent="0.25">
      <c r="A1566" s="38"/>
    </row>
    <row r="1567" spans="1:1" x14ac:dyDescent="0.25">
      <c r="A1567" s="38"/>
    </row>
    <row r="1568" spans="1:1" x14ac:dyDescent="0.25">
      <c r="A1568" s="38"/>
    </row>
    <row r="1569" spans="1:1" x14ac:dyDescent="0.25">
      <c r="A1569" s="38"/>
    </row>
    <row r="1570" spans="1:1" x14ac:dyDescent="0.25">
      <c r="A1570" s="38"/>
    </row>
    <row r="1571" spans="1:1" x14ac:dyDescent="0.25">
      <c r="A1571" s="38"/>
    </row>
    <row r="1572" spans="1:1" x14ac:dyDescent="0.25">
      <c r="A1572" s="38"/>
    </row>
    <row r="1573" spans="1:1" x14ac:dyDescent="0.25">
      <c r="A1573" s="38"/>
    </row>
    <row r="1574" spans="1:1" x14ac:dyDescent="0.25">
      <c r="A1574" s="38"/>
    </row>
    <row r="1575" spans="1:1" x14ac:dyDescent="0.25">
      <c r="A1575" s="38"/>
    </row>
    <row r="1576" spans="1:1" x14ac:dyDescent="0.25">
      <c r="A1576" s="38"/>
    </row>
    <row r="1577" spans="1:1" x14ac:dyDescent="0.25">
      <c r="A1577" s="38"/>
    </row>
    <row r="1578" spans="1:1" x14ac:dyDescent="0.25">
      <c r="A1578" s="38"/>
    </row>
    <row r="1579" spans="1:1" x14ac:dyDescent="0.25">
      <c r="A1579" s="38"/>
    </row>
    <row r="1580" spans="1:1" x14ac:dyDescent="0.25">
      <c r="A1580" s="38"/>
    </row>
    <row r="1581" spans="1:1" x14ac:dyDescent="0.25">
      <c r="A1581" s="38"/>
    </row>
    <row r="1582" spans="1:1" x14ac:dyDescent="0.25">
      <c r="A1582" s="38"/>
    </row>
    <row r="1583" spans="1:1" x14ac:dyDescent="0.25">
      <c r="A1583" s="38"/>
    </row>
    <row r="1584" spans="1:1" x14ac:dyDescent="0.25">
      <c r="A1584" s="38"/>
    </row>
    <row r="1585" spans="1:1" x14ac:dyDescent="0.25">
      <c r="A1585" s="38"/>
    </row>
    <row r="1586" spans="1:1" x14ac:dyDescent="0.25">
      <c r="A1586" s="38"/>
    </row>
    <row r="1587" spans="1:1" x14ac:dyDescent="0.25">
      <c r="A1587" s="38"/>
    </row>
    <row r="1588" spans="1:1" x14ac:dyDescent="0.25">
      <c r="A1588" s="38"/>
    </row>
    <row r="1589" spans="1:1" x14ac:dyDescent="0.25">
      <c r="A1589" s="38"/>
    </row>
    <row r="1590" spans="1:1" x14ac:dyDescent="0.25">
      <c r="A1590" s="38"/>
    </row>
    <row r="1591" spans="1:1" x14ac:dyDescent="0.25">
      <c r="A1591" s="38"/>
    </row>
    <row r="1592" spans="1:1" x14ac:dyDescent="0.25">
      <c r="A1592" s="38"/>
    </row>
    <row r="1593" spans="1:1" x14ac:dyDescent="0.25">
      <c r="A1593" s="38"/>
    </row>
    <row r="1594" spans="1:1" x14ac:dyDescent="0.25">
      <c r="A1594" s="38"/>
    </row>
    <row r="1595" spans="1:1" x14ac:dyDescent="0.25">
      <c r="A1595" s="38"/>
    </row>
    <row r="1596" spans="1:1" x14ac:dyDescent="0.25">
      <c r="A1596" s="38"/>
    </row>
    <row r="1597" spans="1:1" x14ac:dyDescent="0.25">
      <c r="A1597" s="38"/>
    </row>
    <row r="1598" spans="1:1" x14ac:dyDescent="0.25">
      <c r="A1598" s="38"/>
    </row>
    <row r="1599" spans="1:1" x14ac:dyDescent="0.25">
      <c r="A1599" s="38"/>
    </row>
    <row r="1600" spans="1:1" x14ac:dyDescent="0.25">
      <c r="A1600" s="38"/>
    </row>
    <row r="1601" spans="1:1" x14ac:dyDescent="0.25">
      <c r="A1601" s="38"/>
    </row>
    <row r="1602" spans="1:1" x14ac:dyDescent="0.25">
      <c r="A1602" s="38"/>
    </row>
    <row r="1603" spans="1:1" x14ac:dyDescent="0.25">
      <c r="A1603" s="38"/>
    </row>
    <row r="1604" spans="1:1" x14ac:dyDescent="0.25">
      <c r="A1604" s="38"/>
    </row>
    <row r="1605" spans="1:1" x14ac:dyDescent="0.25">
      <c r="A1605" s="38"/>
    </row>
    <row r="1606" spans="1:1" x14ac:dyDescent="0.25">
      <c r="A1606" s="38"/>
    </row>
    <row r="1607" spans="1:1" x14ac:dyDescent="0.25">
      <c r="A1607" s="38"/>
    </row>
    <row r="1608" spans="1:1" x14ac:dyDescent="0.25">
      <c r="A1608" s="38"/>
    </row>
    <row r="1609" spans="1:1" x14ac:dyDescent="0.25">
      <c r="A1609" s="38"/>
    </row>
    <row r="1610" spans="1:1" x14ac:dyDescent="0.25">
      <c r="A1610" s="38"/>
    </row>
    <row r="1611" spans="1:1" x14ac:dyDescent="0.25">
      <c r="A1611" s="38"/>
    </row>
    <row r="1612" spans="1:1" x14ac:dyDescent="0.25">
      <c r="A1612" s="38"/>
    </row>
    <row r="1613" spans="1:1" x14ac:dyDescent="0.25">
      <c r="A1613" s="38"/>
    </row>
    <row r="1614" spans="1:1" x14ac:dyDescent="0.25">
      <c r="A1614" s="38"/>
    </row>
    <row r="1615" spans="1:1" x14ac:dyDescent="0.25">
      <c r="A1615" s="38"/>
    </row>
    <row r="1616" spans="1:1" x14ac:dyDescent="0.25">
      <c r="A1616" s="38"/>
    </row>
    <row r="1617" spans="1:1" x14ac:dyDescent="0.25">
      <c r="A1617" s="38"/>
    </row>
    <row r="1618" spans="1:1" x14ac:dyDescent="0.25">
      <c r="A1618" s="38"/>
    </row>
    <row r="1619" spans="1:1" x14ac:dyDescent="0.25">
      <c r="A1619" s="38"/>
    </row>
    <row r="1620" spans="1:1" x14ac:dyDescent="0.25">
      <c r="A1620" s="38"/>
    </row>
    <row r="1621" spans="1:1" x14ac:dyDescent="0.25">
      <c r="A1621" s="38"/>
    </row>
    <row r="1622" spans="1:1" x14ac:dyDescent="0.25">
      <c r="A1622" s="38"/>
    </row>
    <row r="1623" spans="1:1" x14ac:dyDescent="0.25">
      <c r="A1623" s="38"/>
    </row>
    <row r="1624" spans="1:1" x14ac:dyDescent="0.25">
      <c r="A1624" s="38"/>
    </row>
    <row r="1625" spans="1:1" x14ac:dyDescent="0.25">
      <c r="A1625" s="38"/>
    </row>
    <row r="1626" spans="1:1" x14ac:dyDescent="0.25">
      <c r="A1626" s="38"/>
    </row>
    <row r="1627" spans="1:1" x14ac:dyDescent="0.25">
      <c r="A1627" s="38"/>
    </row>
    <row r="1628" spans="1:1" x14ac:dyDescent="0.25">
      <c r="A1628" s="38"/>
    </row>
    <row r="1629" spans="1:1" x14ac:dyDescent="0.25">
      <c r="A1629" s="38"/>
    </row>
    <row r="1630" spans="1:1" x14ac:dyDescent="0.25">
      <c r="A1630" s="38"/>
    </row>
    <row r="1631" spans="1:1" x14ac:dyDescent="0.25">
      <c r="A1631" s="38"/>
    </row>
    <row r="1632" spans="1:1" x14ac:dyDescent="0.25">
      <c r="A1632" s="38"/>
    </row>
    <row r="1633" spans="1:1" x14ac:dyDescent="0.25">
      <c r="A1633" s="38"/>
    </row>
    <row r="1634" spans="1:1" x14ac:dyDescent="0.25">
      <c r="A1634" s="38"/>
    </row>
    <row r="1635" spans="1:1" x14ac:dyDescent="0.25">
      <c r="A1635" s="38"/>
    </row>
    <row r="1636" spans="1:1" x14ac:dyDescent="0.25">
      <c r="A1636" s="38"/>
    </row>
    <row r="1637" spans="1:1" x14ac:dyDescent="0.25">
      <c r="A1637" s="38"/>
    </row>
    <row r="1638" spans="1:1" x14ac:dyDescent="0.25">
      <c r="A1638" s="38"/>
    </row>
    <row r="1639" spans="1:1" x14ac:dyDescent="0.25">
      <c r="A1639" s="38"/>
    </row>
    <row r="1640" spans="1:1" x14ac:dyDescent="0.25">
      <c r="A1640" s="38"/>
    </row>
    <row r="1641" spans="1:1" x14ac:dyDescent="0.25">
      <c r="A1641" s="38"/>
    </row>
    <row r="1642" spans="1:1" x14ac:dyDescent="0.25">
      <c r="A1642" s="38"/>
    </row>
    <row r="1643" spans="1:1" x14ac:dyDescent="0.25">
      <c r="A1643" s="38"/>
    </row>
    <row r="1644" spans="1:1" x14ac:dyDescent="0.25">
      <c r="A1644" s="38"/>
    </row>
    <row r="1645" spans="1:1" x14ac:dyDescent="0.25">
      <c r="A1645" s="38"/>
    </row>
    <row r="1646" spans="1:1" x14ac:dyDescent="0.25">
      <c r="A1646" s="38"/>
    </row>
    <row r="1647" spans="1:1" x14ac:dyDescent="0.25">
      <c r="A1647" s="38"/>
    </row>
    <row r="1648" spans="1:1" x14ac:dyDescent="0.25">
      <c r="A1648" s="38"/>
    </row>
    <row r="1649" spans="1:1" x14ac:dyDescent="0.25">
      <c r="A1649" s="38"/>
    </row>
    <row r="1650" spans="1:1" x14ac:dyDescent="0.25">
      <c r="A1650" s="38"/>
    </row>
    <row r="1651" spans="1:1" x14ac:dyDescent="0.25">
      <c r="A1651" s="38"/>
    </row>
    <row r="1652" spans="1:1" x14ac:dyDescent="0.25">
      <c r="A1652" s="38"/>
    </row>
    <row r="1653" spans="1:1" x14ac:dyDescent="0.25">
      <c r="A1653" s="38"/>
    </row>
    <row r="1654" spans="1:1" x14ac:dyDescent="0.25">
      <c r="A1654" s="38"/>
    </row>
    <row r="1655" spans="1:1" x14ac:dyDescent="0.25">
      <c r="A1655" s="38"/>
    </row>
    <row r="1656" spans="1:1" x14ac:dyDescent="0.25">
      <c r="A1656" s="38"/>
    </row>
    <row r="1657" spans="1:1" x14ac:dyDescent="0.25">
      <c r="A1657" s="38"/>
    </row>
    <row r="1658" spans="1:1" x14ac:dyDescent="0.25">
      <c r="A1658" s="38"/>
    </row>
    <row r="1659" spans="1:1" x14ac:dyDescent="0.25">
      <c r="A1659" s="38"/>
    </row>
    <row r="1660" spans="1:1" x14ac:dyDescent="0.25">
      <c r="A1660" s="38"/>
    </row>
    <row r="1661" spans="1:1" x14ac:dyDescent="0.25">
      <c r="A1661" s="38"/>
    </row>
    <row r="1662" spans="1:1" x14ac:dyDescent="0.25">
      <c r="A1662" s="38"/>
    </row>
    <row r="1663" spans="1:1" x14ac:dyDescent="0.25">
      <c r="A1663" s="38"/>
    </row>
    <row r="1664" spans="1:1" x14ac:dyDescent="0.25">
      <c r="A1664" s="38"/>
    </row>
    <row r="1665" spans="1:1" x14ac:dyDescent="0.25">
      <c r="A1665" s="38"/>
    </row>
    <row r="1666" spans="1:1" x14ac:dyDescent="0.25">
      <c r="A1666" s="38"/>
    </row>
    <row r="1667" spans="1:1" x14ac:dyDescent="0.25">
      <c r="A1667" s="38"/>
    </row>
    <row r="1668" spans="1:1" x14ac:dyDescent="0.25">
      <c r="A1668" s="38"/>
    </row>
    <row r="1669" spans="1:1" x14ac:dyDescent="0.25">
      <c r="A1669" s="38"/>
    </row>
    <row r="1670" spans="1:1" x14ac:dyDescent="0.25">
      <c r="A1670" s="38"/>
    </row>
    <row r="1671" spans="1:1" x14ac:dyDescent="0.25">
      <c r="A1671" s="38"/>
    </row>
    <row r="1672" spans="1:1" x14ac:dyDescent="0.25">
      <c r="A1672" s="38"/>
    </row>
    <row r="1673" spans="1:1" x14ac:dyDescent="0.25">
      <c r="A1673" s="38"/>
    </row>
    <row r="1674" spans="1:1" x14ac:dyDescent="0.25">
      <c r="A1674" s="38"/>
    </row>
    <row r="1675" spans="1:1" x14ac:dyDescent="0.25">
      <c r="A1675" s="38"/>
    </row>
    <row r="1676" spans="1:1" x14ac:dyDescent="0.25">
      <c r="A1676" s="38"/>
    </row>
    <row r="1677" spans="1:1" x14ac:dyDescent="0.25">
      <c r="A1677" s="38"/>
    </row>
    <row r="1678" spans="1:1" x14ac:dyDescent="0.25">
      <c r="A1678" s="38"/>
    </row>
    <row r="1679" spans="1:1" x14ac:dyDescent="0.25">
      <c r="A1679" s="38"/>
    </row>
    <row r="1680" spans="1:1" x14ac:dyDescent="0.25">
      <c r="A1680" s="38"/>
    </row>
    <row r="1681" spans="1:1" x14ac:dyDescent="0.25">
      <c r="A1681" s="38"/>
    </row>
    <row r="1682" spans="1:1" x14ac:dyDescent="0.25">
      <c r="A1682" s="38"/>
    </row>
    <row r="1683" spans="1:1" x14ac:dyDescent="0.25">
      <c r="A1683" s="38"/>
    </row>
    <row r="1684" spans="1:1" x14ac:dyDescent="0.25">
      <c r="A1684" s="38"/>
    </row>
    <row r="1685" spans="1:1" x14ac:dyDescent="0.25">
      <c r="A1685" s="38"/>
    </row>
    <row r="1686" spans="1:1" x14ac:dyDescent="0.25">
      <c r="A1686" s="38"/>
    </row>
    <row r="1687" spans="1:1" x14ac:dyDescent="0.25">
      <c r="A1687" s="38"/>
    </row>
    <row r="1688" spans="1:1" x14ac:dyDescent="0.25">
      <c r="A1688" s="38"/>
    </row>
    <row r="1689" spans="1:1" x14ac:dyDescent="0.25">
      <c r="A1689" s="38"/>
    </row>
    <row r="1690" spans="1:1" x14ac:dyDescent="0.25">
      <c r="A1690" s="38"/>
    </row>
    <row r="1691" spans="1:1" x14ac:dyDescent="0.25">
      <c r="A1691" s="38"/>
    </row>
    <row r="1692" spans="1:1" x14ac:dyDescent="0.25">
      <c r="A1692" s="38"/>
    </row>
    <row r="1693" spans="1:1" x14ac:dyDescent="0.25">
      <c r="A1693" s="38"/>
    </row>
    <row r="1694" spans="1:1" x14ac:dyDescent="0.25">
      <c r="A1694" s="38"/>
    </row>
    <row r="1695" spans="1:1" x14ac:dyDescent="0.25">
      <c r="A1695" s="38"/>
    </row>
    <row r="1696" spans="1:1" x14ac:dyDescent="0.25">
      <c r="A1696" s="38"/>
    </row>
    <row r="1697" spans="1:1" x14ac:dyDescent="0.25">
      <c r="A1697" s="38"/>
    </row>
    <row r="1698" spans="1:1" x14ac:dyDescent="0.25">
      <c r="A1698" s="38"/>
    </row>
    <row r="1699" spans="1:1" x14ac:dyDescent="0.25">
      <c r="A1699" s="38"/>
    </row>
    <row r="1700" spans="1:1" x14ac:dyDescent="0.25">
      <c r="A1700" s="38"/>
    </row>
    <row r="1701" spans="1:1" x14ac:dyDescent="0.25">
      <c r="A1701" s="38"/>
    </row>
    <row r="1702" spans="1:1" x14ac:dyDescent="0.25">
      <c r="A1702" s="38"/>
    </row>
    <row r="1703" spans="1:1" x14ac:dyDescent="0.25">
      <c r="A1703" s="38"/>
    </row>
    <row r="1704" spans="1:1" x14ac:dyDescent="0.25">
      <c r="A1704" s="38"/>
    </row>
    <row r="1705" spans="1:1" x14ac:dyDescent="0.25">
      <c r="A1705" s="38"/>
    </row>
    <row r="1706" spans="1:1" x14ac:dyDescent="0.25">
      <c r="A1706" s="38"/>
    </row>
    <row r="1707" spans="1:1" x14ac:dyDescent="0.25">
      <c r="A1707" s="38"/>
    </row>
    <row r="1708" spans="1:1" x14ac:dyDescent="0.25">
      <c r="A1708" s="38"/>
    </row>
    <row r="1709" spans="1:1" x14ac:dyDescent="0.25">
      <c r="A1709" s="38"/>
    </row>
    <row r="1710" spans="1:1" x14ac:dyDescent="0.25">
      <c r="A1710" s="38"/>
    </row>
    <row r="1711" spans="1:1" x14ac:dyDescent="0.25">
      <c r="A1711" s="38"/>
    </row>
    <row r="1712" spans="1:1" x14ac:dyDescent="0.25">
      <c r="A1712" s="38"/>
    </row>
    <row r="1713" spans="1:1" x14ac:dyDescent="0.25">
      <c r="A1713" s="38"/>
    </row>
    <row r="1714" spans="1:1" x14ac:dyDescent="0.25">
      <c r="A1714" s="38"/>
    </row>
    <row r="1715" spans="1:1" x14ac:dyDescent="0.25">
      <c r="A1715" s="38"/>
    </row>
    <row r="1716" spans="1:1" x14ac:dyDescent="0.25">
      <c r="A1716" s="38"/>
    </row>
    <row r="1717" spans="1:1" x14ac:dyDescent="0.25">
      <c r="A1717" s="38"/>
    </row>
    <row r="1718" spans="1:1" x14ac:dyDescent="0.25">
      <c r="A1718" s="38"/>
    </row>
    <row r="1719" spans="1:1" x14ac:dyDescent="0.25">
      <c r="A1719" s="38"/>
    </row>
    <row r="1720" spans="1:1" x14ac:dyDescent="0.25">
      <c r="A1720" s="38"/>
    </row>
    <row r="1721" spans="1:1" x14ac:dyDescent="0.25">
      <c r="A1721" s="38"/>
    </row>
    <row r="1722" spans="1:1" x14ac:dyDescent="0.25">
      <c r="A1722" s="38"/>
    </row>
    <row r="1723" spans="1:1" x14ac:dyDescent="0.25">
      <c r="A1723" s="38"/>
    </row>
    <row r="1724" spans="1:1" x14ac:dyDescent="0.25">
      <c r="A1724" s="38"/>
    </row>
    <row r="1725" spans="1:1" x14ac:dyDescent="0.25">
      <c r="A1725" s="38"/>
    </row>
    <row r="1726" spans="1:1" x14ac:dyDescent="0.25">
      <c r="A1726" s="38"/>
    </row>
    <row r="1727" spans="1:1" x14ac:dyDescent="0.25">
      <c r="A1727" s="38"/>
    </row>
    <row r="1728" spans="1:1" x14ac:dyDescent="0.25">
      <c r="A1728" s="38"/>
    </row>
    <row r="1729" spans="1:1" x14ac:dyDescent="0.25">
      <c r="A1729" s="38"/>
    </row>
    <row r="1730" spans="1:1" x14ac:dyDescent="0.25">
      <c r="A1730" s="38"/>
    </row>
    <row r="1731" spans="1:1" x14ac:dyDescent="0.25">
      <c r="A1731" s="38"/>
    </row>
    <row r="1732" spans="1:1" x14ac:dyDescent="0.25">
      <c r="A1732" s="38"/>
    </row>
    <row r="1733" spans="1:1" x14ac:dyDescent="0.25">
      <c r="A1733" s="38"/>
    </row>
    <row r="1734" spans="1:1" x14ac:dyDescent="0.25">
      <c r="A1734" s="38"/>
    </row>
    <row r="1735" spans="1:1" x14ac:dyDescent="0.25">
      <c r="A1735" s="38"/>
    </row>
    <row r="1736" spans="1:1" x14ac:dyDescent="0.25">
      <c r="A1736" s="38"/>
    </row>
    <row r="1737" spans="1:1" x14ac:dyDescent="0.25">
      <c r="A1737" s="38"/>
    </row>
    <row r="1738" spans="1:1" x14ac:dyDescent="0.25">
      <c r="A1738" s="38"/>
    </row>
    <row r="1739" spans="1:1" x14ac:dyDescent="0.25">
      <c r="A1739" s="38"/>
    </row>
    <row r="1740" spans="1:1" x14ac:dyDescent="0.25">
      <c r="A1740" s="38"/>
    </row>
    <row r="1741" spans="1:1" x14ac:dyDescent="0.25">
      <c r="A1741" s="38"/>
    </row>
    <row r="1742" spans="1:1" x14ac:dyDescent="0.25">
      <c r="A1742" s="38"/>
    </row>
    <row r="1743" spans="1:1" x14ac:dyDescent="0.25">
      <c r="A1743" s="38"/>
    </row>
    <row r="1744" spans="1:1" x14ac:dyDescent="0.25">
      <c r="A1744" s="38"/>
    </row>
    <row r="1745" spans="1:1" x14ac:dyDescent="0.25">
      <c r="A1745" s="38"/>
    </row>
    <row r="1746" spans="1:1" x14ac:dyDescent="0.25">
      <c r="A1746" s="38"/>
    </row>
    <row r="1747" spans="1:1" x14ac:dyDescent="0.25">
      <c r="A1747" s="38"/>
    </row>
    <row r="1748" spans="1:1" x14ac:dyDescent="0.25">
      <c r="A1748" s="38"/>
    </row>
    <row r="1749" spans="1:1" x14ac:dyDescent="0.25">
      <c r="A1749" s="38"/>
    </row>
    <row r="1750" spans="1:1" x14ac:dyDescent="0.25">
      <c r="A1750" s="38"/>
    </row>
    <row r="1751" spans="1:1" x14ac:dyDescent="0.25">
      <c r="A1751" s="38"/>
    </row>
    <row r="1752" spans="1:1" x14ac:dyDescent="0.25">
      <c r="A1752" s="38"/>
    </row>
    <row r="1753" spans="1:1" x14ac:dyDescent="0.25">
      <c r="A1753" s="38"/>
    </row>
    <row r="1754" spans="1:1" x14ac:dyDescent="0.25">
      <c r="A1754" s="38"/>
    </row>
    <row r="1755" spans="1:1" x14ac:dyDescent="0.25">
      <c r="A1755" s="38"/>
    </row>
    <row r="1756" spans="1:1" x14ac:dyDescent="0.25">
      <c r="A1756" s="38"/>
    </row>
    <row r="1757" spans="1:1" x14ac:dyDescent="0.25">
      <c r="A1757" s="38"/>
    </row>
    <row r="1758" spans="1:1" x14ac:dyDescent="0.25">
      <c r="A1758" s="38"/>
    </row>
    <row r="1759" spans="1:1" x14ac:dyDescent="0.25">
      <c r="A1759" s="38"/>
    </row>
    <row r="1760" spans="1:1" x14ac:dyDescent="0.25">
      <c r="A1760" s="38"/>
    </row>
    <row r="1761" spans="1:1" x14ac:dyDescent="0.25">
      <c r="A1761" s="38"/>
    </row>
    <row r="1762" spans="1:1" x14ac:dyDescent="0.25">
      <c r="A1762" s="38"/>
    </row>
    <row r="1763" spans="1:1" x14ac:dyDescent="0.25">
      <c r="A1763" s="38"/>
    </row>
    <row r="1764" spans="1:1" x14ac:dyDescent="0.25">
      <c r="A1764" s="38"/>
    </row>
    <row r="1765" spans="1:1" x14ac:dyDescent="0.25">
      <c r="A1765" s="38"/>
    </row>
    <row r="1766" spans="1:1" x14ac:dyDescent="0.25">
      <c r="A1766" s="38"/>
    </row>
    <row r="1767" spans="1:1" x14ac:dyDescent="0.25">
      <c r="A1767" s="38"/>
    </row>
    <row r="1768" spans="1:1" x14ac:dyDescent="0.25">
      <c r="A1768" s="38"/>
    </row>
    <row r="1769" spans="1:1" x14ac:dyDescent="0.25">
      <c r="A1769" s="38"/>
    </row>
    <row r="1770" spans="1:1" x14ac:dyDescent="0.25">
      <c r="A1770" s="38"/>
    </row>
    <row r="1771" spans="1:1" x14ac:dyDescent="0.25">
      <c r="A1771" s="38"/>
    </row>
    <row r="1772" spans="1:1" x14ac:dyDescent="0.25">
      <c r="A1772" s="38"/>
    </row>
    <row r="1773" spans="1:1" x14ac:dyDescent="0.25">
      <c r="A1773" s="38"/>
    </row>
    <row r="1774" spans="1:1" x14ac:dyDescent="0.25">
      <c r="A1774" s="38"/>
    </row>
    <row r="1775" spans="1:1" x14ac:dyDescent="0.25">
      <c r="A1775" s="38"/>
    </row>
    <row r="1776" spans="1:1" x14ac:dyDescent="0.25">
      <c r="A1776" s="38"/>
    </row>
    <row r="1777" spans="1:1" x14ac:dyDescent="0.25">
      <c r="A1777" s="38"/>
    </row>
    <row r="1778" spans="1:1" x14ac:dyDescent="0.25">
      <c r="A1778" s="38"/>
    </row>
    <row r="1779" spans="1:1" x14ac:dyDescent="0.25">
      <c r="A1779" s="38"/>
    </row>
    <row r="1780" spans="1:1" x14ac:dyDescent="0.25">
      <c r="A1780" s="38"/>
    </row>
    <row r="1781" spans="1:1" x14ac:dyDescent="0.25">
      <c r="A1781" s="38"/>
    </row>
    <row r="1782" spans="1:1" x14ac:dyDescent="0.25">
      <c r="A1782" s="38"/>
    </row>
    <row r="1783" spans="1:1" x14ac:dyDescent="0.25">
      <c r="A1783" s="38"/>
    </row>
    <row r="1784" spans="1:1" x14ac:dyDescent="0.25">
      <c r="A1784" s="38"/>
    </row>
    <row r="1785" spans="1:1" x14ac:dyDescent="0.25">
      <c r="A1785" s="38"/>
    </row>
    <row r="1786" spans="1:1" x14ac:dyDescent="0.25">
      <c r="A1786" s="38"/>
    </row>
    <row r="1787" spans="1:1" x14ac:dyDescent="0.25">
      <c r="A1787" s="38"/>
    </row>
    <row r="1788" spans="1:1" x14ac:dyDescent="0.25">
      <c r="A1788" s="38"/>
    </row>
    <row r="1789" spans="1:1" x14ac:dyDescent="0.25">
      <c r="A1789" s="38"/>
    </row>
    <row r="1790" spans="1:1" x14ac:dyDescent="0.25">
      <c r="A1790" s="38"/>
    </row>
    <row r="1791" spans="1:1" x14ac:dyDescent="0.25">
      <c r="A1791" s="38"/>
    </row>
    <row r="1792" spans="1:1" x14ac:dyDescent="0.25">
      <c r="A1792" s="38"/>
    </row>
    <row r="1793" spans="1:1" x14ac:dyDescent="0.25">
      <c r="A1793" s="38"/>
    </row>
    <row r="1794" spans="1:1" x14ac:dyDescent="0.25">
      <c r="A1794" s="38"/>
    </row>
    <row r="1795" spans="1:1" x14ac:dyDescent="0.25">
      <c r="A1795" s="38"/>
    </row>
    <row r="1796" spans="1:1" x14ac:dyDescent="0.25">
      <c r="A1796" s="38"/>
    </row>
    <row r="1797" spans="1:1" x14ac:dyDescent="0.25">
      <c r="A1797" s="38"/>
    </row>
    <row r="1798" spans="1:1" x14ac:dyDescent="0.25">
      <c r="A1798" s="38"/>
    </row>
    <row r="1799" spans="1:1" x14ac:dyDescent="0.25">
      <c r="A1799" s="38"/>
    </row>
    <row r="1800" spans="1:1" x14ac:dyDescent="0.25">
      <c r="A1800" s="38"/>
    </row>
    <row r="1801" spans="1:1" x14ac:dyDescent="0.25">
      <c r="A1801" s="38"/>
    </row>
    <row r="1802" spans="1:1" x14ac:dyDescent="0.25">
      <c r="A1802" s="38"/>
    </row>
    <row r="1803" spans="1:1" x14ac:dyDescent="0.25">
      <c r="A1803" s="38"/>
    </row>
    <row r="1804" spans="1:1" x14ac:dyDescent="0.25">
      <c r="A1804" s="38"/>
    </row>
    <row r="1805" spans="1:1" x14ac:dyDescent="0.25">
      <c r="A1805" s="38"/>
    </row>
    <row r="1806" spans="1:1" x14ac:dyDescent="0.25">
      <c r="A1806" s="38"/>
    </row>
    <row r="1807" spans="1:1" x14ac:dyDescent="0.25">
      <c r="A1807" s="38"/>
    </row>
    <row r="1808" spans="1:1" x14ac:dyDescent="0.25">
      <c r="A1808" s="38"/>
    </row>
    <row r="1809" spans="1:1" x14ac:dyDescent="0.25">
      <c r="A1809" s="38"/>
    </row>
    <row r="1810" spans="1:1" x14ac:dyDescent="0.25">
      <c r="A1810" s="38"/>
    </row>
    <row r="1811" spans="1:1" x14ac:dyDescent="0.25">
      <c r="A1811" s="38"/>
    </row>
    <row r="1812" spans="1:1" x14ac:dyDescent="0.25">
      <c r="A1812" s="38"/>
    </row>
    <row r="1813" spans="1:1" x14ac:dyDescent="0.25">
      <c r="A1813" s="38"/>
    </row>
    <row r="1814" spans="1:1" x14ac:dyDescent="0.25">
      <c r="A1814" s="38"/>
    </row>
    <row r="1815" spans="1:1" x14ac:dyDescent="0.25">
      <c r="A1815" s="38"/>
    </row>
    <row r="1816" spans="1:1" x14ac:dyDescent="0.25">
      <c r="A1816" s="38"/>
    </row>
    <row r="1817" spans="1:1" x14ac:dyDescent="0.25">
      <c r="A1817" s="38"/>
    </row>
    <row r="1818" spans="1:1" x14ac:dyDescent="0.25">
      <c r="A1818" s="38"/>
    </row>
    <row r="1819" spans="1:1" x14ac:dyDescent="0.25">
      <c r="A1819" s="38"/>
    </row>
    <row r="1820" spans="1:1" x14ac:dyDescent="0.25">
      <c r="A1820" s="38"/>
    </row>
    <row r="1821" spans="1:1" x14ac:dyDescent="0.25">
      <c r="A1821" s="38"/>
    </row>
    <row r="1822" spans="1:1" x14ac:dyDescent="0.25">
      <c r="A1822" s="38"/>
    </row>
    <row r="1823" spans="1:1" x14ac:dyDescent="0.25">
      <c r="A1823" s="38"/>
    </row>
    <row r="1824" spans="1:1" x14ac:dyDescent="0.25">
      <c r="A1824" s="38"/>
    </row>
    <row r="1825" spans="1:1" x14ac:dyDescent="0.25">
      <c r="A1825" s="38"/>
    </row>
    <row r="1826" spans="1:1" x14ac:dyDescent="0.25">
      <c r="A1826" s="38"/>
    </row>
    <row r="1827" spans="1:1" x14ac:dyDescent="0.25">
      <c r="A1827" s="38"/>
    </row>
    <row r="1828" spans="1:1" x14ac:dyDescent="0.25">
      <c r="A1828" s="38"/>
    </row>
    <row r="1829" spans="1:1" x14ac:dyDescent="0.25">
      <c r="A1829" s="38"/>
    </row>
    <row r="1830" spans="1:1" x14ac:dyDescent="0.25">
      <c r="A1830" s="38"/>
    </row>
    <row r="1831" spans="1:1" x14ac:dyDescent="0.25">
      <c r="A1831" s="38"/>
    </row>
    <row r="1832" spans="1:1" x14ac:dyDescent="0.25">
      <c r="A1832" s="38"/>
    </row>
    <row r="1833" spans="1:1" x14ac:dyDescent="0.25">
      <c r="A1833" s="38"/>
    </row>
    <row r="1834" spans="1:1" x14ac:dyDescent="0.25">
      <c r="A1834" s="38"/>
    </row>
    <row r="1835" spans="1:1" x14ac:dyDescent="0.25">
      <c r="A1835" s="38"/>
    </row>
    <row r="1836" spans="1:1" x14ac:dyDescent="0.25">
      <c r="A1836" s="38"/>
    </row>
    <row r="1837" spans="1:1" x14ac:dyDescent="0.25">
      <c r="A1837" s="38"/>
    </row>
    <row r="1838" spans="1:1" x14ac:dyDescent="0.25">
      <c r="A1838" s="38"/>
    </row>
    <row r="1839" spans="1:1" x14ac:dyDescent="0.25">
      <c r="A1839" s="38"/>
    </row>
    <row r="1840" spans="1:1" x14ac:dyDescent="0.25">
      <c r="A1840" s="38"/>
    </row>
    <row r="1841" spans="1:1" x14ac:dyDescent="0.25">
      <c r="A1841" s="38"/>
    </row>
    <row r="1842" spans="1:1" x14ac:dyDescent="0.25">
      <c r="A1842" s="38"/>
    </row>
    <row r="1843" spans="1:1" x14ac:dyDescent="0.25">
      <c r="A1843" s="38"/>
    </row>
    <row r="1844" spans="1:1" x14ac:dyDescent="0.25">
      <c r="A1844" s="38"/>
    </row>
    <row r="1845" spans="1:1" x14ac:dyDescent="0.25">
      <c r="A1845" s="38"/>
    </row>
    <row r="1846" spans="1:1" x14ac:dyDescent="0.25">
      <c r="A1846" s="38"/>
    </row>
    <row r="1847" spans="1:1" x14ac:dyDescent="0.25">
      <c r="A1847" s="38"/>
    </row>
    <row r="1848" spans="1:1" x14ac:dyDescent="0.25">
      <c r="A1848" s="38"/>
    </row>
    <row r="1849" spans="1:1" x14ac:dyDescent="0.25">
      <c r="A1849" s="38"/>
    </row>
    <row r="1850" spans="1:1" x14ac:dyDescent="0.25">
      <c r="A1850" s="38"/>
    </row>
    <row r="1851" spans="1:1" x14ac:dyDescent="0.25">
      <c r="A1851" s="38"/>
    </row>
    <row r="1852" spans="1:1" x14ac:dyDescent="0.25">
      <c r="A1852" s="38"/>
    </row>
    <row r="1853" spans="1:1" x14ac:dyDescent="0.25">
      <c r="A1853" s="38"/>
    </row>
    <row r="1854" spans="1:1" x14ac:dyDescent="0.25">
      <c r="A1854" s="38"/>
    </row>
    <row r="1855" spans="1:1" x14ac:dyDescent="0.25">
      <c r="A1855" s="38"/>
    </row>
    <row r="1856" spans="1:1" x14ac:dyDescent="0.25">
      <c r="A1856" s="38"/>
    </row>
    <row r="1857" spans="1:1" x14ac:dyDescent="0.25">
      <c r="A1857" s="38"/>
    </row>
    <row r="1858" spans="1:1" x14ac:dyDescent="0.25">
      <c r="A1858" s="38"/>
    </row>
    <row r="1859" spans="1:1" x14ac:dyDescent="0.25">
      <c r="A1859" s="38"/>
    </row>
    <row r="1860" spans="1:1" x14ac:dyDescent="0.25">
      <c r="A1860" s="38"/>
    </row>
    <row r="1861" spans="1:1" x14ac:dyDescent="0.25">
      <c r="A1861" s="38"/>
    </row>
    <row r="1862" spans="1:1" x14ac:dyDescent="0.25">
      <c r="A1862" s="38"/>
    </row>
    <row r="1863" spans="1:1" x14ac:dyDescent="0.25">
      <c r="A1863" s="38"/>
    </row>
    <row r="1864" spans="1:1" x14ac:dyDescent="0.25">
      <c r="A1864" s="38"/>
    </row>
    <row r="1865" spans="1:1" x14ac:dyDescent="0.25">
      <c r="A1865" s="38"/>
    </row>
    <row r="1866" spans="1:1" x14ac:dyDescent="0.25">
      <c r="A1866" s="38"/>
    </row>
    <row r="1867" spans="1:1" x14ac:dyDescent="0.25">
      <c r="A1867" s="38"/>
    </row>
    <row r="1868" spans="1:1" x14ac:dyDescent="0.25">
      <c r="A1868" s="38"/>
    </row>
    <row r="1869" spans="1:1" x14ac:dyDescent="0.25">
      <c r="A1869" s="38"/>
    </row>
    <row r="1870" spans="1:1" x14ac:dyDescent="0.25">
      <c r="A1870" s="38"/>
    </row>
    <row r="1871" spans="1:1" x14ac:dyDescent="0.25">
      <c r="A1871" s="38"/>
    </row>
    <row r="1872" spans="1:1" x14ac:dyDescent="0.25">
      <c r="A1872" s="38"/>
    </row>
    <row r="1873" spans="1:1" x14ac:dyDescent="0.25">
      <c r="A1873" s="38"/>
    </row>
    <row r="1874" spans="1:1" x14ac:dyDescent="0.25">
      <c r="A1874" s="38"/>
    </row>
    <row r="1875" spans="1:1" x14ac:dyDescent="0.25">
      <c r="A1875" s="38"/>
    </row>
    <row r="1876" spans="1:1" x14ac:dyDescent="0.25">
      <c r="A1876" s="38"/>
    </row>
    <row r="1877" spans="1:1" x14ac:dyDescent="0.25">
      <c r="A1877" s="38"/>
    </row>
    <row r="1878" spans="1:1" x14ac:dyDescent="0.25">
      <c r="A1878" s="38"/>
    </row>
    <row r="1879" spans="1:1" x14ac:dyDescent="0.25">
      <c r="A1879" s="38"/>
    </row>
    <row r="1880" spans="1:1" x14ac:dyDescent="0.25">
      <c r="A1880" s="38"/>
    </row>
    <row r="1881" spans="1:1" x14ac:dyDescent="0.25">
      <c r="A1881" s="38"/>
    </row>
    <row r="1882" spans="1:1" x14ac:dyDescent="0.25">
      <c r="A1882" s="38"/>
    </row>
    <row r="1883" spans="1:1" x14ac:dyDescent="0.25">
      <c r="A1883" s="38"/>
    </row>
    <row r="1884" spans="1:1" x14ac:dyDescent="0.25">
      <c r="A1884" s="38"/>
    </row>
    <row r="1885" spans="1:1" x14ac:dyDescent="0.25">
      <c r="A1885" s="38"/>
    </row>
    <row r="1886" spans="1:1" x14ac:dyDescent="0.25">
      <c r="A1886" s="38"/>
    </row>
    <row r="1887" spans="1:1" x14ac:dyDescent="0.25">
      <c r="A1887" s="38"/>
    </row>
    <row r="1888" spans="1:1" x14ac:dyDescent="0.25">
      <c r="A1888" s="38"/>
    </row>
    <row r="1889" spans="1:1" x14ac:dyDescent="0.25">
      <c r="A1889" s="38"/>
    </row>
    <row r="1890" spans="1:1" x14ac:dyDescent="0.25">
      <c r="A1890" s="38"/>
    </row>
    <row r="1891" spans="1:1" x14ac:dyDescent="0.25">
      <c r="A1891" s="38"/>
    </row>
    <row r="1892" spans="1:1" x14ac:dyDescent="0.25">
      <c r="A1892" s="38"/>
    </row>
    <row r="1893" spans="1:1" x14ac:dyDescent="0.25">
      <c r="A1893" s="38"/>
    </row>
    <row r="1894" spans="1:1" x14ac:dyDescent="0.25">
      <c r="A1894" s="38"/>
    </row>
    <row r="1895" spans="1:1" x14ac:dyDescent="0.25">
      <c r="A1895" s="38"/>
    </row>
    <row r="1896" spans="1:1" x14ac:dyDescent="0.25">
      <c r="A1896" s="38"/>
    </row>
    <row r="1897" spans="1:1" x14ac:dyDescent="0.25">
      <c r="A1897" s="38"/>
    </row>
    <row r="1898" spans="1:1" x14ac:dyDescent="0.25">
      <c r="A1898" s="38"/>
    </row>
    <row r="1899" spans="1:1" x14ac:dyDescent="0.25">
      <c r="A1899" s="38"/>
    </row>
    <row r="1900" spans="1:1" x14ac:dyDescent="0.25">
      <c r="A1900" s="38"/>
    </row>
    <row r="1901" spans="1:1" x14ac:dyDescent="0.25">
      <c r="A1901" s="38"/>
    </row>
    <row r="1902" spans="1:1" x14ac:dyDescent="0.25">
      <c r="A1902" s="38"/>
    </row>
    <row r="1903" spans="1:1" x14ac:dyDescent="0.25">
      <c r="A1903" s="38"/>
    </row>
    <row r="1904" spans="1:1" x14ac:dyDescent="0.25">
      <c r="A1904" s="38"/>
    </row>
    <row r="1905" spans="1:1" x14ac:dyDescent="0.25">
      <c r="A1905" s="38"/>
    </row>
    <row r="1906" spans="1:1" x14ac:dyDescent="0.25">
      <c r="A1906" s="38"/>
    </row>
    <row r="1907" spans="1:1" x14ac:dyDescent="0.25">
      <c r="A1907" s="38"/>
    </row>
    <row r="1908" spans="1:1" x14ac:dyDescent="0.25">
      <c r="A1908" s="38"/>
    </row>
    <row r="1909" spans="1:1" x14ac:dyDescent="0.25">
      <c r="A1909" s="38"/>
    </row>
    <row r="1910" spans="1:1" x14ac:dyDescent="0.25">
      <c r="A1910" s="38"/>
    </row>
    <row r="1911" spans="1:1" x14ac:dyDescent="0.25">
      <c r="A1911" s="38"/>
    </row>
    <row r="1912" spans="1:1" x14ac:dyDescent="0.25">
      <c r="A1912" s="38"/>
    </row>
    <row r="1913" spans="1:1" x14ac:dyDescent="0.25">
      <c r="A1913" s="38"/>
    </row>
    <row r="1914" spans="1:1" x14ac:dyDescent="0.25">
      <c r="A1914" s="38"/>
    </row>
    <row r="1915" spans="1:1" x14ac:dyDescent="0.25">
      <c r="A1915" s="38"/>
    </row>
    <row r="1916" spans="1:1" x14ac:dyDescent="0.25">
      <c r="A1916" s="38"/>
    </row>
    <row r="1917" spans="1:1" x14ac:dyDescent="0.25">
      <c r="A1917" s="38"/>
    </row>
    <row r="1918" spans="1:1" x14ac:dyDescent="0.25">
      <c r="A1918" s="38"/>
    </row>
    <row r="1919" spans="1:1" x14ac:dyDescent="0.25">
      <c r="A1919" s="38"/>
    </row>
    <row r="1920" spans="1:1" x14ac:dyDescent="0.25">
      <c r="A1920" s="38"/>
    </row>
    <row r="1921" spans="1:1" x14ac:dyDescent="0.25">
      <c r="A1921" s="38"/>
    </row>
    <row r="1922" spans="1:1" x14ac:dyDescent="0.25">
      <c r="A1922" s="38"/>
    </row>
    <row r="1923" spans="1:1" x14ac:dyDescent="0.25">
      <c r="A1923" s="38"/>
    </row>
    <row r="1924" spans="1:1" x14ac:dyDescent="0.25">
      <c r="A1924" s="38"/>
    </row>
    <row r="1925" spans="1:1" x14ac:dyDescent="0.25">
      <c r="A1925" s="38"/>
    </row>
    <row r="1926" spans="1:1" x14ac:dyDescent="0.25">
      <c r="A1926" s="38"/>
    </row>
    <row r="1927" spans="1:1" x14ac:dyDescent="0.25">
      <c r="A1927" s="38"/>
    </row>
    <row r="1928" spans="1:1" x14ac:dyDescent="0.25">
      <c r="A1928" s="38"/>
    </row>
    <row r="1929" spans="1:1" x14ac:dyDescent="0.25">
      <c r="A1929" s="38"/>
    </row>
    <row r="1930" spans="1:1" x14ac:dyDescent="0.25">
      <c r="A1930" s="38"/>
    </row>
    <row r="1931" spans="1:1" x14ac:dyDescent="0.25">
      <c r="A1931" s="38"/>
    </row>
    <row r="1932" spans="1:1" x14ac:dyDescent="0.25">
      <c r="A1932" s="38"/>
    </row>
    <row r="1933" spans="1:1" x14ac:dyDescent="0.25">
      <c r="A1933" s="38"/>
    </row>
    <row r="1934" spans="1:1" x14ac:dyDescent="0.25">
      <c r="A1934" s="38"/>
    </row>
    <row r="1935" spans="1:1" x14ac:dyDescent="0.25">
      <c r="A1935" s="38"/>
    </row>
    <row r="1936" spans="1:1" x14ac:dyDescent="0.25">
      <c r="A1936" s="38"/>
    </row>
    <row r="1937" spans="1:1" x14ac:dyDescent="0.25">
      <c r="A1937" s="38"/>
    </row>
    <row r="1938" spans="1:1" x14ac:dyDescent="0.25">
      <c r="A1938" s="38"/>
    </row>
    <row r="1939" spans="1:1" x14ac:dyDescent="0.25">
      <c r="A1939" s="38"/>
    </row>
    <row r="1940" spans="1:1" x14ac:dyDescent="0.25">
      <c r="A1940" s="38"/>
    </row>
    <row r="1941" spans="1:1" x14ac:dyDescent="0.25">
      <c r="A1941" s="38"/>
    </row>
    <row r="1942" spans="1:1" x14ac:dyDescent="0.25">
      <c r="A1942" s="38"/>
    </row>
    <row r="1943" spans="1:1" x14ac:dyDescent="0.25">
      <c r="A1943" s="38"/>
    </row>
    <row r="1944" spans="1:1" x14ac:dyDescent="0.25">
      <c r="A1944" s="38"/>
    </row>
    <row r="1945" spans="1:1" x14ac:dyDescent="0.25">
      <c r="A1945" s="38"/>
    </row>
    <row r="1946" spans="1:1" x14ac:dyDescent="0.25">
      <c r="A1946" s="38"/>
    </row>
    <row r="1947" spans="1:1" x14ac:dyDescent="0.25">
      <c r="A1947" s="38"/>
    </row>
    <row r="1948" spans="1:1" x14ac:dyDescent="0.25">
      <c r="A1948" s="38"/>
    </row>
    <row r="1949" spans="1:1" x14ac:dyDescent="0.25">
      <c r="A1949" s="38"/>
    </row>
    <row r="1950" spans="1:1" x14ac:dyDescent="0.25">
      <c r="A1950" s="38"/>
    </row>
    <row r="1951" spans="1:1" x14ac:dyDescent="0.25">
      <c r="A1951" s="38"/>
    </row>
    <row r="1952" spans="1:1" x14ac:dyDescent="0.25">
      <c r="A1952" s="38"/>
    </row>
    <row r="1953" spans="1:1" x14ac:dyDescent="0.25">
      <c r="A1953" s="38"/>
    </row>
    <row r="1954" spans="1:1" x14ac:dyDescent="0.25">
      <c r="A1954" s="38"/>
    </row>
    <row r="1955" spans="1:1" x14ac:dyDescent="0.25">
      <c r="A1955" s="38"/>
    </row>
    <row r="1956" spans="1:1" x14ac:dyDescent="0.25">
      <c r="A1956" s="38"/>
    </row>
    <row r="1957" spans="1:1" x14ac:dyDescent="0.25">
      <c r="A1957" s="38"/>
    </row>
    <row r="1958" spans="1:1" x14ac:dyDescent="0.25">
      <c r="A1958" s="38"/>
    </row>
    <row r="1959" spans="1:1" x14ac:dyDescent="0.25">
      <c r="A1959" s="38"/>
    </row>
    <row r="1960" spans="1:1" x14ac:dyDescent="0.25">
      <c r="A1960" s="38"/>
    </row>
    <row r="1961" spans="1:1" x14ac:dyDescent="0.25">
      <c r="A1961" s="38"/>
    </row>
    <row r="1962" spans="1:1" x14ac:dyDescent="0.25">
      <c r="A1962" s="38"/>
    </row>
    <row r="1963" spans="1:1" x14ac:dyDescent="0.25">
      <c r="A1963" s="38"/>
    </row>
    <row r="1964" spans="1:1" x14ac:dyDescent="0.25">
      <c r="A1964" s="38"/>
    </row>
    <row r="1965" spans="1:1" x14ac:dyDescent="0.25">
      <c r="A1965" s="38"/>
    </row>
    <row r="1966" spans="1:1" x14ac:dyDescent="0.25">
      <c r="A1966" s="38"/>
    </row>
    <row r="1967" spans="1:1" x14ac:dyDescent="0.25">
      <c r="A1967" s="38"/>
    </row>
    <row r="1968" spans="1:1" x14ac:dyDescent="0.25">
      <c r="A1968" s="38"/>
    </row>
    <row r="1969" spans="1:1" x14ac:dyDescent="0.25">
      <c r="A1969" s="38"/>
    </row>
    <row r="1970" spans="1:1" x14ac:dyDescent="0.25">
      <c r="A1970" s="38"/>
    </row>
    <row r="1971" spans="1:1" x14ac:dyDescent="0.25">
      <c r="A1971" s="38"/>
    </row>
    <row r="1972" spans="1:1" x14ac:dyDescent="0.25">
      <c r="A1972" s="38"/>
    </row>
    <row r="1973" spans="1:1" x14ac:dyDescent="0.25">
      <c r="A1973" s="38"/>
    </row>
    <row r="1974" spans="1:1" x14ac:dyDescent="0.25">
      <c r="A1974" s="38"/>
    </row>
    <row r="1975" spans="1:1" x14ac:dyDescent="0.25">
      <c r="A1975" s="38"/>
    </row>
    <row r="1976" spans="1:1" x14ac:dyDescent="0.25">
      <c r="A1976" s="38"/>
    </row>
    <row r="1977" spans="1:1" x14ac:dyDescent="0.25">
      <c r="A1977" s="38"/>
    </row>
    <row r="1978" spans="1:1" x14ac:dyDescent="0.25">
      <c r="A1978" s="38"/>
    </row>
    <row r="1979" spans="1:1" x14ac:dyDescent="0.25">
      <c r="A1979" s="38"/>
    </row>
    <row r="1980" spans="1:1" x14ac:dyDescent="0.25">
      <c r="A1980" s="38"/>
    </row>
    <row r="1981" spans="1:1" x14ac:dyDescent="0.25">
      <c r="A1981" s="38"/>
    </row>
    <row r="1982" spans="1:1" x14ac:dyDescent="0.25">
      <c r="A1982" s="38"/>
    </row>
    <row r="1983" spans="1:1" x14ac:dyDescent="0.25">
      <c r="A1983" s="38"/>
    </row>
    <row r="1984" spans="1:1" x14ac:dyDescent="0.25">
      <c r="A1984" s="38"/>
    </row>
    <row r="1985" spans="1:1" x14ac:dyDescent="0.25">
      <c r="A1985" s="38"/>
    </row>
    <row r="1986" spans="1:1" x14ac:dyDescent="0.25">
      <c r="A1986" s="38"/>
    </row>
    <row r="1987" spans="1:1" x14ac:dyDescent="0.25">
      <c r="A1987" s="38"/>
    </row>
    <row r="1988" spans="1:1" x14ac:dyDescent="0.25">
      <c r="A1988" s="38"/>
    </row>
    <row r="1989" spans="1:1" x14ac:dyDescent="0.25">
      <c r="A1989" s="38"/>
    </row>
    <row r="1990" spans="1:1" x14ac:dyDescent="0.25">
      <c r="A1990" s="38"/>
    </row>
    <row r="1991" spans="1:1" x14ac:dyDescent="0.25">
      <c r="A1991" s="38"/>
    </row>
    <row r="1992" spans="1:1" x14ac:dyDescent="0.25">
      <c r="A1992" s="38"/>
    </row>
    <row r="1993" spans="1:1" x14ac:dyDescent="0.25">
      <c r="A1993" s="38"/>
    </row>
    <row r="1994" spans="1:1" x14ac:dyDescent="0.25">
      <c r="A1994" s="38"/>
    </row>
    <row r="1995" spans="1:1" x14ac:dyDescent="0.25">
      <c r="A1995" s="38"/>
    </row>
    <row r="1996" spans="1:1" x14ac:dyDescent="0.25">
      <c r="A1996" s="38"/>
    </row>
    <row r="1997" spans="1:1" x14ac:dyDescent="0.25">
      <c r="A1997" s="38"/>
    </row>
    <row r="1998" spans="1:1" x14ac:dyDescent="0.25">
      <c r="A1998" s="38"/>
    </row>
    <row r="1999" spans="1:1" x14ac:dyDescent="0.25">
      <c r="A1999" s="38"/>
    </row>
    <row r="2000" spans="1:1" x14ac:dyDescent="0.25">
      <c r="A2000" s="38"/>
    </row>
    <row r="2001" spans="1:1" x14ac:dyDescent="0.25">
      <c r="A2001" s="38"/>
    </row>
    <row r="2002" spans="1:1" x14ac:dyDescent="0.25">
      <c r="A2002" s="38"/>
    </row>
    <row r="2003" spans="1:1" x14ac:dyDescent="0.25">
      <c r="A2003" s="38"/>
    </row>
    <row r="2004" spans="1:1" x14ac:dyDescent="0.25">
      <c r="A2004" s="38"/>
    </row>
    <row r="2005" spans="1:1" x14ac:dyDescent="0.25">
      <c r="A2005" s="38"/>
    </row>
    <row r="2006" spans="1:1" x14ac:dyDescent="0.25">
      <c r="A2006" s="38"/>
    </row>
    <row r="2007" spans="1:1" x14ac:dyDescent="0.25">
      <c r="A2007" s="38"/>
    </row>
    <row r="2008" spans="1:1" x14ac:dyDescent="0.25">
      <c r="A2008" s="38"/>
    </row>
    <row r="2009" spans="1:1" x14ac:dyDescent="0.25">
      <c r="A2009" s="38"/>
    </row>
    <row r="2010" spans="1:1" x14ac:dyDescent="0.25">
      <c r="A2010" s="38"/>
    </row>
    <row r="2011" spans="1:1" x14ac:dyDescent="0.25">
      <c r="A2011" s="38"/>
    </row>
    <row r="2012" spans="1:1" x14ac:dyDescent="0.25">
      <c r="A2012" s="38"/>
    </row>
    <row r="2013" spans="1:1" x14ac:dyDescent="0.25">
      <c r="A2013" s="38"/>
    </row>
    <row r="2014" spans="1:1" x14ac:dyDescent="0.25">
      <c r="A2014" s="38"/>
    </row>
    <row r="2015" spans="1:1" x14ac:dyDescent="0.25">
      <c r="A2015" s="38"/>
    </row>
    <row r="2016" spans="1:1" x14ac:dyDescent="0.25">
      <c r="A2016" s="38"/>
    </row>
    <row r="2017" spans="1:1" x14ac:dyDescent="0.25">
      <c r="A2017" s="38"/>
    </row>
    <row r="2018" spans="1:1" x14ac:dyDescent="0.25">
      <c r="A2018" s="38"/>
    </row>
    <row r="2019" spans="1:1" x14ac:dyDescent="0.25">
      <c r="A2019" s="38"/>
    </row>
    <row r="2020" spans="1:1" x14ac:dyDescent="0.25">
      <c r="A2020" s="38"/>
    </row>
    <row r="2021" spans="1:1" x14ac:dyDescent="0.25">
      <c r="A2021" s="38"/>
    </row>
    <row r="2022" spans="1:1" x14ac:dyDescent="0.25">
      <c r="A2022" s="38"/>
    </row>
    <row r="2023" spans="1:1" x14ac:dyDescent="0.25">
      <c r="A2023" s="38"/>
    </row>
    <row r="2024" spans="1:1" x14ac:dyDescent="0.25">
      <c r="A2024" s="38"/>
    </row>
    <row r="2025" spans="1:1" x14ac:dyDescent="0.25">
      <c r="A2025" s="38"/>
    </row>
    <row r="2026" spans="1:1" x14ac:dyDescent="0.25">
      <c r="A2026" s="38"/>
    </row>
    <row r="2027" spans="1:1" x14ac:dyDescent="0.25">
      <c r="A2027" s="38"/>
    </row>
    <row r="2028" spans="1:1" x14ac:dyDescent="0.25">
      <c r="A2028" s="38"/>
    </row>
    <row r="2029" spans="1:1" x14ac:dyDescent="0.25">
      <c r="A2029" s="38"/>
    </row>
    <row r="2030" spans="1:1" x14ac:dyDescent="0.25">
      <c r="A2030" s="38"/>
    </row>
    <row r="2031" spans="1:1" x14ac:dyDescent="0.25">
      <c r="A2031" s="38"/>
    </row>
    <row r="2032" spans="1:1" x14ac:dyDescent="0.25">
      <c r="A2032" s="38"/>
    </row>
    <row r="2033" spans="1:1" x14ac:dyDescent="0.25">
      <c r="A2033" s="38"/>
    </row>
    <row r="2034" spans="1:1" x14ac:dyDescent="0.25">
      <c r="A2034" s="38"/>
    </row>
    <row r="2035" spans="1:1" x14ac:dyDescent="0.25">
      <c r="A2035" s="38"/>
    </row>
    <row r="2036" spans="1:1" x14ac:dyDescent="0.25">
      <c r="A2036" s="38"/>
    </row>
    <row r="2037" spans="1:1" x14ac:dyDescent="0.25">
      <c r="A2037" s="38"/>
    </row>
    <row r="2038" spans="1:1" x14ac:dyDescent="0.25">
      <c r="A2038" s="38"/>
    </row>
    <row r="2039" spans="1:1" x14ac:dyDescent="0.25">
      <c r="A2039" s="38"/>
    </row>
    <row r="2040" spans="1:1" x14ac:dyDescent="0.25">
      <c r="A2040" s="38"/>
    </row>
    <row r="2041" spans="1:1" x14ac:dyDescent="0.25">
      <c r="A2041" s="38"/>
    </row>
    <row r="2042" spans="1:1" x14ac:dyDescent="0.25">
      <c r="A2042" s="38"/>
    </row>
    <row r="2043" spans="1:1" x14ac:dyDescent="0.25">
      <c r="A2043" s="38"/>
    </row>
    <row r="2044" spans="1:1" x14ac:dyDescent="0.25">
      <c r="A2044" s="38"/>
    </row>
    <row r="2045" spans="1:1" x14ac:dyDescent="0.25">
      <c r="A2045" s="38"/>
    </row>
    <row r="2046" spans="1:1" x14ac:dyDescent="0.25">
      <c r="A2046" s="38"/>
    </row>
    <row r="2047" spans="1:1" x14ac:dyDescent="0.25">
      <c r="A2047" s="38"/>
    </row>
    <row r="2048" spans="1:1" x14ac:dyDescent="0.25">
      <c r="A2048" s="38"/>
    </row>
    <row r="2049" spans="1:1" x14ac:dyDescent="0.25">
      <c r="A2049" s="38"/>
    </row>
    <row r="2050" spans="1:1" x14ac:dyDescent="0.25">
      <c r="A2050" s="38"/>
    </row>
    <row r="2051" spans="1:1" x14ac:dyDescent="0.25">
      <c r="A2051" s="38"/>
    </row>
    <row r="2052" spans="1:1" x14ac:dyDescent="0.25">
      <c r="A2052" s="38"/>
    </row>
    <row r="2053" spans="1:1" x14ac:dyDescent="0.25">
      <c r="A2053" s="38"/>
    </row>
    <row r="2054" spans="1:1" x14ac:dyDescent="0.25">
      <c r="A2054" s="38"/>
    </row>
    <row r="2055" spans="1:1" x14ac:dyDescent="0.25">
      <c r="A2055" s="38"/>
    </row>
    <row r="2056" spans="1:1" x14ac:dyDescent="0.25">
      <c r="A2056" s="38"/>
    </row>
    <row r="2057" spans="1:1" x14ac:dyDescent="0.25">
      <c r="A2057" s="38"/>
    </row>
    <row r="2058" spans="1:1" x14ac:dyDescent="0.25">
      <c r="A2058" s="38"/>
    </row>
    <row r="2059" spans="1:1" x14ac:dyDescent="0.25">
      <c r="A2059" s="38"/>
    </row>
    <row r="2060" spans="1:1" x14ac:dyDescent="0.25">
      <c r="A2060" s="38"/>
    </row>
    <row r="2061" spans="1:1" x14ac:dyDescent="0.25">
      <c r="A2061" s="38"/>
    </row>
    <row r="2062" spans="1:1" x14ac:dyDescent="0.25">
      <c r="A2062" s="38"/>
    </row>
    <row r="2063" spans="1:1" x14ac:dyDescent="0.25">
      <c r="A2063" s="38"/>
    </row>
    <row r="2064" spans="1:1" x14ac:dyDescent="0.25">
      <c r="A2064" s="38"/>
    </row>
    <row r="2065" spans="1:1" x14ac:dyDescent="0.25">
      <c r="A2065" s="38"/>
    </row>
    <row r="2066" spans="1:1" x14ac:dyDescent="0.25">
      <c r="A2066" s="38"/>
    </row>
    <row r="2067" spans="1:1" x14ac:dyDescent="0.25">
      <c r="A2067" s="38"/>
    </row>
    <row r="2068" spans="1:1" x14ac:dyDescent="0.25">
      <c r="A2068" s="38"/>
    </row>
    <row r="2069" spans="1:1" x14ac:dyDescent="0.25">
      <c r="A2069" s="38"/>
    </row>
    <row r="2070" spans="1:1" x14ac:dyDescent="0.25">
      <c r="A2070" s="38"/>
    </row>
    <row r="2071" spans="1:1" x14ac:dyDescent="0.25">
      <c r="A2071" s="38"/>
    </row>
    <row r="2072" spans="1:1" x14ac:dyDescent="0.25">
      <c r="A2072" s="38"/>
    </row>
    <row r="2073" spans="1:1" x14ac:dyDescent="0.25">
      <c r="A2073" s="38"/>
    </row>
    <row r="2074" spans="1:1" x14ac:dyDescent="0.25">
      <c r="A2074" s="38"/>
    </row>
    <row r="2075" spans="1:1" x14ac:dyDescent="0.25">
      <c r="A2075" s="38"/>
    </row>
    <row r="2076" spans="1:1" x14ac:dyDescent="0.25">
      <c r="A2076" s="38"/>
    </row>
    <row r="2077" spans="1:1" x14ac:dyDescent="0.25">
      <c r="A2077" s="38"/>
    </row>
    <row r="2078" spans="1:1" x14ac:dyDescent="0.25">
      <c r="A2078" s="38"/>
    </row>
    <row r="2079" spans="1:1" x14ac:dyDescent="0.25">
      <c r="A2079" s="38"/>
    </row>
    <row r="2080" spans="1:1" x14ac:dyDescent="0.25">
      <c r="A2080" s="38"/>
    </row>
    <row r="2081" spans="1:1" x14ac:dyDescent="0.25">
      <c r="A2081" s="38"/>
    </row>
    <row r="2082" spans="1:1" x14ac:dyDescent="0.25">
      <c r="A2082" s="38"/>
    </row>
    <row r="2083" spans="1:1" x14ac:dyDescent="0.25">
      <c r="A2083" s="38"/>
    </row>
    <row r="2084" spans="1:1" x14ac:dyDescent="0.25">
      <c r="A2084" s="38"/>
    </row>
    <row r="2085" spans="1:1" x14ac:dyDescent="0.25">
      <c r="A2085" s="38"/>
    </row>
    <row r="2086" spans="1:1" x14ac:dyDescent="0.25">
      <c r="A2086" s="38"/>
    </row>
    <row r="2087" spans="1:1" x14ac:dyDescent="0.25">
      <c r="A2087" s="38"/>
    </row>
    <row r="2088" spans="1:1" x14ac:dyDescent="0.25">
      <c r="A2088" s="38"/>
    </row>
    <row r="2089" spans="1:1" x14ac:dyDescent="0.25">
      <c r="A2089" s="38"/>
    </row>
    <row r="2090" spans="1:1" x14ac:dyDescent="0.25">
      <c r="A2090" s="38"/>
    </row>
    <row r="2091" spans="1:1" x14ac:dyDescent="0.25">
      <c r="A2091" s="38"/>
    </row>
    <row r="2092" spans="1:1" x14ac:dyDescent="0.25">
      <c r="A2092" s="38"/>
    </row>
    <row r="2093" spans="1:1" x14ac:dyDescent="0.25">
      <c r="A2093" s="38"/>
    </row>
    <row r="2094" spans="1:1" x14ac:dyDescent="0.25">
      <c r="A2094" s="38"/>
    </row>
    <row r="2095" spans="1:1" x14ac:dyDescent="0.25">
      <c r="A2095" s="38"/>
    </row>
    <row r="2096" spans="1:1" x14ac:dyDescent="0.25">
      <c r="A2096" s="38"/>
    </row>
    <row r="2097" spans="1:1" x14ac:dyDescent="0.25">
      <c r="A2097" s="38"/>
    </row>
    <row r="2098" spans="1:1" x14ac:dyDescent="0.25">
      <c r="A2098" s="38"/>
    </row>
    <row r="2099" spans="1:1" x14ac:dyDescent="0.25">
      <c r="A2099" s="38"/>
    </row>
    <row r="2100" spans="1:1" x14ac:dyDescent="0.25">
      <c r="A2100" s="38"/>
    </row>
    <row r="2101" spans="1:1" x14ac:dyDescent="0.25">
      <c r="A2101" s="38"/>
    </row>
    <row r="2102" spans="1:1" x14ac:dyDescent="0.25">
      <c r="A2102" s="38"/>
    </row>
    <row r="2103" spans="1:1" x14ac:dyDescent="0.25">
      <c r="A2103" s="38"/>
    </row>
    <row r="2104" spans="1:1" x14ac:dyDescent="0.25">
      <c r="A2104" s="38"/>
    </row>
    <row r="2105" spans="1:1" x14ac:dyDescent="0.25">
      <c r="A2105" s="38"/>
    </row>
    <row r="2106" spans="1:1" x14ac:dyDescent="0.25">
      <c r="A2106" s="38"/>
    </row>
    <row r="2107" spans="1:1" x14ac:dyDescent="0.25">
      <c r="A2107" s="38"/>
    </row>
    <row r="2108" spans="1:1" x14ac:dyDescent="0.25">
      <c r="A2108" s="38"/>
    </row>
    <row r="2109" spans="1:1" x14ac:dyDescent="0.25">
      <c r="A2109" s="38"/>
    </row>
    <row r="2110" spans="1:1" x14ac:dyDescent="0.25">
      <c r="A2110" s="38"/>
    </row>
    <row r="2111" spans="1:1" x14ac:dyDescent="0.25">
      <c r="A2111" s="38"/>
    </row>
    <row r="2112" spans="1:1" x14ac:dyDescent="0.25">
      <c r="A2112" s="38"/>
    </row>
    <row r="2113" spans="1:1" x14ac:dyDescent="0.25">
      <c r="A2113" s="38"/>
    </row>
    <row r="2114" spans="1:1" x14ac:dyDescent="0.25">
      <c r="A2114" s="38"/>
    </row>
    <row r="2115" spans="1:1" x14ac:dyDescent="0.25">
      <c r="A2115" s="38"/>
    </row>
    <row r="2116" spans="1:1" x14ac:dyDescent="0.25">
      <c r="A2116" s="38"/>
    </row>
    <row r="2117" spans="1:1" x14ac:dyDescent="0.25">
      <c r="A2117" s="38"/>
    </row>
    <row r="2118" spans="1:1" x14ac:dyDescent="0.25">
      <c r="A2118" s="38"/>
    </row>
    <row r="2119" spans="1:1" x14ac:dyDescent="0.25">
      <c r="A2119" s="38"/>
    </row>
    <row r="2120" spans="1:1" x14ac:dyDescent="0.25">
      <c r="A2120" s="38"/>
    </row>
    <row r="2121" spans="1:1" x14ac:dyDescent="0.25">
      <c r="A2121" s="38"/>
    </row>
    <row r="2122" spans="1:1" x14ac:dyDescent="0.25">
      <c r="A2122" s="38"/>
    </row>
    <row r="2123" spans="1:1" x14ac:dyDescent="0.25">
      <c r="A2123" s="38"/>
    </row>
    <row r="2124" spans="1:1" x14ac:dyDescent="0.25">
      <c r="A2124" s="38"/>
    </row>
    <row r="2125" spans="1:1" x14ac:dyDescent="0.25">
      <c r="A2125" s="38"/>
    </row>
    <row r="2126" spans="1:1" x14ac:dyDescent="0.25">
      <c r="A2126" s="38"/>
    </row>
    <row r="2127" spans="1:1" x14ac:dyDescent="0.25">
      <c r="A2127" s="38"/>
    </row>
    <row r="2128" spans="1:1" x14ac:dyDescent="0.25">
      <c r="A2128" s="38"/>
    </row>
    <row r="2129" spans="1:1" x14ac:dyDescent="0.25">
      <c r="A2129" s="38"/>
    </row>
    <row r="2130" spans="1:1" x14ac:dyDescent="0.25">
      <c r="A2130" s="38"/>
    </row>
    <row r="2131" spans="1:1" x14ac:dyDescent="0.25">
      <c r="A2131" s="38"/>
    </row>
    <row r="2132" spans="1:1" x14ac:dyDescent="0.25">
      <c r="A2132" s="38"/>
    </row>
    <row r="2133" spans="1:1" x14ac:dyDescent="0.25">
      <c r="A2133" s="38"/>
    </row>
    <row r="2134" spans="1:1" x14ac:dyDescent="0.25">
      <c r="A2134" s="38"/>
    </row>
    <row r="2135" spans="1:1" x14ac:dyDescent="0.25">
      <c r="A2135" s="38"/>
    </row>
    <row r="2136" spans="1:1" x14ac:dyDescent="0.25">
      <c r="A2136" s="38"/>
    </row>
    <row r="2137" spans="1:1" x14ac:dyDescent="0.25">
      <c r="A2137" s="38"/>
    </row>
    <row r="2138" spans="1:1" x14ac:dyDescent="0.25">
      <c r="A2138" s="38"/>
    </row>
    <row r="2139" spans="1:1" x14ac:dyDescent="0.25">
      <c r="A2139" s="38"/>
    </row>
    <row r="2140" spans="1:1" x14ac:dyDescent="0.25">
      <c r="A2140" s="38"/>
    </row>
    <row r="2141" spans="1:1" x14ac:dyDescent="0.25">
      <c r="A2141" s="38"/>
    </row>
    <row r="2142" spans="1:1" x14ac:dyDescent="0.25">
      <c r="A2142" s="38"/>
    </row>
    <row r="2143" spans="1:1" x14ac:dyDescent="0.25">
      <c r="A2143" s="38"/>
    </row>
    <row r="2144" spans="1:1" x14ac:dyDescent="0.25">
      <c r="A2144" s="38"/>
    </row>
    <row r="2145" spans="1:1" x14ac:dyDescent="0.25">
      <c r="A2145" s="38"/>
    </row>
    <row r="2146" spans="1:1" x14ac:dyDescent="0.25">
      <c r="A2146" s="38"/>
    </row>
    <row r="2147" spans="1:1" x14ac:dyDescent="0.25">
      <c r="A2147" s="38"/>
    </row>
    <row r="2148" spans="1:1" x14ac:dyDescent="0.25">
      <c r="A2148" s="38"/>
    </row>
    <row r="2149" spans="1:1" x14ac:dyDescent="0.25">
      <c r="A2149" s="38"/>
    </row>
    <row r="2150" spans="1:1" x14ac:dyDescent="0.25">
      <c r="A2150" s="38"/>
    </row>
    <row r="2151" spans="1:1" x14ac:dyDescent="0.25">
      <c r="A2151" s="38"/>
    </row>
    <row r="2152" spans="1:1" x14ac:dyDescent="0.25">
      <c r="A2152" s="38"/>
    </row>
    <row r="2153" spans="1:1" x14ac:dyDescent="0.25">
      <c r="A2153" s="38"/>
    </row>
    <row r="2154" spans="1:1" x14ac:dyDescent="0.25">
      <c r="A2154" s="38"/>
    </row>
    <row r="2155" spans="1:1" x14ac:dyDescent="0.25">
      <c r="A2155" s="38"/>
    </row>
    <row r="2156" spans="1:1" x14ac:dyDescent="0.25">
      <c r="A2156" s="38"/>
    </row>
    <row r="2157" spans="1:1" x14ac:dyDescent="0.25">
      <c r="A2157" s="38"/>
    </row>
    <row r="2158" spans="1:1" x14ac:dyDescent="0.25">
      <c r="A2158" s="38"/>
    </row>
    <row r="2159" spans="1:1" x14ac:dyDescent="0.25">
      <c r="A2159" s="38"/>
    </row>
    <row r="2160" spans="1:1" x14ac:dyDescent="0.25">
      <c r="A2160" s="38"/>
    </row>
    <row r="2161" spans="1:1" x14ac:dyDescent="0.25">
      <c r="A2161" s="38"/>
    </row>
    <row r="2162" spans="1:1" x14ac:dyDescent="0.25">
      <c r="A2162" s="38"/>
    </row>
    <row r="2163" spans="1:1" x14ac:dyDescent="0.25">
      <c r="A2163" s="38"/>
    </row>
    <row r="2164" spans="1:1" x14ac:dyDescent="0.25">
      <c r="A2164" s="38"/>
    </row>
    <row r="2165" spans="1:1" x14ac:dyDescent="0.25">
      <c r="A2165" s="38"/>
    </row>
    <row r="2166" spans="1:1" x14ac:dyDescent="0.25">
      <c r="A2166" s="38"/>
    </row>
    <row r="2167" spans="1:1" x14ac:dyDescent="0.25">
      <c r="A2167" s="38"/>
    </row>
    <row r="2168" spans="1:1" x14ac:dyDescent="0.25">
      <c r="A2168" s="38"/>
    </row>
    <row r="2169" spans="1:1" x14ac:dyDescent="0.25">
      <c r="A2169" s="38"/>
    </row>
    <row r="2170" spans="1:1" x14ac:dyDescent="0.25">
      <c r="A2170" s="38"/>
    </row>
    <row r="2171" spans="1:1" x14ac:dyDescent="0.25">
      <c r="A2171" s="38"/>
    </row>
    <row r="2172" spans="1:1" x14ac:dyDescent="0.25">
      <c r="A2172" s="38"/>
    </row>
    <row r="2173" spans="1:1" x14ac:dyDescent="0.25">
      <c r="A2173" s="38"/>
    </row>
    <row r="2174" spans="1:1" x14ac:dyDescent="0.25">
      <c r="A2174" s="38"/>
    </row>
    <row r="2175" spans="1:1" x14ac:dyDescent="0.25">
      <c r="A2175" s="38"/>
    </row>
    <row r="2176" spans="1:1" x14ac:dyDescent="0.25">
      <c r="A2176" s="38"/>
    </row>
    <row r="2177" spans="1:1" x14ac:dyDescent="0.25">
      <c r="A2177" s="38"/>
    </row>
    <row r="2178" spans="1:1" x14ac:dyDescent="0.25">
      <c r="A2178" s="38"/>
    </row>
    <row r="2179" spans="1:1" x14ac:dyDescent="0.25">
      <c r="A2179" s="38"/>
    </row>
    <row r="2180" spans="1:1" x14ac:dyDescent="0.25">
      <c r="A2180" s="38"/>
    </row>
    <row r="2181" spans="1:1" x14ac:dyDescent="0.25">
      <c r="A2181" s="38"/>
    </row>
    <row r="2182" spans="1:1" x14ac:dyDescent="0.25">
      <c r="A2182" s="38"/>
    </row>
    <row r="2183" spans="1:1" x14ac:dyDescent="0.25">
      <c r="A2183" s="38"/>
    </row>
    <row r="2184" spans="1:1" x14ac:dyDescent="0.25">
      <c r="A2184" s="38"/>
    </row>
    <row r="2185" spans="1:1" x14ac:dyDescent="0.25">
      <c r="A2185" s="38"/>
    </row>
    <row r="2186" spans="1:1" x14ac:dyDescent="0.25">
      <c r="A2186" s="38"/>
    </row>
    <row r="2187" spans="1:1" x14ac:dyDescent="0.25">
      <c r="A2187" s="38"/>
    </row>
    <row r="2188" spans="1:1" x14ac:dyDescent="0.25">
      <c r="A2188" s="38"/>
    </row>
    <row r="2189" spans="1:1" x14ac:dyDescent="0.25">
      <c r="A2189" s="38"/>
    </row>
    <row r="2190" spans="1:1" x14ac:dyDescent="0.25">
      <c r="A2190" s="38"/>
    </row>
    <row r="2191" spans="1:1" x14ac:dyDescent="0.25">
      <c r="A2191" s="38"/>
    </row>
    <row r="2192" spans="1:1" x14ac:dyDescent="0.25">
      <c r="A2192" s="38"/>
    </row>
    <row r="2193" spans="1:1" x14ac:dyDescent="0.25">
      <c r="A2193" s="38"/>
    </row>
    <row r="2194" spans="1:1" x14ac:dyDescent="0.25">
      <c r="A2194" s="38"/>
    </row>
    <row r="2195" spans="1:1" x14ac:dyDescent="0.25">
      <c r="A2195" s="38"/>
    </row>
    <row r="2196" spans="1:1" x14ac:dyDescent="0.25">
      <c r="A2196" s="38"/>
    </row>
    <row r="2197" spans="1:1" x14ac:dyDescent="0.25">
      <c r="A2197" s="38"/>
    </row>
    <row r="2198" spans="1:1" x14ac:dyDescent="0.25">
      <c r="A2198" s="38"/>
    </row>
    <row r="2199" spans="1:1" x14ac:dyDescent="0.25">
      <c r="A2199" s="38"/>
    </row>
    <row r="2200" spans="1:1" x14ac:dyDescent="0.25">
      <c r="A2200" s="38"/>
    </row>
    <row r="2201" spans="1:1" x14ac:dyDescent="0.25">
      <c r="A2201" s="38"/>
    </row>
    <row r="2202" spans="1:1" x14ac:dyDescent="0.25">
      <c r="A2202" s="38"/>
    </row>
    <row r="2203" spans="1:1" x14ac:dyDescent="0.25">
      <c r="A2203" s="38"/>
    </row>
    <row r="2204" spans="1:1" x14ac:dyDescent="0.25">
      <c r="A2204" s="38"/>
    </row>
    <row r="2205" spans="1:1" x14ac:dyDescent="0.25">
      <c r="A2205" s="38"/>
    </row>
    <row r="2206" spans="1:1" x14ac:dyDescent="0.25">
      <c r="A2206" s="38"/>
    </row>
    <row r="2207" spans="1:1" x14ac:dyDescent="0.25">
      <c r="A2207" s="38"/>
    </row>
    <row r="2208" spans="1:1" x14ac:dyDescent="0.25">
      <c r="A2208" s="38"/>
    </row>
    <row r="2209" spans="1:1" x14ac:dyDescent="0.25">
      <c r="A2209" s="38"/>
    </row>
    <row r="2210" spans="1:1" x14ac:dyDescent="0.25">
      <c r="A2210" s="38"/>
    </row>
    <row r="2211" spans="1:1" x14ac:dyDescent="0.25">
      <c r="A2211" s="38"/>
    </row>
    <row r="2212" spans="1:1" x14ac:dyDescent="0.25">
      <c r="A2212" s="38"/>
    </row>
    <row r="2213" spans="1:1" x14ac:dyDescent="0.25">
      <c r="A2213" s="38"/>
    </row>
    <row r="2214" spans="1:1" x14ac:dyDescent="0.25">
      <c r="A2214" s="38"/>
    </row>
    <row r="2215" spans="1:1" x14ac:dyDescent="0.25">
      <c r="A2215" s="38"/>
    </row>
    <row r="2216" spans="1:1" x14ac:dyDescent="0.25">
      <c r="A2216" s="38"/>
    </row>
    <row r="2217" spans="1:1" x14ac:dyDescent="0.25">
      <c r="A2217" s="38"/>
    </row>
    <row r="2218" spans="1:1" x14ac:dyDescent="0.25">
      <c r="A2218" s="38"/>
    </row>
    <row r="2219" spans="1:1" x14ac:dyDescent="0.25">
      <c r="A2219" s="38"/>
    </row>
    <row r="2220" spans="1:1" x14ac:dyDescent="0.25">
      <c r="A2220" s="38"/>
    </row>
    <row r="2221" spans="1:1" x14ac:dyDescent="0.25">
      <c r="A2221" s="38"/>
    </row>
    <row r="2222" spans="1:1" x14ac:dyDescent="0.25">
      <c r="A2222" s="38"/>
    </row>
    <row r="2223" spans="1:1" x14ac:dyDescent="0.25">
      <c r="A2223" s="38"/>
    </row>
    <row r="2224" spans="1:1" x14ac:dyDescent="0.25">
      <c r="A2224" s="38"/>
    </row>
    <row r="2225" spans="1:1" x14ac:dyDescent="0.25">
      <c r="A2225" s="38"/>
    </row>
    <row r="2226" spans="1:1" x14ac:dyDescent="0.25">
      <c r="A2226" s="38"/>
    </row>
    <row r="2227" spans="1:1" x14ac:dyDescent="0.25">
      <c r="A2227" s="38"/>
    </row>
    <row r="2228" spans="1:1" x14ac:dyDescent="0.25">
      <c r="A2228" s="38"/>
    </row>
    <row r="2229" spans="1:1" x14ac:dyDescent="0.25">
      <c r="A2229" s="38"/>
    </row>
    <row r="2230" spans="1:1" x14ac:dyDescent="0.25">
      <c r="A2230" s="38"/>
    </row>
    <row r="2231" spans="1:1" x14ac:dyDescent="0.25">
      <c r="A2231" s="38"/>
    </row>
    <row r="2232" spans="1:1" x14ac:dyDescent="0.25">
      <c r="A2232" s="38"/>
    </row>
    <row r="2233" spans="1:1" x14ac:dyDescent="0.25">
      <c r="A2233" s="38"/>
    </row>
    <row r="2234" spans="1:1" x14ac:dyDescent="0.25">
      <c r="A2234" s="38"/>
    </row>
    <row r="2235" spans="1:1" x14ac:dyDescent="0.25">
      <c r="A2235" s="38"/>
    </row>
    <row r="2236" spans="1:1" x14ac:dyDescent="0.25">
      <c r="A2236" s="38"/>
    </row>
    <row r="2237" spans="1:1" x14ac:dyDescent="0.25">
      <c r="A2237" s="38"/>
    </row>
    <row r="2238" spans="1:1" x14ac:dyDescent="0.25">
      <c r="A2238" s="38"/>
    </row>
    <row r="2239" spans="1:1" x14ac:dyDescent="0.25">
      <c r="A2239" s="38"/>
    </row>
    <row r="2240" spans="1:1" x14ac:dyDescent="0.25">
      <c r="A2240" s="38"/>
    </row>
    <row r="2241" spans="1:1" x14ac:dyDescent="0.25">
      <c r="A2241" s="38"/>
    </row>
    <row r="2242" spans="1:1" x14ac:dyDescent="0.25">
      <c r="A2242" s="38"/>
    </row>
    <row r="2243" spans="1:1" x14ac:dyDescent="0.25">
      <c r="A2243" s="38"/>
    </row>
    <row r="2244" spans="1:1" x14ac:dyDescent="0.25">
      <c r="A2244" s="38"/>
    </row>
    <row r="2245" spans="1:1" x14ac:dyDescent="0.25">
      <c r="A2245" s="38"/>
    </row>
    <row r="2246" spans="1:1" x14ac:dyDescent="0.25">
      <c r="A2246" s="38"/>
    </row>
    <row r="2247" spans="1:1" x14ac:dyDescent="0.25">
      <c r="A2247" s="38"/>
    </row>
    <row r="2248" spans="1:1" x14ac:dyDescent="0.25">
      <c r="A2248" s="38"/>
    </row>
    <row r="2249" spans="1:1" x14ac:dyDescent="0.25">
      <c r="A2249" s="38"/>
    </row>
    <row r="2250" spans="1:1" x14ac:dyDescent="0.25">
      <c r="A2250" s="38"/>
    </row>
    <row r="2251" spans="1:1" x14ac:dyDescent="0.25">
      <c r="A2251" s="38"/>
    </row>
    <row r="2252" spans="1:1" x14ac:dyDescent="0.25">
      <c r="A2252" s="38"/>
    </row>
    <row r="2253" spans="1:1" x14ac:dyDescent="0.25">
      <c r="A2253" s="38"/>
    </row>
    <row r="2254" spans="1:1" x14ac:dyDescent="0.25">
      <c r="A2254" s="38"/>
    </row>
    <row r="2255" spans="1:1" x14ac:dyDescent="0.25">
      <c r="A2255" s="38"/>
    </row>
    <row r="2256" spans="1:1" x14ac:dyDescent="0.25">
      <c r="A2256" s="38"/>
    </row>
    <row r="2257" spans="1:1" x14ac:dyDescent="0.25">
      <c r="A2257" s="38"/>
    </row>
    <row r="2258" spans="1:1" x14ac:dyDescent="0.25">
      <c r="A2258" s="38"/>
    </row>
    <row r="2259" spans="1:1" x14ac:dyDescent="0.25">
      <c r="A2259" s="38"/>
    </row>
    <row r="2260" spans="1:1" x14ac:dyDescent="0.25">
      <c r="A2260" s="38"/>
    </row>
    <row r="2261" spans="1:1" x14ac:dyDescent="0.25">
      <c r="A2261" s="38"/>
    </row>
    <row r="2262" spans="1:1" x14ac:dyDescent="0.25">
      <c r="A2262" s="38"/>
    </row>
    <row r="2263" spans="1:1" x14ac:dyDescent="0.25">
      <c r="A2263" s="38"/>
    </row>
    <row r="2264" spans="1:1" x14ac:dyDescent="0.25">
      <c r="A2264" s="38"/>
    </row>
    <row r="2265" spans="1:1" x14ac:dyDescent="0.25">
      <c r="A2265" s="38"/>
    </row>
    <row r="2266" spans="1:1" x14ac:dyDescent="0.25">
      <c r="A2266" s="38"/>
    </row>
    <row r="2267" spans="1:1" x14ac:dyDescent="0.25">
      <c r="A2267" s="38"/>
    </row>
    <row r="2268" spans="1:1" x14ac:dyDescent="0.25">
      <c r="A2268" s="38"/>
    </row>
    <row r="2269" spans="1:1" x14ac:dyDescent="0.25">
      <c r="A2269" s="38"/>
    </row>
    <row r="2270" spans="1:1" x14ac:dyDescent="0.25">
      <c r="A2270" s="38"/>
    </row>
    <row r="2271" spans="1:1" x14ac:dyDescent="0.25">
      <c r="A2271" s="38"/>
    </row>
    <row r="2272" spans="1:1" x14ac:dyDescent="0.25">
      <c r="A2272" s="38"/>
    </row>
    <row r="2273" spans="1:1" x14ac:dyDescent="0.25">
      <c r="A2273" s="38"/>
    </row>
    <row r="2274" spans="1:1" x14ac:dyDescent="0.25">
      <c r="A2274" s="38"/>
    </row>
    <row r="2275" spans="1:1" x14ac:dyDescent="0.25">
      <c r="A2275" s="38"/>
    </row>
    <row r="2276" spans="1:1" x14ac:dyDescent="0.25">
      <c r="A2276" s="38"/>
    </row>
    <row r="2277" spans="1:1" x14ac:dyDescent="0.25">
      <c r="A2277" s="38"/>
    </row>
    <row r="2278" spans="1:1" x14ac:dyDescent="0.25">
      <c r="A2278" s="38"/>
    </row>
    <row r="2279" spans="1:1" x14ac:dyDescent="0.25">
      <c r="A2279" s="38"/>
    </row>
    <row r="2280" spans="1:1" x14ac:dyDescent="0.25">
      <c r="A2280" s="38"/>
    </row>
    <row r="2281" spans="1:1" x14ac:dyDescent="0.25">
      <c r="A2281" s="38"/>
    </row>
    <row r="2282" spans="1:1" x14ac:dyDescent="0.25">
      <c r="A2282" s="38"/>
    </row>
    <row r="2283" spans="1:1" x14ac:dyDescent="0.25">
      <c r="A2283" s="38"/>
    </row>
    <row r="2284" spans="1:1" x14ac:dyDescent="0.25">
      <c r="A2284" s="38"/>
    </row>
    <row r="2285" spans="1:1" x14ac:dyDescent="0.25">
      <c r="A2285" s="38"/>
    </row>
    <row r="2286" spans="1:1" x14ac:dyDescent="0.25">
      <c r="A2286" s="38"/>
    </row>
    <row r="2287" spans="1:1" x14ac:dyDescent="0.25">
      <c r="A2287" s="38"/>
    </row>
    <row r="2288" spans="1:1" x14ac:dyDescent="0.25">
      <c r="A2288" s="38"/>
    </row>
    <row r="2289" spans="1:1" x14ac:dyDescent="0.25">
      <c r="A2289" s="38"/>
    </row>
    <row r="2290" spans="1:1" x14ac:dyDescent="0.25">
      <c r="A2290" s="38"/>
    </row>
    <row r="2291" spans="1:1" x14ac:dyDescent="0.25">
      <c r="A2291" s="38"/>
    </row>
    <row r="2292" spans="1:1" x14ac:dyDescent="0.25">
      <c r="A2292" s="38"/>
    </row>
    <row r="2293" spans="1:1" x14ac:dyDescent="0.25">
      <c r="A2293" s="38"/>
    </row>
    <row r="2294" spans="1:1" x14ac:dyDescent="0.25">
      <c r="A2294" s="38"/>
    </row>
    <row r="2295" spans="1:1" x14ac:dyDescent="0.25">
      <c r="A2295" s="38"/>
    </row>
    <row r="2296" spans="1:1" x14ac:dyDescent="0.25">
      <c r="A2296" s="38"/>
    </row>
    <row r="2297" spans="1:1" x14ac:dyDescent="0.25">
      <c r="A2297" s="38"/>
    </row>
    <row r="2298" spans="1:1" x14ac:dyDescent="0.25">
      <c r="A2298" s="38"/>
    </row>
    <row r="2299" spans="1:1" x14ac:dyDescent="0.25">
      <c r="A2299" s="38"/>
    </row>
    <row r="2300" spans="1:1" x14ac:dyDescent="0.25">
      <c r="A2300" s="38"/>
    </row>
    <row r="2301" spans="1:1" x14ac:dyDescent="0.25">
      <c r="A2301" s="38"/>
    </row>
    <row r="2302" spans="1:1" x14ac:dyDescent="0.25">
      <c r="A2302" s="38"/>
    </row>
    <row r="2303" spans="1:1" x14ac:dyDescent="0.25">
      <c r="A2303" s="38"/>
    </row>
    <row r="2304" spans="1:1" x14ac:dyDescent="0.25">
      <c r="A2304" s="38"/>
    </row>
    <row r="2305" spans="1:1" x14ac:dyDescent="0.25">
      <c r="A2305" s="38"/>
    </row>
    <row r="2306" spans="1:1" x14ac:dyDescent="0.25">
      <c r="A2306" s="38"/>
    </row>
    <row r="2307" spans="1:1" x14ac:dyDescent="0.25">
      <c r="A2307" s="38"/>
    </row>
    <row r="2308" spans="1:1" x14ac:dyDescent="0.25">
      <c r="A2308" s="38"/>
    </row>
    <row r="2309" spans="1:1" x14ac:dyDescent="0.25">
      <c r="A2309" s="38"/>
    </row>
    <row r="2310" spans="1:1" x14ac:dyDescent="0.25">
      <c r="A2310" s="38"/>
    </row>
    <row r="2311" spans="1:1" x14ac:dyDescent="0.25">
      <c r="A2311" s="38"/>
    </row>
    <row r="2312" spans="1:1" x14ac:dyDescent="0.25">
      <c r="A2312" s="38"/>
    </row>
    <row r="2313" spans="1:1" x14ac:dyDescent="0.25">
      <c r="A2313" s="38"/>
    </row>
    <row r="2314" spans="1:1" x14ac:dyDescent="0.25">
      <c r="A2314" s="38"/>
    </row>
    <row r="2315" spans="1:1" x14ac:dyDescent="0.25">
      <c r="A2315" s="38"/>
    </row>
    <row r="2316" spans="1:1" x14ac:dyDescent="0.25">
      <c r="A2316" s="38"/>
    </row>
    <row r="2317" spans="1:1" x14ac:dyDescent="0.25">
      <c r="A2317" s="38"/>
    </row>
    <row r="2318" spans="1:1" x14ac:dyDescent="0.25">
      <c r="A2318" s="38"/>
    </row>
    <row r="2319" spans="1:1" x14ac:dyDescent="0.25">
      <c r="A2319" s="38"/>
    </row>
    <row r="2320" spans="1:1" x14ac:dyDescent="0.25">
      <c r="A2320" s="38"/>
    </row>
    <row r="2321" spans="1:1" x14ac:dyDescent="0.25">
      <c r="A2321" s="38"/>
    </row>
    <row r="2322" spans="1:1" x14ac:dyDescent="0.25">
      <c r="A2322" s="38"/>
    </row>
    <row r="2323" spans="1:1" x14ac:dyDescent="0.25">
      <c r="A2323" s="38"/>
    </row>
    <row r="2324" spans="1:1" x14ac:dyDescent="0.25">
      <c r="A2324" s="38"/>
    </row>
    <row r="2325" spans="1:1" x14ac:dyDescent="0.25">
      <c r="A2325" s="38"/>
    </row>
    <row r="2326" spans="1:1" x14ac:dyDescent="0.25">
      <c r="A2326" s="38"/>
    </row>
    <row r="2327" spans="1:1" x14ac:dyDescent="0.25">
      <c r="A2327" s="38"/>
    </row>
    <row r="2328" spans="1:1" x14ac:dyDescent="0.25">
      <c r="A2328" s="38"/>
    </row>
    <row r="2329" spans="1:1" x14ac:dyDescent="0.25">
      <c r="A2329" s="38"/>
    </row>
    <row r="2330" spans="1:1" x14ac:dyDescent="0.25">
      <c r="A2330" s="38"/>
    </row>
    <row r="2331" spans="1:1" x14ac:dyDescent="0.25">
      <c r="A2331" s="38"/>
    </row>
    <row r="2332" spans="1:1" x14ac:dyDescent="0.25">
      <c r="A2332" s="38"/>
    </row>
    <row r="2333" spans="1:1" x14ac:dyDescent="0.25">
      <c r="A2333" s="38"/>
    </row>
    <row r="2334" spans="1:1" x14ac:dyDescent="0.25">
      <c r="A2334" s="38"/>
    </row>
    <row r="2335" spans="1:1" x14ac:dyDescent="0.25">
      <c r="A2335" s="38"/>
    </row>
    <row r="2336" spans="1:1" x14ac:dyDescent="0.25">
      <c r="A2336" s="38"/>
    </row>
    <row r="2337" spans="1:1" x14ac:dyDescent="0.25">
      <c r="A2337" s="38"/>
    </row>
    <row r="2338" spans="1:1" x14ac:dyDescent="0.25">
      <c r="A2338" s="38"/>
    </row>
    <row r="2339" spans="1:1" x14ac:dyDescent="0.25">
      <c r="A2339" s="38"/>
    </row>
    <row r="2340" spans="1:1" x14ac:dyDescent="0.25">
      <c r="A2340" s="38"/>
    </row>
    <row r="2341" spans="1:1" x14ac:dyDescent="0.25">
      <c r="A2341" s="38"/>
    </row>
    <row r="2342" spans="1:1" x14ac:dyDescent="0.25">
      <c r="A2342" s="38"/>
    </row>
    <row r="2343" spans="1:1" x14ac:dyDescent="0.25">
      <c r="A2343" s="38"/>
    </row>
    <row r="2344" spans="1:1" x14ac:dyDescent="0.25">
      <c r="A2344" s="38"/>
    </row>
    <row r="2345" spans="1:1" x14ac:dyDescent="0.25">
      <c r="A2345" s="38"/>
    </row>
    <row r="2346" spans="1:1" x14ac:dyDescent="0.25">
      <c r="A2346" s="38"/>
    </row>
    <row r="2347" spans="1:1" x14ac:dyDescent="0.25">
      <c r="A2347" s="38"/>
    </row>
    <row r="2348" spans="1:1" x14ac:dyDescent="0.25">
      <c r="A2348" s="38"/>
    </row>
    <row r="2349" spans="1:1" x14ac:dyDescent="0.25">
      <c r="A2349" s="38"/>
    </row>
    <row r="2350" spans="1:1" x14ac:dyDescent="0.25">
      <c r="A2350" s="38"/>
    </row>
    <row r="2351" spans="1:1" x14ac:dyDescent="0.25">
      <c r="A2351" s="38"/>
    </row>
    <row r="2352" spans="1:1" x14ac:dyDescent="0.25">
      <c r="A2352" s="38"/>
    </row>
    <row r="2353" spans="1:1" x14ac:dyDescent="0.25">
      <c r="A2353" s="38"/>
    </row>
    <row r="2354" spans="1:1" x14ac:dyDescent="0.25">
      <c r="A2354" s="38"/>
    </row>
    <row r="2355" spans="1:1" x14ac:dyDescent="0.25">
      <c r="A2355" s="38"/>
    </row>
    <row r="2356" spans="1:1" x14ac:dyDescent="0.25">
      <c r="A2356" s="38"/>
    </row>
    <row r="2357" spans="1:1" x14ac:dyDescent="0.25">
      <c r="A2357" s="38"/>
    </row>
    <row r="2358" spans="1:1" x14ac:dyDescent="0.25">
      <c r="A2358" s="38"/>
    </row>
    <row r="2359" spans="1:1" x14ac:dyDescent="0.25">
      <c r="A2359" s="38"/>
    </row>
    <row r="2360" spans="1:1" x14ac:dyDescent="0.25">
      <c r="A2360" s="38"/>
    </row>
    <row r="2361" spans="1:1" x14ac:dyDescent="0.25">
      <c r="A2361" s="38"/>
    </row>
    <row r="2362" spans="1:1" x14ac:dyDescent="0.25">
      <c r="A2362" s="38"/>
    </row>
    <row r="2363" spans="1:1" x14ac:dyDescent="0.25">
      <c r="A2363" s="38"/>
    </row>
    <row r="2364" spans="1:1" x14ac:dyDescent="0.25">
      <c r="A2364" s="38"/>
    </row>
    <row r="2365" spans="1:1" x14ac:dyDescent="0.25">
      <c r="A2365" s="38"/>
    </row>
    <row r="2366" spans="1:1" x14ac:dyDescent="0.25">
      <c r="A2366" s="38"/>
    </row>
    <row r="2367" spans="1:1" x14ac:dyDescent="0.25">
      <c r="A2367" s="38"/>
    </row>
    <row r="2368" spans="1:1" x14ac:dyDescent="0.25">
      <c r="A2368" s="38"/>
    </row>
    <row r="2369" spans="1:1" x14ac:dyDescent="0.25">
      <c r="A2369" s="38"/>
    </row>
    <row r="2370" spans="1:1" x14ac:dyDescent="0.25">
      <c r="A2370" s="38"/>
    </row>
    <row r="2371" spans="1:1" x14ac:dyDescent="0.25">
      <c r="A2371" s="38"/>
    </row>
    <row r="2372" spans="1:1" x14ac:dyDescent="0.25">
      <c r="A2372" s="38"/>
    </row>
    <row r="2373" spans="1:1" x14ac:dyDescent="0.25">
      <c r="A2373" s="38"/>
    </row>
    <row r="2374" spans="1:1" x14ac:dyDescent="0.25">
      <c r="A2374" s="38"/>
    </row>
    <row r="2375" spans="1:1" x14ac:dyDescent="0.25">
      <c r="A2375" s="38"/>
    </row>
    <row r="2376" spans="1:1" x14ac:dyDescent="0.25">
      <c r="A2376" s="38"/>
    </row>
    <row r="2377" spans="1:1" x14ac:dyDescent="0.25">
      <c r="A2377" s="38"/>
    </row>
    <row r="2378" spans="1:1" x14ac:dyDescent="0.25">
      <c r="A2378" s="38"/>
    </row>
    <row r="2379" spans="1:1" x14ac:dyDescent="0.25">
      <c r="A2379" s="38"/>
    </row>
    <row r="2380" spans="1:1" x14ac:dyDescent="0.25">
      <c r="A2380" s="38"/>
    </row>
    <row r="2381" spans="1:1" x14ac:dyDescent="0.25">
      <c r="A2381" s="38"/>
    </row>
    <row r="2382" spans="1:1" x14ac:dyDescent="0.25">
      <c r="A2382" s="38"/>
    </row>
    <row r="2383" spans="1:1" x14ac:dyDescent="0.25">
      <c r="A2383" s="38"/>
    </row>
    <row r="2384" spans="1:1" x14ac:dyDescent="0.25">
      <c r="A2384" s="38"/>
    </row>
    <row r="2385" spans="1:1" x14ac:dyDescent="0.25">
      <c r="A2385" s="38"/>
    </row>
    <row r="2386" spans="1:1" x14ac:dyDescent="0.25">
      <c r="A2386" s="38"/>
    </row>
    <row r="2387" spans="1:1" x14ac:dyDescent="0.25">
      <c r="A2387" s="38"/>
    </row>
    <row r="2388" spans="1:1" x14ac:dyDescent="0.25">
      <c r="A2388" s="38"/>
    </row>
    <row r="2389" spans="1:1" x14ac:dyDescent="0.25">
      <c r="A2389" s="38"/>
    </row>
    <row r="2390" spans="1:1" x14ac:dyDescent="0.25">
      <c r="A2390" s="38"/>
    </row>
    <row r="2391" spans="1:1" x14ac:dyDescent="0.25">
      <c r="A2391" s="38"/>
    </row>
    <row r="2392" spans="1:1" x14ac:dyDescent="0.25">
      <c r="A2392" s="38"/>
    </row>
    <row r="2393" spans="1:1" x14ac:dyDescent="0.25">
      <c r="A2393" s="38"/>
    </row>
    <row r="2394" spans="1:1" x14ac:dyDescent="0.25">
      <c r="A2394" s="38"/>
    </row>
    <row r="2395" spans="1:1" x14ac:dyDescent="0.25">
      <c r="A2395" s="38"/>
    </row>
    <row r="2396" spans="1:1" x14ac:dyDescent="0.25">
      <c r="A2396" s="38"/>
    </row>
    <row r="2397" spans="1:1" x14ac:dyDescent="0.25">
      <c r="A2397" s="38"/>
    </row>
    <row r="2398" spans="1:1" x14ac:dyDescent="0.25">
      <c r="A2398" s="38"/>
    </row>
    <row r="2399" spans="1:1" x14ac:dyDescent="0.25">
      <c r="A2399" s="38"/>
    </row>
    <row r="2400" spans="1:1" x14ac:dyDescent="0.25">
      <c r="A2400" s="38"/>
    </row>
    <row r="2401" spans="1:1" x14ac:dyDescent="0.25">
      <c r="A2401" s="37"/>
    </row>
    <row r="2402" spans="1:1" x14ac:dyDescent="0.25">
      <c r="A2402" s="37"/>
    </row>
    <row r="2403" spans="1:1" x14ac:dyDescent="0.25">
      <c r="A2403" s="37"/>
    </row>
    <row r="2404" spans="1:1" x14ac:dyDescent="0.25">
      <c r="A2404" s="37"/>
    </row>
    <row r="2405" spans="1:1" x14ac:dyDescent="0.25">
      <c r="A2405" s="37"/>
    </row>
    <row r="2406" spans="1:1" x14ac:dyDescent="0.25">
      <c r="A2406" s="37"/>
    </row>
    <row r="2407" spans="1:1" x14ac:dyDescent="0.25">
      <c r="A2407" s="37"/>
    </row>
    <row r="2408" spans="1:1" x14ac:dyDescent="0.25">
      <c r="A2408" s="37"/>
    </row>
    <row r="2409" spans="1:1" x14ac:dyDescent="0.25">
      <c r="A2409" s="37"/>
    </row>
    <row r="2410" spans="1:1" x14ac:dyDescent="0.25">
      <c r="A2410" s="37"/>
    </row>
    <row r="2411" spans="1:1" x14ac:dyDescent="0.25">
      <c r="A2411" s="37"/>
    </row>
    <row r="2412" spans="1:1" x14ac:dyDescent="0.25">
      <c r="A2412" s="37"/>
    </row>
    <row r="2413" spans="1:1" x14ac:dyDescent="0.25">
      <c r="A2413" s="37"/>
    </row>
    <row r="2414" spans="1:1" x14ac:dyDescent="0.25">
      <c r="A2414" s="37"/>
    </row>
    <row r="2415" spans="1:1" x14ac:dyDescent="0.25">
      <c r="A2415" s="37"/>
    </row>
    <row r="2416" spans="1:1" x14ac:dyDescent="0.25">
      <c r="A2416" s="37"/>
    </row>
    <row r="2417" spans="1:1" x14ac:dyDescent="0.25">
      <c r="A2417" s="37"/>
    </row>
    <row r="2418" spans="1:1" x14ac:dyDescent="0.25">
      <c r="A2418" s="37"/>
    </row>
    <row r="2419" spans="1:1" x14ac:dyDescent="0.25">
      <c r="A2419" s="37"/>
    </row>
    <row r="2420" spans="1:1" x14ac:dyDescent="0.25">
      <c r="A2420" s="37"/>
    </row>
    <row r="2421" spans="1:1" x14ac:dyDescent="0.25">
      <c r="A2421" s="37"/>
    </row>
    <row r="2422" spans="1:1" x14ac:dyDescent="0.25">
      <c r="A2422" s="37"/>
    </row>
    <row r="2423" spans="1:1" x14ac:dyDescent="0.25">
      <c r="A2423" s="37"/>
    </row>
    <row r="2424" spans="1:1" x14ac:dyDescent="0.25">
      <c r="A2424" s="37"/>
    </row>
    <row r="2425" spans="1:1" x14ac:dyDescent="0.25">
      <c r="A2425" s="37"/>
    </row>
    <row r="2426" spans="1:1" x14ac:dyDescent="0.25">
      <c r="A2426" s="37"/>
    </row>
    <row r="2427" spans="1:1" x14ac:dyDescent="0.25">
      <c r="A2427" s="37"/>
    </row>
    <row r="2428" spans="1:1" x14ac:dyDescent="0.25">
      <c r="A2428" s="37"/>
    </row>
    <row r="2429" spans="1:1" x14ac:dyDescent="0.25">
      <c r="A2429" s="37"/>
    </row>
    <row r="2430" spans="1:1" x14ac:dyDescent="0.25">
      <c r="A2430" s="37"/>
    </row>
    <row r="2431" spans="1:1" x14ac:dyDescent="0.25">
      <c r="A2431" s="37"/>
    </row>
    <row r="2432" spans="1:1" x14ac:dyDescent="0.25">
      <c r="A2432" s="37"/>
    </row>
    <row r="2433" spans="1:1" x14ac:dyDescent="0.25">
      <c r="A2433" s="37"/>
    </row>
    <row r="2434" spans="1:1" x14ac:dyDescent="0.25">
      <c r="A2434" s="37"/>
    </row>
    <row r="2435" spans="1:1" x14ac:dyDescent="0.25">
      <c r="A2435" s="37"/>
    </row>
    <row r="2436" spans="1:1" x14ac:dyDescent="0.25">
      <c r="A2436" s="37"/>
    </row>
    <row r="2437" spans="1:1" x14ac:dyDescent="0.25">
      <c r="A2437" s="37"/>
    </row>
    <row r="2438" spans="1:1" x14ac:dyDescent="0.25">
      <c r="A2438" s="37"/>
    </row>
    <row r="2439" spans="1:1" x14ac:dyDescent="0.25">
      <c r="A2439" s="37"/>
    </row>
  </sheetData>
  <autoFilter ref="A1:N911" xr:uid="{EA631281-190B-4138-96BC-817C81A5B65C}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1D770-49E5-4934-BEB7-EAB5FEAED329}">
  <dimension ref="A1:B9"/>
  <sheetViews>
    <sheetView workbookViewId="0">
      <selection activeCell="D10" sqref="D10"/>
    </sheetView>
  </sheetViews>
  <sheetFormatPr defaultRowHeight="13.2" x14ac:dyDescent="0.25"/>
  <sheetData>
    <row r="1" spans="1:2" s="1" customFormat="1" x14ac:dyDescent="0.25"/>
    <row r="2" spans="1:2" s="1" customFormat="1" x14ac:dyDescent="0.25">
      <c r="A2" s="1" t="s">
        <v>541</v>
      </c>
    </row>
    <row r="3" spans="1:2" x14ac:dyDescent="0.25">
      <c r="A3" s="1"/>
      <c r="B3" s="1"/>
    </row>
    <row r="4" spans="1:2" x14ac:dyDescent="0.25">
      <c r="A4" s="1" t="s">
        <v>542</v>
      </c>
      <c r="B4" s="1"/>
    </row>
    <row r="5" spans="1:2" x14ac:dyDescent="0.25">
      <c r="A5" s="1" t="s">
        <v>543</v>
      </c>
      <c r="B5" s="1"/>
    </row>
    <row r="6" spans="1:2" x14ac:dyDescent="0.25">
      <c r="A6" s="1" t="s">
        <v>544</v>
      </c>
      <c r="B6" s="1"/>
    </row>
    <row r="7" spans="1:2" x14ac:dyDescent="0.25">
      <c r="A7" s="1" t="s">
        <v>545</v>
      </c>
      <c r="B7" s="1"/>
    </row>
    <row r="9" spans="1:2" x14ac:dyDescent="0.25">
      <c r="A9" s="1" t="s">
        <v>546</v>
      </c>
      <c r="B9" s="1" t="s">
        <v>547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ce59f7e5-8197-4253-a1b7-da56e7a42580" xsi:nil="true"/>
    <SharedWithUsers xmlns="e8c84b0b-38f5-4dd8-a8cb-100050dddae4">
      <UserInfo>
        <DisplayName>Emily Starling</DisplayName>
        <AccountId>94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FC06BBD2918F4B89B6CB069944425B" ma:contentTypeVersion="11" ma:contentTypeDescription="Create a new document." ma:contentTypeScope="" ma:versionID="c06289bf0b91be0c3f5c930ab7a6ad73">
  <xsd:schema xmlns:xsd="http://www.w3.org/2001/XMLSchema" xmlns:xs="http://www.w3.org/2001/XMLSchema" xmlns:p="http://schemas.microsoft.com/office/2006/metadata/properties" xmlns:ns2="ce59f7e5-8197-4253-a1b7-da56e7a42580" xmlns:ns3="e8c84b0b-38f5-4dd8-a8cb-100050dddae4" targetNamespace="http://schemas.microsoft.com/office/2006/metadata/properties" ma:root="true" ma:fieldsID="0301060a00431a98512ba7ef5ee21a82" ns2:_="" ns3:_="">
    <xsd:import namespace="ce59f7e5-8197-4253-a1b7-da56e7a42580"/>
    <xsd:import namespace="e8c84b0b-38f5-4dd8-a8cb-100050dddae4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9f7e5-8197-4253-a1b7-da56e7a42580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list="{f0e4af39-03ad-4587-b8e2-2b27ad1b206e}" ma:internalName="Document_x0020_Type" ma:showField="Title">
      <xsd:simpleType>
        <xsd:restriction base="dms:Lookup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84b0b-38f5-4dd8-a8cb-100050dddae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48DFE-5426-4552-9C75-8777762E99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238FD-4D76-41F6-9CB3-0DE0B1E287FC}">
  <ds:schemaRefs>
    <ds:schemaRef ds:uri="http://purl.org/dc/elements/1.1/"/>
    <ds:schemaRef ds:uri="http://schemas.microsoft.com/office/2006/metadata/properties"/>
    <ds:schemaRef ds:uri="ce59f7e5-8197-4253-a1b7-da56e7a4258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8c84b0b-38f5-4dd8-a8cb-100050dddae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2A0C82-BAE8-45BE-8002-8B10ECC8FF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59f7e5-8197-4253-a1b7-da56e7a42580"/>
    <ds:schemaRef ds:uri="e8c84b0b-38f5-4dd8-a8cb-100050ddda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Page</vt:lpstr>
      <vt:lpstr>Date</vt:lpstr>
      <vt:lpstr>Guidance</vt:lpstr>
      <vt:lpstr>Table</vt:lpstr>
      <vt:lpstr>Pivot</vt:lpstr>
      <vt:lpstr>Data</vt:lpstr>
      <vt:lpstr>Notes to be used in dev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McGettigan</dc:creator>
  <cp:keywords/>
  <dc:description/>
  <cp:lastModifiedBy>Emily Starling</cp:lastModifiedBy>
  <cp:revision/>
  <dcterms:created xsi:type="dcterms:W3CDTF">2020-09-09T12:33:56Z</dcterms:created>
  <dcterms:modified xsi:type="dcterms:W3CDTF">2021-02-11T15:02:13Z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0x010100D1FC06BBD2918F4B89B6CB069944425B</vt:lpwstr>
  </property>
  <property fmtid="{D5CDD505-2E9C-101B-9397-08002B2CF9AE}" pid="3" name="xd_ProgID">
    <vt:lpwstr/>
  </property>
  <property fmtid="{D5CDD505-2E9C-101B-9397-08002B2CF9AE}" pid="4" name="OfstedDepartment">
    <vt:lpwstr/>
  </property>
  <property fmtid="{D5CDD505-2E9C-101B-9397-08002B2CF9AE}" pid="5" name="Directorate">
    <vt:lpwstr/>
  </property>
  <property fmtid="{D5CDD505-2E9C-101B-9397-08002B2CF9AE}" pid="6" name="OfstedTeam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DocumentType">
    <vt:lpwstr/>
  </property>
  <property fmtid="{D5CDD505-2E9C-101B-9397-08002B2CF9AE}" pid="10" name="xd_Signature">
    <vt:bool>false</vt:bool>
  </property>
  <property fmtid="{D5CDD505-2E9C-101B-9397-08002B2CF9AE}" pid="11" name="SharedWithUsers">
    <vt:lpwstr>94;#Emily Starling</vt:lpwstr>
  </property>
</Properties>
</file>