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p5hq\RestrictedSchools$\Official stats and MI\MI\Covid transparency data\Dec 2020\Final\"/>
    </mc:Choice>
  </mc:AlternateContent>
  <xr:revisionPtr revIDLastSave="0" documentId="13_ncr:1_{18C0DAC8-36E5-47AC-AD28-952A169A4A8B}" xr6:coauthVersionLast="36" xr6:coauthVersionMax="36" xr10:uidLastSave="{00000000-0000-0000-0000-000000000000}"/>
  <bookViews>
    <workbookView xWindow="28695" yWindow="-105" windowWidth="25410" windowHeight="15375" tabRatio="680" xr2:uid="{AEE1F0E0-AE61-45CC-872F-C2F4CBB47FE9}"/>
  </bookViews>
  <sheets>
    <sheet name="Cover Page" sheetId="2" r:id="rId1"/>
    <sheet name="Guidance" sheetId="14" r:id="rId2"/>
    <sheet name="Table" sheetId="12" r:id="rId3"/>
    <sheet name="Data" sheetId="6" r:id="rId4"/>
  </sheets>
  <definedNames>
    <definedName name="_xlnm._FilterDatabase" localSheetId="3" hidden="1">Data!$A$1:$U$700</definedName>
    <definedName name="_xlnm._FilterDatabase" localSheetId="2" hidden="1">Table!$B$6:$B$169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6" l="1"/>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alcChain>
</file>

<file path=xl/sharedStrings.xml><?xml version="1.0" encoding="utf-8"?>
<sst xmlns="http://schemas.openxmlformats.org/spreadsheetml/2006/main" count="9722" uniqueCount="2045">
  <si>
    <t>Transparency Data</t>
  </si>
  <si>
    <t>Policy area:</t>
  </si>
  <si>
    <t>State-funded schools</t>
  </si>
  <si>
    <t>Theme:</t>
  </si>
  <si>
    <t>Education, children's services and skills</t>
  </si>
  <si>
    <t>Published on:</t>
  </si>
  <si>
    <t>Coverage:</t>
  </si>
  <si>
    <t>England</t>
  </si>
  <si>
    <t>Period covered:</t>
  </si>
  <si>
    <t>Status:</t>
  </si>
  <si>
    <t>Issued by:</t>
  </si>
  <si>
    <t>Office for Standards in Education, 
Children’s Services and Skills (Ofsted)
70 Petty France
Westminster
London 
SW1H 9EX</t>
  </si>
  <si>
    <t>Chief Statistician:</t>
  </si>
  <si>
    <t>Jason Bradbury</t>
  </si>
  <si>
    <t>Statistician:</t>
  </si>
  <si>
    <t>Louise Butler</t>
  </si>
  <si>
    <t xml:space="preserve">If you have any comments or feedback on this publication please contact the Schools Data and Analysis Team at </t>
  </si>
  <si>
    <t>inspectioninsight@ofsted.gov.uk</t>
  </si>
  <si>
    <t>Press enquiries:</t>
  </si>
  <si>
    <t>pressenquiries@ofsted.gov.uk</t>
  </si>
  <si>
    <t>Publication frequency:</t>
  </si>
  <si>
    <t>Ad hoc</t>
  </si>
  <si>
    <t>Schedule of publication:</t>
  </si>
  <si>
    <t>https://www.gov.uk/government/statistics/announcements</t>
  </si>
  <si>
    <t>Link to schools management information web page:</t>
  </si>
  <si>
    <t>https://www.gov.uk/government/statistical-data-sets/monthly-management-information-ofsteds-school-inspections-outcomes</t>
  </si>
  <si>
    <t>Link to official statistics release web page:</t>
  </si>
  <si>
    <t>https://www.gov.uk/government/collections/maintained-schools-and-academies-inspections-and-outcomes-official-statistics</t>
  </si>
  <si>
    <t>© Crown copyright 2020
You may use and re-use this information (not including logos) free of charge in any format or medium, under the terms of the Open Government Licence. To view this licence, visit: http://www.nationalarchives.gov.uk/doc/open-government-licence/</t>
  </si>
  <si>
    <t xml:space="preserve">Or write to the Information Policy Team, The National Archives, Kew, London, TW9 4DU </t>
  </si>
  <si>
    <t xml:space="preserve">Or email: </t>
  </si>
  <si>
    <t>psi@nationalarchives.gsi.gov.uk</t>
  </si>
  <si>
    <t>https://www.gov.uk/guidance/interim-phase-maintained-schools-and-academies</t>
  </si>
  <si>
    <t>Pilot visits conducted earlier in September 2020 are not included. No letters will be published in relation to these pilot visits.</t>
  </si>
  <si>
    <t>The table allows the user to filter on an individual local authority or region</t>
  </si>
  <si>
    <t xml:space="preserve">The underlying dataset has been provided which can be filtered for further analysis. </t>
  </si>
  <si>
    <t xml:space="preserve">Field name </t>
  </si>
  <si>
    <t>Description</t>
  </si>
  <si>
    <t>Web Link</t>
  </si>
  <si>
    <t>Link to the Ofsted web page for the school</t>
  </si>
  <si>
    <t>URN</t>
  </si>
  <si>
    <t>A unique number to used by Ofsted to distinguish between each individual provider</t>
  </si>
  <si>
    <t>LAESTAB</t>
  </si>
  <si>
    <t>The local authority establishment code registered with the Department for Education</t>
  </si>
  <si>
    <t>School name</t>
  </si>
  <si>
    <t>The name of the school</t>
  </si>
  <si>
    <t>Ofsted phase</t>
  </si>
  <si>
    <t>Ofsted phase of education</t>
  </si>
  <si>
    <t>Type of education</t>
  </si>
  <si>
    <t>How the provider is categorised in the Department for Education's Get information about schools database</t>
  </si>
  <si>
    <t>School open date</t>
  </si>
  <si>
    <t>Date the school opened</t>
  </si>
  <si>
    <t>Admissions Policy</t>
  </si>
  <si>
    <t>The admissions policy of the school</t>
  </si>
  <si>
    <t>Sixth Form</t>
  </si>
  <si>
    <t>Whether the schools has sixth form provision (where provided)</t>
  </si>
  <si>
    <t>Designated religious character</t>
  </si>
  <si>
    <t>Designated religious character of the school. This is sourced from Get Information About Schools, maintained by the Department for Education</t>
  </si>
  <si>
    <t>Religious ethos</t>
  </si>
  <si>
    <t>Religious ethos declared by the school. This is sourced from Get Information About Schools, maintained by the Department for Education</t>
  </si>
  <si>
    <t>Faith grouping</t>
  </si>
  <si>
    <t>Groups faith schools in to these five categories: Christian, Jewish, Muslim, other faith or non-faith using either religious character or religious ethos. If the school does not declare a religious character (i.e. "none"), we have used religious ethos. If the school does not declare a religious character or ethos, they are categorised here as "non-faith".</t>
  </si>
  <si>
    <t>Ofsted region</t>
  </si>
  <si>
    <t>The Ofsted region in which a school resides (North East, Yorkshire and the Humber are combined into a single region)</t>
  </si>
  <si>
    <t>Region</t>
  </si>
  <si>
    <t>The previously defined government office region in which a school resides</t>
  </si>
  <si>
    <t>Local authority</t>
  </si>
  <si>
    <t>The local authority in which a school currently resides. This may differ from the local authority at the time of inspection.</t>
  </si>
  <si>
    <t>Parliamentary constituency</t>
  </si>
  <si>
    <t>The parliamentary constituency in which a school resides. 'Unknown' denotes that information is not yet available from the Get Information About Schools database.</t>
  </si>
  <si>
    <t>Postcode</t>
  </si>
  <si>
    <t>Postcode of the school. 'Null' denotes that information is not yet available from the Get information about schools database.</t>
  </si>
  <si>
    <t>The income deprivation affecting children index (IDACI) quintile</t>
  </si>
  <si>
    <t>Deprivation is based on the Income Deprivation Affecting Children Index (IDACI) 2015. The deprivation of a provider is based on the mean of the deprivation indices associated with the home post codes of the pupils attending the school rather than the location of the school itself. The schools are divided into five equal groups (quintiles), from ‘most deprived’ (quintile 5) to ‘least deprived’ (quintile 1).</t>
  </si>
  <si>
    <t>Total number of pupils</t>
  </si>
  <si>
    <t>The number of pupils on roll, from the Get information about schools database which uses data from the school census in January 2019. Figures of 1 or 2 pupils have been suppressed and published as '0'. True zeroes are also shown as '0'. Data may be missing for schools that were not operating at the time of the census.</t>
  </si>
  <si>
    <t>Visit date</t>
  </si>
  <si>
    <t>Date the visit took place.</t>
  </si>
  <si>
    <t>Letter published date</t>
  </si>
  <si>
    <t xml:space="preserve">Date the the inspector's letter to the school was published on Ofsted's website </t>
  </si>
  <si>
    <t>Nursery</t>
  </si>
  <si>
    <t>Primary</t>
  </si>
  <si>
    <t>Secondary</t>
  </si>
  <si>
    <t>Special</t>
  </si>
  <si>
    <t>PRU</t>
  </si>
  <si>
    <t>East Midlands</t>
  </si>
  <si>
    <t>Derbyshire</t>
  </si>
  <si>
    <t>Leicester</t>
  </si>
  <si>
    <t>Rutland</t>
  </si>
  <si>
    <t>Lincolnshire</t>
  </si>
  <si>
    <t>Nottinghamshire</t>
  </si>
  <si>
    <t>Derby</t>
  </si>
  <si>
    <t>Northamptonshire</t>
  </si>
  <si>
    <t>Leicestershire</t>
  </si>
  <si>
    <t>Nottingham</t>
  </si>
  <si>
    <t>East of England</t>
  </si>
  <si>
    <t>Bedford</t>
  </si>
  <si>
    <t>Cambridgeshire</t>
  </si>
  <si>
    <t>Thurrock</t>
  </si>
  <si>
    <t>Suffolk</t>
  </si>
  <si>
    <t>Peterborough</t>
  </si>
  <si>
    <t>Luton</t>
  </si>
  <si>
    <t>Hertfordshire</t>
  </si>
  <si>
    <t>Norfolk</t>
  </si>
  <si>
    <t>Essex</t>
  </si>
  <si>
    <t>Central Bedfordshire</t>
  </si>
  <si>
    <t>Southend on Sea</t>
  </si>
  <si>
    <t>London</t>
  </si>
  <si>
    <t>Ealing</t>
  </si>
  <si>
    <t>Havering</t>
  </si>
  <si>
    <t>Kensington and Chelsea</t>
  </si>
  <si>
    <t>Hackney</t>
  </si>
  <si>
    <t>Camden</t>
  </si>
  <si>
    <t>Haringey</t>
  </si>
  <si>
    <t>Hounslow</t>
  </si>
  <si>
    <t>Enfield</t>
  </si>
  <si>
    <t>Bexley</t>
  </si>
  <si>
    <t>Brent</t>
  </si>
  <si>
    <t>Islington</t>
  </si>
  <si>
    <t>Richmond upon Thames</t>
  </si>
  <si>
    <t>Lewisham</t>
  </si>
  <si>
    <t>Barnet</t>
  </si>
  <si>
    <t>Hammersmith and Fulham</t>
  </si>
  <si>
    <t>Newham</t>
  </si>
  <si>
    <t>Bromley</t>
  </si>
  <si>
    <t>Barking and Dagenham</t>
  </si>
  <si>
    <t>Tower Hamlets</t>
  </si>
  <si>
    <t>Greenwich</t>
  </si>
  <si>
    <t>Waltham Forest</t>
  </si>
  <si>
    <t>Croydon</t>
  </si>
  <si>
    <t>Harrow</t>
  </si>
  <si>
    <t>Hillingdon</t>
  </si>
  <si>
    <t>Merton</t>
  </si>
  <si>
    <t>Southwark</t>
  </si>
  <si>
    <t>Lambeth</t>
  </si>
  <si>
    <t>North East</t>
  </si>
  <si>
    <t>Newcastle upon Tyne</t>
  </si>
  <si>
    <t>South Tyneside</t>
  </si>
  <si>
    <t>Northumberland</t>
  </si>
  <si>
    <t>Stockton-on-Tees</t>
  </si>
  <si>
    <t>Darlington</t>
  </si>
  <si>
    <t>Redcar and Cleveland</t>
  </si>
  <si>
    <t>Middlesbrough</t>
  </si>
  <si>
    <t>Durham</t>
  </si>
  <si>
    <t>Sunderland</t>
  </si>
  <si>
    <t>North Tyneside</t>
  </si>
  <si>
    <t>Gateshead</t>
  </si>
  <si>
    <t>Hartlepool</t>
  </si>
  <si>
    <t>North West</t>
  </si>
  <si>
    <t>Lancashire</t>
  </si>
  <si>
    <t>Liverpool</t>
  </si>
  <si>
    <t>Manchester</t>
  </si>
  <si>
    <t>Oldham</t>
  </si>
  <si>
    <t>Rochdale</t>
  </si>
  <si>
    <t>Stockport</t>
  </si>
  <si>
    <t>Cheshire West and Chester</t>
  </si>
  <si>
    <t>Cumbria</t>
  </si>
  <si>
    <t>Blackpool</t>
  </si>
  <si>
    <t>Knowsley</t>
  </si>
  <si>
    <t>Blackburn with Darwen</t>
  </si>
  <si>
    <t>Cheshire East</t>
  </si>
  <si>
    <t>Wirral</t>
  </si>
  <si>
    <t>St Helens</t>
  </si>
  <si>
    <t>Sefton</t>
  </si>
  <si>
    <t>Bury</t>
  </si>
  <si>
    <t>Warrington</t>
  </si>
  <si>
    <t>Trafford</t>
  </si>
  <si>
    <t>Bolton</t>
  </si>
  <si>
    <t>Wigan</t>
  </si>
  <si>
    <t>South East</t>
  </si>
  <si>
    <t>Hampshire</t>
  </si>
  <si>
    <t>Kent</t>
  </si>
  <si>
    <t>Medway</t>
  </si>
  <si>
    <t>Portsmouth</t>
  </si>
  <si>
    <t>Bracknell Forest</t>
  </si>
  <si>
    <t>Surrey</t>
  </si>
  <si>
    <t>West Berkshire</t>
  </si>
  <si>
    <t>West Sussex</t>
  </si>
  <si>
    <t>Wokingham</t>
  </si>
  <si>
    <t>Southampton</t>
  </si>
  <si>
    <t>East Sussex</t>
  </si>
  <si>
    <t>Brighton and Hove</t>
  </si>
  <si>
    <t>Isle of Wight</t>
  </si>
  <si>
    <t>Reading</t>
  </si>
  <si>
    <t>Buckinghamshire</t>
  </si>
  <si>
    <t>Windsor and Maidenhead</t>
  </si>
  <si>
    <t>Milton Keynes</t>
  </si>
  <si>
    <t>Oxfordshire</t>
  </si>
  <si>
    <t>South West</t>
  </si>
  <si>
    <t>Bristol</t>
  </si>
  <si>
    <t>Dorset</t>
  </si>
  <si>
    <t>Plymouth</t>
  </si>
  <si>
    <t>Torbay</t>
  </si>
  <si>
    <t>South Gloucestershire</t>
  </si>
  <si>
    <t>Gloucestershire</t>
  </si>
  <si>
    <t>Somerset</t>
  </si>
  <si>
    <t>Cornwall</t>
  </si>
  <si>
    <t>Devon</t>
  </si>
  <si>
    <t>Bath and North East Somerset</t>
  </si>
  <si>
    <t>North Somerset</t>
  </si>
  <si>
    <t>Bournemouth, Christchurch &amp; Poole</t>
  </si>
  <si>
    <t>Swindon</t>
  </si>
  <si>
    <t>Wiltshire</t>
  </si>
  <si>
    <t>West Midlands</t>
  </si>
  <si>
    <t>Herefordshire</t>
  </si>
  <si>
    <t>Sandwell</t>
  </si>
  <si>
    <t>Staffordshire</t>
  </si>
  <si>
    <t>Walsall</t>
  </si>
  <si>
    <t>Wolverhampton</t>
  </si>
  <si>
    <t>Birmingham</t>
  </si>
  <si>
    <t>Coventry</t>
  </si>
  <si>
    <t>Stoke-on-Trent</t>
  </si>
  <si>
    <t>Warwickshire</t>
  </si>
  <si>
    <t>Solihull</t>
  </si>
  <si>
    <t>Shropshire</t>
  </si>
  <si>
    <t>Worcestershire</t>
  </si>
  <si>
    <t>Telford and Wrekin</t>
  </si>
  <si>
    <t>Dudley</t>
  </si>
  <si>
    <t>Yorkshire and the Humber</t>
  </si>
  <si>
    <t>Rotherham</t>
  </si>
  <si>
    <t>East Riding of Yorkshire</t>
  </si>
  <si>
    <t>Leeds</t>
  </si>
  <si>
    <t>York</t>
  </si>
  <si>
    <t>Wakefield</t>
  </si>
  <si>
    <t>North Yorkshire</t>
  </si>
  <si>
    <t>Doncaster</t>
  </si>
  <si>
    <t>Sheffield</t>
  </si>
  <si>
    <t>Bradford</t>
  </si>
  <si>
    <t>Kirklees</t>
  </si>
  <si>
    <t>North Lincolnshire</t>
  </si>
  <si>
    <t>Kingston upon Hull</t>
  </si>
  <si>
    <t>North East Lincolnshire</t>
  </si>
  <si>
    <t xml:space="preserve">     </t>
  </si>
  <si>
    <t>Table 1: Number of interim visits carried out from 1 September 2020 by phase of education, local authority and region</t>
  </si>
  <si>
    <t>Region/Local authority</t>
  </si>
  <si>
    <t>All schools</t>
  </si>
  <si>
    <t>North East, Yorkshire and the Humber</t>
  </si>
  <si>
    <t>Barnsley</t>
  </si>
  <si>
    <t>Calderdale</t>
  </si>
  <si>
    <t>Halton</t>
  </si>
  <si>
    <t>Salford</t>
  </si>
  <si>
    <t>Tameside</t>
  </si>
  <si>
    <t>City of London</t>
  </si>
  <si>
    <t>Kingston upon Thames</t>
  </si>
  <si>
    <t>Redbridge</t>
  </si>
  <si>
    <t>Sutton</t>
  </si>
  <si>
    <t>Wandsworth</t>
  </si>
  <si>
    <t>Westminster</t>
  </si>
  <si>
    <t>Slough</t>
  </si>
  <si>
    <t>Isles Of Scilly</t>
  </si>
  <si>
    <t>Web link</t>
  </si>
  <si>
    <t>Admissions policy</t>
  </si>
  <si>
    <t>Sixth form</t>
  </si>
  <si>
    <t>Bantock Primary School</t>
  </si>
  <si>
    <t>Community School</t>
  </si>
  <si>
    <t>Not applicable</t>
  </si>
  <si>
    <t>Does not have a sixth form</t>
  </si>
  <si>
    <t>Does not apply</t>
  </si>
  <si>
    <t>Non-denominational</t>
  </si>
  <si>
    <t>Wolverhampton South West</t>
  </si>
  <si>
    <t>WV3 0HY</t>
  </si>
  <si>
    <t>Anston Park Junior School</t>
  </si>
  <si>
    <t>NULL</t>
  </si>
  <si>
    <t>Rother Valley</t>
  </si>
  <si>
    <t>S25 2QZ</t>
  </si>
  <si>
    <t>Bevington Primary School</t>
  </si>
  <si>
    <t>Kensington</t>
  </si>
  <si>
    <t>W10 5TW</t>
  </si>
  <si>
    <t>Bosmere Junior School</t>
  </si>
  <si>
    <t>Havant</t>
  </si>
  <si>
    <t>PO9 1DA</t>
  </si>
  <si>
    <t>Cherry Garden Primary School</t>
  </si>
  <si>
    <t>Kingswood</t>
  </si>
  <si>
    <t>BS30 6JH</t>
  </si>
  <si>
    <t>Glossopdale School</t>
  </si>
  <si>
    <t>Non-selective</t>
  </si>
  <si>
    <t>Has a sixth form</t>
  </si>
  <si>
    <t>High Peak</t>
  </si>
  <si>
    <t>SK13 2DA</t>
  </si>
  <si>
    <t>Crumpsall Lane Primary School</t>
  </si>
  <si>
    <t>Blackley and Broughton</t>
  </si>
  <si>
    <t>M8 5SR</t>
  </si>
  <si>
    <t>Hextable Primary School</t>
  </si>
  <si>
    <t>Sevenoaks</t>
  </si>
  <si>
    <t>BR8 7RL</t>
  </si>
  <si>
    <t>Eureka Primary School</t>
  </si>
  <si>
    <t>South Derbyshire</t>
  </si>
  <si>
    <t>DE11 7LA</t>
  </si>
  <si>
    <t>Hady Primary School</t>
  </si>
  <si>
    <t>Chesterfield</t>
  </si>
  <si>
    <t>S41 0DF</t>
  </si>
  <si>
    <t>Melbourne Junior School</t>
  </si>
  <si>
    <t>DE73 8JE</t>
  </si>
  <si>
    <t>Holly Spring Primary School</t>
  </si>
  <si>
    <t>Bracknell</t>
  </si>
  <si>
    <t>RG12 2SW</t>
  </si>
  <si>
    <t>Holmleigh Primary School</t>
  </si>
  <si>
    <t>Hackney North and Stoke Newington</t>
  </si>
  <si>
    <t>N16 5PU</t>
  </si>
  <si>
    <t>Lightwoods Primary School</t>
  </si>
  <si>
    <t>Warley</t>
  </si>
  <si>
    <t>B68 9BG</t>
  </si>
  <si>
    <t>Osborne Primary School</t>
  </si>
  <si>
    <t>Birmingham, Erdington</t>
  </si>
  <si>
    <t>B23 6TY</t>
  </si>
  <si>
    <t>Oulder Hill Community School and Language College</t>
  </si>
  <si>
    <t>OL11 5EF</t>
  </si>
  <si>
    <t>North Borough Junior School</t>
  </si>
  <si>
    <t>Maidstone and The Weald</t>
  </si>
  <si>
    <t>ME14 2BP</t>
  </si>
  <si>
    <t>Potters Green Primary School</t>
  </si>
  <si>
    <t>Coventry North East</t>
  </si>
  <si>
    <t>CV2 2GF</t>
  </si>
  <si>
    <t>Rose Hill Primary School</t>
  </si>
  <si>
    <t>Hazel Grove</t>
  </si>
  <si>
    <t>SK6 6DW</t>
  </si>
  <si>
    <t>Surfleet Primary School</t>
  </si>
  <si>
    <t>South Holland and The Deepings</t>
  </si>
  <si>
    <t>PE11 4DB</t>
  </si>
  <si>
    <t>Rushmere Hall Primary School</t>
  </si>
  <si>
    <t>Ipswich</t>
  </si>
  <si>
    <t>IP4 3EJ</t>
  </si>
  <si>
    <t>Simonside Primary School</t>
  </si>
  <si>
    <t>Jarrow</t>
  </si>
  <si>
    <t>NE32 4AU</t>
  </si>
  <si>
    <t>Yealmpstone Farm Primary School</t>
  </si>
  <si>
    <t>South West Devon</t>
  </si>
  <si>
    <t>PL7 1XQ</t>
  </si>
  <si>
    <t>The Beeches Primary School</t>
  </si>
  <si>
    <t>PE1 2EH</t>
  </si>
  <si>
    <t>William Rhodes Primary &amp; Nursery School</t>
  </si>
  <si>
    <t>S40 2NR</t>
  </si>
  <si>
    <t>Rosary Catholic Primary School</t>
  </si>
  <si>
    <t>Voluntary Aided School</t>
  </si>
  <si>
    <t>Roman Catholic</t>
  </si>
  <si>
    <t>Christian</t>
  </si>
  <si>
    <t>Hampstead and Kilburn</t>
  </si>
  <si>
    <t>NW3 2AE</t>
  </si>
  <si>
    <t>Ellesmere Port Catholic High School</t>
  </si>
  <si>
    <t>Ellesmere Port and Neston</t>
  </si>
  <si>
    <t>CH65 7AQ</t>
  </si>
  <si>
    <t>Grayswood Church of England (Aided) Primary School</t>
  </si>
  <si>
    <t>Church of England</t>
  </si>
  <si>
    <t>South West Surrey</t>
  </si>
  <si>
    <t>GU27 2DR</t>
  </si>
  <si>
    <t>Withington Church of England Primary School</t>
  </si>
  <si>
    <t>The Cotswolds</t>
  </si>
  <si>
    <t>GL54 4BQ</t>
  </si>
  <si>
    <t>Our Lady of the Rosary Catholic Primary School</t>
  </si>
  <si>
    <t>Barrow and Furness</t>
  </si>
  <si>
    <t>LA15 8LB</t>
  </si>
  <si>
    <t>St Anne's and St Joseph's Roman Catholic Primary School</t>
  </si>
  <si>
    <t>Hyndburn</t>
  </si>
  <si>
    <t>BB5 2AN</t>
  </si>
  <si>
    <t>St Chad's RC Primary School</t>
  </si>
  <si>
    <t>M8 0SP</t>
  </si>
  <si>
    <t>St Mary's CofE Primary School</t>
  </si>
  <si>
    <t>Hornsey and Wood Green</t>
  </si>
  <si>
    <t>N8 7BU</t>
  </si>
  <si>
    <t>Bridge and Patrixbourne Church of England Primary School</t>
  </si>
  <si>
    <t>Voluntary Controlled School</t>
  </si>
  <si>
    <t>Canterbury</t>
  </si>
  <si>
    <t>CT4 5JX</t>
  </si>
  <si>
    <t>The Trinity Catholic Primary School</t>
  </si>
  <si>
    <t>Liverpool, Riverside</t>
  </si>
  <si>
    <t>L5 8UT</t>
  </si>
  <si>
    <t>Shaw-cum-Donnington C.E. Primary School</t>
  </si>
  <si>
    <t>Newbury</t>
  </si>
  <si>
    <t>RG14 2JG</t>
  </si>
  <si>
    <t>South Cave Church of England Voluntary Controlled Primary School</t>
  </si>
  <si>
    <t>Haltemprice and Howden</t>
  </si>
  <si>
    <t>HU15 2EP</t>
  </si>
  <si>
    <t>Little Dewchurch CofE Primary School</t>
  </si>
  <si>
    <t>Hereford and South Herefordshire</t>
  </si>
  <si>
    <t>HR2 6PN</t>
  </si>
  <si>
    <t>Micklefield Church of England Voluntary Controlled Primary School</t>
  </si>
  <si>
    <t>Elmet and Rothwell</t>
  </si>
  <si>
    <t>LS25 4AQ</t>
  </si>
  <si>
    <t>Montreal CofE Primary School</t>
  </si>
  <si>
    <t>Copeland</t>
  </si>
  <si>
    <t>CA25 5LW</t>
  </si>
  <si>
    <t>Harvills Hawthorn Primary School</t>
  </si>
  <si>
    <t>Foundation School</t>
  </si>
  <si>
    <t>West Bromwich West</t>
  </si>
  <si>
    <t>B70 0NG</t>
  </si>
  <si>
    <t>Moorhill Primary School</t>
  </si>
  <si>
    <t>Cannock Chase</t>
  </si>
  <si>
    <t>WS11 5RN</t>
  </si>
  <si>
    <t>Richmond Hill School</t>
  </si>
  <si>
    <t>Community Special School</t>
  </si>
  <si>
    <t>Luton South</t>
  </si>
  <si>
    <t>LU2 7JL</t>
  </si>
  <si>
    <t>Oaklands School</t>
  </si>
  <si>
    <t>Feltham and Heston</t>
  </si>
  <si>
    <t>TW3 4BX</t>
  </si>
  <si>
    <t>Danesgate Community</t>
  </si>
  <si>
    <t>Pupil Referral Unit</t>
  </si>
  <si>
    <t>York Central</t>
  </si>
  <si>
    <t>YO10 4PB</t>
  </si>
  <si>
    <t>Berwick Academy</t>
  </si>
  <si>
    <t>Academy Converter</t>
  </si>
  <si>
    <t>Berwick-upon-Tweed</t>
  </si>
  <si>
    <t>TD15 2JF</t>
  </si>
  <si>
    <t>Bridge Learning Campus</t>
  </si>
  <si>
    <t>Academy Sponsor Led</t>
  </si>
  <si>
    <t>None</t>
  </si>
  <si>
    <t>Bristol South</t>
  </si>
  <si>
    <t>BS13 0RL</t>
  </si>
  <si>
    <t>Willowdown Primary School</t>
  </si>
  <si>
    <t>Bridgwater and West Somerset</t>
  </si>
  <si>
    <t>TA6 4FU</t>
  </si>
  <si>
    <t>Carclaze Community Primary School</t>
  </si>
  <si>
    <t>St Austell and Newquay</t>
  </si>
  <si>
    <t>PL25 3TF</t>
  </si>
  <si>
    <t>Sutton Community Academy</t>
  </si>
  <si>
    <t>Ashfield</t>
  </si>
  <si>
    <t>NG17 1EE</t>
  </si>
  <si>
    <t>Paignton Academy</t>
  </si>
  <si>
    <t>Totnes</t>
  </si>
  <si>
    <t>TQ3 3WA</t>
  </si>
  <si>
    <t>Oasis Academy Oldham</t>
  </si>
  <si>
    <t>Oldham West and Royton</t>
  </si>
  <si>
    <t>OL8 4JZ</t>
  </si>
  <si>
    <t>Newstead Primary Academy</t>
  </si>
  <si>
    <t>Stoke-on-Trent South</t>
  </si>
  <si>
    <t>ST3 3LQ</t>
  </si>
  <si>
    <t>Stepping Stones School</t>
  </si>
  <si>
    <t>Lancaster and Fleetwood</t>
  </si>
  <si>
    <t>LA1 4HT</t>
  </si>
  <si>
    <t>Brooke Hill Academy</t>
  </si>
  <si>
    <t>Rutland and Melton</t>
  </si>
  <si>
    <t>LE15 6HQ</t>
  </si>
  <si>
    <t>Buckler's Mead Academy</t>
  </si>
  <si>
    <t>Yeovil</t>
  </si>
  <si>
    <t>BA21 4NH</t>
  </si>
  <si>
    <t>St Thomas Cantilupe CofE Academy</t>
  </si>
  <si>
    <t>HR1 2DY</t>
  </si>
  <si>
    <t>Comberton Village College</t>
  </si>
  <si>
    <t>South Cambridgeshire</t>
  </si>
  <si>
    <t>CB23 7DU</t>
  </si>
  <si>
    <t>The Coppice Spring Academy</t>
  </si>
  <si>
    <t>Academy Special Sponsor Led</t>
  </si>
  <si>
    <t>Basingstoke</t>
  </si>
  <si>
    <t>RG22 5TH</t>
  </si>
  <si>
    <t>Airedale Academy</t>
  </si>
  <si>
    <t>Normanton, Pontefract and Castleford</t>
  </si>
  <si>
    <t>WF10 3JU</t>
  </si>
  <si>
    <t>Harris Academy Chafford Hundred</t>
  </si>
  <si>
    <t>RM16 6SA</t>
  </si>
  <si>
    <t>Cedar Children's Academy</t>
  </si>
  <si>
    <t>Unknown</t>
  </si>
  <si>
    <t>Rochester and Strood</t>
  </si>
  <si>
    <t>ME2 2JP</t>
  </si>
  <si>
    <t>Watford St John's Church of England Primary School</t>
  </si>
  <si>
    <t>Free School</t>
  </si>
  <si>
    <t>Church of England/Christian</t>
  </si>
  <si>
    <t>Watford</t>
  </si>
  <si>
    <t>WD17 1JJ</t>
  </si>
  <si>
    <t>City Academy Norwich</t>
  </si>
  <si>
    <t>Norwich South</t>
  </si>
  <si>
    <t>NR4 7LP</t>
  </si>
  <si>
    <t>North Shore Academy</t>
  </si>
  <si>
    <t>Stockton North</t>
  </si>
  <si>
    <t>TS20 2AY</t>
  </si>
  <si>
    <t>The Brittons Academy</t>
  </si>
  <si>
    <t>Dagenham and Rainham</t>
  </si>
  <si>
    <t>RM13 7BB</t>
  </si>
  <si>
    <t>The Gatwick School</t>
  </si>
  <si>
    <t>Crawley</t>
  </si>
  <si>
    <t>RH10 9TP</t>
  </si>
  <si>
    <t>Marchbank Free School</t>
  </si>
  <si>
    <t>Free School Special</t>
  </si>
  <si>
    <t>DL3 9BL</t>
  </si>
  <si>
    <t>Highfield Leadership Academy</t>
  </si>
  <si>
    <t>Blackpool South</t>
  </si>
  <si>
    <t>FY4 3JZ</t>
  </si>
  <si>
    <t>Dormers Wells High School</t>
  </si>
  <si>
    <t>Ealing, Southall</t>
  </si>
  <si>
    <t>UB1 3HZ</t>
  </si>
  <si>
    <t>Northern Parade Junior School</t>
  </si>
  <si>
    <t xml:space="preserve">Portsmouth North </t>
  </si>
  <si>
    <t>PO2 9NE</t>
  </si>
  <si>
    <t>St Peter's Church of England Primary School</t>
  </si>
  <si>
    <t>Middlesbrough South and East Cleveland</t>
  </si>
  <si>
    <t>TS12 2UW</t>
  </si>
  <si>
    <t>Poolsbrook Primary Academy</t>
  </si>
  <si>
    <t>S43 3LF</t>
  </si>
  <si>
    <t>Smestow School</t>
  </si>
  <si>
    <t>WV3 8HU</t>
  </si>
  <si>
    <t>St Thomas More Catholic School</t>
  </si>
  <si>
    <t>North East Bedfordshire</t>
  </si>
  <si>
    <t>MK41 7UL</t>
  </si>
  <si>
    <t>Pallister Park Primary School</t>
  </si>
  <si>
    <t>TS3 8PW</t>
  </si>
  <si>
    <t>Exwick Heights Primary School</t>
  </si>
  <si>
    <t>Exeter</t>
  </si>
  <si>
    <t>EX4 2FB</t>
  </si>
  <si>
    <t>Blacklow Brow School</t>
  </si>
  <si>
    <t>L36 5XW</t>
  </si>
  <si>
    <t>Hampsthwaite Church of England Primary School</t>
  </si>
  <si>
    <t>Harrogate and Knaresborough</t>
  </si>
  <si>
    <t>HG3 2EZ</t>
  </si>
  <si>
    <t>Stockton Primary School</t>
  </si>
  <si>
    <t>Kenilworth and Southam</t>
  </si>
  <si>
    <t>CV47 8JE</t>
  </si>
  <si>
    <t>East Brent Church of England First School</t>
  </si>
  <si>
    <t>Wells</t>
  </si>
  <si>
    <t>TA9 4HZ</t>
  </si>
  <si>
    <t>Staplegrove Church School</t>
  </si>
  <si>
    <t>Taunton Deane</t>
  </si>
  <si>
    <t>TA2 6UP</t>
  </si>
  <si>
    <t>Cauldwell School</t>
  </si>
  <si>
    <t>MK42 9DR</t>
  </si>
  <si>
    <t>Hob Moor Community Primary Academy</t>
  </si>
  <si>
    <t>YO24 4PS</t>
  </si>
  <si>
    <t>Zaytouna Primary School</t>
  </si>
  <si>
    <t>Muslim</t>
  </si>
  <si>
    <t>Derby South</t>
  </si>
  <si>
    <t>DE24 8WH</t>
  </si>
  <si>
    <t>Ss. Peter and Paul Catholic Primary School, a Voluntary Academy</t>
  </si>
  <si>
    <t>Pudsey</t>
  </si>
  <si>
    <t>LS19 7HW</t>
  </si>
  <si>
    <t>Sawtry Village Academy</t>
  </si>
  <si>
    <t>North West Cambridgeshire</t>
  </si>
  <si>
    <t>PE28 5TQ</t>
  </si>
  <si>
    <t>St Crispin's School</t>
  </si>
  <si>
    <t>RG40 1SS</t>
  </si>
  <si>
    <t>Delta Primary School</t>
  </si>
  <si>
    <t>Edmonton</t>
  </si>
  <si>
    <t>N9 8PT</t>
  </si>
  <si>
    <t>Oundle Church of England Primary School</t>
  </si>
  <si>
    <t>Corby</t>
  </si>
  <si>
    <t>PE8 5HA</t>
  </si>
  <si>
    <t>Morley Place Academy</t>
  </si>
  <si>
    <t>Don Valley</t>
  </si>
  <si>
    <t>DN12 3LZ</t>
  </si>
  <si>
    <t>Werrington Primary School</t>
  </si>
  <si>
    <t>PE4 6QG</t>
  </si>
  <si>
    <t>The Kimberley School</t>
  </si>
  <si>
    <t>Broxtowe</t>
  </si>
  <si>
    <t>NG16 2NJ</t>
  </si>
  <si>
    <t>The Crompton House Church of England Academy</t>
  </si>
  <si>
    <t>Oldham East and Saddleworth</t>
  </si>
  <si>
    <t>OL2 7HS</t>
  </si>
  <si>
    <t>Lode Heath School</t>
  </si>
  <si>
    <t>B91 2HW</t>
  </si>
  <si>
    <t>Kings Ash Academy</t>
  </si>
  <si>
    <t>TQ3 3XA</t>
  </si>
  <si>
    <t>Christ Church (Erith) CofE Primary School</t>
  </si>
  <si>
    <t>Erith and Thamesmead</t>
  </si>
  <si>
    <t>DA8 3DG</t>
  </si>
  <si>
    <t>Havergal CofE (C) Primary School</t>
  </si>
  <si>
    <t>South Staffordshire</t>
  </si>
  <si>
    <t>WV10 7LE</t>
  </si>
  <si>
    <t>Brunel Primary &amp; Nursery Academy</t>
  </si>
  <si>
    <t>South East Cornwall</t>
  </si>
  <si>
    <t>PL12 6DX</t>
  </si>
  <si>
    <t>Reedswood E-ACT Academy</t>
  </si>
  <si>
    <t>Walsall South</t>
  </si>
  <si>
    <t>WS2 8RX</t>
  </si>
  <si>
    <t>North Chadderton School</t>
  </si>
  <si>
    <t>OL9 0BN</t>
  </si>
  <si>
    <t>Claremont High School</t>
  </si>
  <si>
    <t>Brent North</t>
  </si>
  <si>
    <t>HA3 0UH</t>
  </si>
  <si>
    <t>Clutton Primary School</t>
  </si>
  <si>
    <t>North East Somerset</t>
  </si>
  <si>
    <t>BS39 5RA</t>
  </si>
  <si>
    <t>Ham Drive Nursery School and Day Care</t>
  </si>
  <si>
    <t>LA Nursery School</t>
  </si>
  <si>
    <t>Plymouth, Moor View</t>
  </si>
  <si>
    <t>PL2 2NJ</t>
  </si>
  <si>
    <t>Hillside Nursery School</t>
  </si>
  <si>
    <t>BB4 5NH</t>
  </si>
  <si>
    <t>The Hart School</t>
  </si>
  <si>
    <t>WS15 2UE</t>
  </si>
  <si>
    <t>William Tyndale Primary School</t>
  </si>
  <si>
    <t>Islington South and Finsbury</t>
  </si>
  <si>
    <t>N1 2GG</t>
  </si>
  <si>
    <t>Woodlands School</t>
  </si>
  <si>
    <t>North Shropshire</t>
  </si>
  <si>
    <t>SY4 5PJ</t>
  </si>
  <si>
    <t>West Gate School</t>
  </si>
  <si>
    <t>Foundation Special School</t>
  </si>
  <si>
    <t>Leicester West</t>
  </si>
  <si>
    <t>LE3 6DG</t>
  </si>
  <si>
    <t>Mayfield School</t>
  </si>
  <si>
    <t>Chorley</t>
  </si>
  <si>
    <t>PR7 3HN</t>
  </si>
  <si>
    <t>Banister Primary School</t>
  </si>
  <si>
    <t>Southampton, Test</t>
  </si>
  <si>
    <t>SO15 2LS</t>
  </si>
  <si>
    <t>Blacon High School, A Specialist Sports College</t>
  </si>
  <si>
    <t>City of Chester</t>
  </si>
  <si>
    <t>CH1 5JH</t>
  </si>
  <si>
    <t>Frant Church of England Primary School</t>
  </si>
  <si>
    <t>Wealden</t>
  </si>
  <si>
    <t>TN3 9DX</t>
  </si>
  <si>
    <t>Shorefields School</t>
  </si>
  <si>
    <t>Clacton</t>
  </si>
  <si>
    <t>CO15 6HF</t>
  </si>
  <si>
    <t>Danby Church of England Voluntary Controlled School</t>
  </si>
  <si>
    <t>Scarborough and Whitby</t>
  </si>
  <si>
    <t>YO21 2NG</t>
  </si>
  <si>
    <t>St Pius X RC Primary School</t>
  </si>
  <si>
    <t>BS13 9AB</t>
  </si>
  <si>
    <t>St Richard Reynolds Catholic Primary School</t>
  </si>
  <si>
    <t>Twickenham</t>
  </si>
  <si>
    <t>TW1 4LT</t>
  </si>
  <si>
    <t>Gorsley Goffs Primary School</t>
  </si>
  <si>
    <t>HR9 7SE</t>
  </si>
  <si>
    <t>Calow CofE VC Primary School</t>
  </si>
  <si>
    <t>Bolsover</t>
  </si>
  <si>
    <t>S44 5BD</t>
  </si>
  <si>
    <t>St Charles' RC Primary School</t>
  </si>
  <si>
    <t>Newcastle upon Tyne Central</t>
  </si>
  <si>
    <t>NE3 3HE</t>
  </si>
  <si>
    <t>St Joseph's Catholic Primary School</t>
  </si>
  <si>
    <t>Brighton, Pavilion</t>
  </si>
  <si>
    <t>BN1 7BF</t>
  </si>
  <si>
    <t>St Thomas of Canterbury Catholic Primary School</t>
  </si>
  <si>
    <t>PO30 1NR</t>
  </si>
  <si>
    <t>Woodfield Primary School</t>
  </si>
  <si>
    <t>HG1 4HZ</t>
  </si>
  <si>
    <t>St James' CofE Primary School, Birch-in-Rusholme</t>
  </si>
  <si>
    <t>Manchester, Gorton</t>
  </si>
  <si>
    <t>M14 6HW</t>
  </si>
  <si>
    <t>St John Southworth Roman Catholic Primary School, Nelson</t>
  </si>
  <si>
    <t>Pendle</t>
  </si>
  <si>
    <t>BB9 0DQ</t>
  </si>
  <si>
    <t>Wilson Primary School</t>
  </si>
  <si>
    <t>Reading West</t>
  </si>
  <si>
    <t>RG30 2RW</t>
  </si>
  <si>
    <t>Whittington Green School</t>
  </si>
  <si>
    <t>North East Derbyshire</t>
  </si>
  <si>
    <t>S41 9LG</t>
  </si>
  <si>
    <t>Little Horsted Church of England Primary School</t>
  </si>
  <si>
    <t>TN22 5TS</t>
  </si>
  <si>
    <t>All Saints C of E Primary School</t>
  </si>
  <si>
    <t>Manchester Central</t>
  </si>
  <si>
    <t>M40 1LS</t>
  </si>
  <si>
    <t>All Saints' CofE (Aided) Primary School</t>
  </si>
  <si>
    <t>PE1 3PW</t>
  </si>
  <si>
    <t>Our Lady's Catholic High School</t>
  </si>
  <si>
    <t>Wyre and Preston North</t>
  </si>
  <si>
    <t>PR2 3SQ</t>
  </si>
  <si>
    <t>Wodensfield Primary School</t>
  </si>
  <si>
    <t>Wolverhampton North East</t>
  </si>
  <si>
    <t>WV11 1PW</t>
  </si>
  <si>
    <t>Woodbridge Primary School</t>
  </si>
  <si>
    <t>Suffolk Coastal</t>
  </si>
  <si>
    <t>IP12 1SS</t>
  </si>
  <si>
    <t>Whaley Bridge Primary School</t>
  </si>
  <si>
    <t>SK23 7HX</t>
  </si>
  <si>
    <t>Middleham Church of England Aided School</t>
  </si>
  <si>
    <t>Richmond (Yorks)</t>
  </si>
  <si>
    <t>DL8 4QX</t>
  </si>
  <si>
    <t>Round Diamond Primary School</t>
  </si>
  <si>
    <t>Hitchin and Harpenden</t>
  </si>
  <si>
    <t>SG1 6NH</t>
  </si>
  <si>
    <t>Spaldwick Community Primary School</t>
  </si>
  <si>
    <t>PE28 0TH</t>
  </si>
  <si>
    <t>Prince Bishops Community Primary School</t>
  </si>
  <si>
    <t>Bishop Auckland</t>
  </si>
  <si>
    <t>DL14 8DY</t>
  </si>
  <si>
    <t>Upottery Primary School</t>
  </si>
  <si>
    <t>Tiverton and Honiton</t>
  </si>
  <si>
    <t>EX14 9QT</t>
  </si>
  <si>
    <t>Newtown Soberton Infant School</t>
  </si>
  <si>
    <t>Meon Valley</t>
  </si>
  <si>
    <t>PO17 6LJ</t>
  </si>
  <si>
    <t>Pleasant Street Primary School</t>
  </si>
  <si>
    <t>L3 5TS</t>
  </si>
  <si>
    <t>Plumpton School</t>
  </si>
  <si>
    <t>Penrith and The Border</t>
  </si>
  <si>
    <t>CA11 9PA</t>
  </si>
  <si>
    <t>Northfield Primary School: With Communication Resource</t>
  </si>
  <si>
    <t>Hemsworth</t>
  </si>
  <si>
    <t>WF9 3LY</t>
  </si>
  <si>
    <t>Newton St Cyres Primary School</t>
  </si>
  <si>
    <t>Central Devon</t>
  </si>
  <si>
    <t>EX5 5DL</t>
  </si>
  <si>
    <t>Kielder Primary School and Nursery</t>
  </si>
  <si>
    <t>Hexham</t>
  </si>
  <si>
    <t>NE48 1HQ</t>
  </si>
  <si>
    <t>Hasland Hall Community School</t>
  </si>
  <si>
    <t>S41 0LP</t>
  </si>
  <si>
    <t>Hornsey School for Girls</t>
  </si>
  <si>
    <t>N8 9JF</t>
  </si>
  <si>
    <t>Kings Hill Primary School</t>
  </si>
  <si>
    <t>WS10 9JG</t>
  </si>
  <si>
    <t>Langley Primary School</t>
  </si>
  <si>
    <t>B69 4QB</t>
  </si>
  <si>
    <t>Ludworth Primary School</t>
  </si>
  <si>
    <t>SK6 5DU</t>
  </si>
  <si>
    <t>Green Lanes Primary School</t>
  </si>
  <si>
    <t>Welwyn Hatfield</t>
  </si>
  <si>
    <t>AL10 9JY</t>
  </si>
  <si>
    <t>Green Lea First School</t>
  </si>
  <si>
    <t>Stone</t>
  </si>
  <si>
    <t>ST18 0EU</t>
  </si>
  <si>
    <t>Greenfields Community Primary School</t>
  </si>
  <si>
    <t>Faversham and Mid Kent</t>
  </si>
  <si>
    <t>ME15 8DF</t>
  </si>
  <si>
    <t>Gillingham Primary School</t>
  </si>
  <si>
    <t>North Dorset</t>
  </si>
  <si>
    <t>SP8 4QR</t>
  </si>
  <si>
    <t>Elfrida Primary School</t>
  </si>
  <si>
    <t>Lewisham West and Penge</t>
  </si>
  <si>
    <t>SE6 3EN</t>
  </si>
  <si>
    <t>Carcroft Primary School</t>
  </si>
  <si>
    <t>Doncaster North</t>
  </si>
  <si>
    <t>DN6 8DR</t>
  </si>
  <si>
    <t>Dallimore Primary &amp; Nursery School</t>
  </si>
  <si>
    <t>Erewash</t>
  </si>
  <si>
    <t>DE7 4GZ</t>
  </si>
  <si>
    <t>East Coker Community Primary School</t>
  </si>
  <si>
    <t>BA22 9HY</t>
  </si>
  <si>
    <t>Downs View Infant School</t>
  </si>
  <si>
    <t>Ashford</t>
  </si>
  <si>
    <t>TN25 4PJ</t>
  </si>
  <si>
    <t>Cherry Orchard Primary School</t>
  </si>
  <si>
    <t>Worcester</t>
  </si>
  <si>
    <t>WR5 2DD</t>
  </si>
  <si>
    <t>Bromstone Primary School, Broadstairs</t>
  </si>
  <si>
    <t>South Thanet</t>
  </si>
  <si>
    <t>CT10 2PW</t>
  </si>
  <si>
    <t>Burlington Junior School</t>
  </si>
  <si>
    <t>East Yorkshire</t>
  </si>
  <si>
    <t>YO16 7AQ</t>
  </si>
  <si>
    <t>Alne Primary School</t>
  </si>
  <si>
    <t>Thirsk and Malton</t>
  </si>
  <si>
    <t>YO61 1RT</t>
  </si>
  <si>
    <t>Great Sampford Community Primary School</t>
  </si>
  <si>
    <t>Saffron Walden</t>
  </si>
  <si>
    <t>CB10 2RL</t>
  </si>
  <si>
    <t>Hatch Warren Junior School</t>
  </si>
  <si>
    <t>RG22 4PQ</t>
  </si>
  <si>
    <t>Lower Darwen Primary School</t>
  </si>
  <si>
    <t>Rossendale and Darwen</t>
  </si>
  <si>
    <t>BB3 0RB</t>
  </si>
  <si>
    <t>Kings Furlong Junior School</t>
  </si>
  <si>
    <t>RG21 8YJ</t>
  </si>
  <si>
    <t>Lillington Primary School</t>
  </si>
  <si>
    <t>Warwick and Leamington</t>
  </si>
  <si>
    <t>CV32 7AG</t>
  </si>
  <si>
    <t>Mansbridge Primary School</t>
  </si>
  <si>
    <t>Romsey and Southampton North</t>
  </si>
  <si>
    <t>SO18 2LX</t>
  </si>
  <si>
    <t>Scholar Green Primary School</t>
  </si>
  <si>
    <t>Congleton</t>
  </si>
  <si>
    <t>ST7 3HF</t>
  </si>
  <si>
    <t>Heath Fields Primary School</t>
  </si>
  <si>
    <t>DE65 5EQ</t>
  </si>
  <si>
    <t>Orchard Primary School</t>
  </si>
  <si>
    <t>Hackney South and Shoreditch</t>
  </si>
  <si>
    <t>E9 7BB</t>
  </si>
  <si>
    <t>Pixmore Junior School</t>
  </si>
  <si>
    <t>North East Hertfordshire</t>
  </si>
  <si>
    <t>SG6 1RS</t>
  </si>
  <si>
    <t>Sandbrook Primary School</t>
  </si>
  <si>
    <t>Wallasey</t>
  </si>
  <si>
    <t>CH46 9PS</t>
  </si>
  <si>
    <t>Tuffley Primary School</t>
  </si>
  <si>
    <t>Gloucester</t>
  </si>
  <si>
    <t>GL4 0JY</t>
  </si>
  <si>
    <t>Repton Primary School</t>
  </si>
  <si>
    <t>DE65 6GN</t>
  </si>
  <si>
    <t>Riders Junior School</t>
  </si>
  <si>
    <t>PO9 4RY</t>
  </si>
  <si>
    <t>Walpole Highway Primary School</t>
  </si>
  <si>
    <t>South West Norfolk</t>
  </si>
  <si>
    <t>PE14 7QQ</t>
  </si>
  <si>
    <t>St Catharine's Catholic Primary School</t>
  </si>
  <si>
    <t>GL55 6DZ</t>
  </si>
  <si>
    <t>Little Waltham Church of England Voluntary Aided Primary School</t>
  </si>
  <si>
    <t>CM3 3NY</t>
  </si>
  <si>
    <t>St Augustine of Canterbury Catholic High School</t>
  </si>
  <si>
    <t>St Helens North</t>
  </si>
  <si>
    <t>WA11 9BB</t>
  </si>
  <si>
    <t>St James' Catholic High School</t>
  </si>
  <si>
    <t>Hendon</t>
  </si>
  <si>
    <t>NW9 5PE</t>
  </si>
  <si>
    <t>St Thomas A Becket Catholic Primary School</t>
  </si>
  <si>
    <t>Eastbourne</t>
  </si>
  <si>
    <t>BN22 8XT</t>
  </si>
  <si>
    <t>Great Crosby Catholic Primary School</t>
  </si>
  <si>
    <t>Bootle</t>
  </si>
  <si>
    <t>L23 2RQ</t>
  </si>
  <si>
    <t>Cheveley CofE Primary School</t>
  </si>
  <si>
    <t>South East Cambridgeshire</t>
  </si>
  <si>
    <t>CB8 9DF</t>
  </si>
  <si>
    <t>St Stephen's Church of England Primary School</t>
  </si>
  <si>
    <t>Bury North</t>
  </si>
  <si>
    <t>BL8 2DX</t>
  </si>
  <si>
    <t>St Philip (Westbrook) CofE Aided Primary School</t>
  </si>
  <si>
    <t>Warrington North</t>
  </si>
  <si>
    <t>WA5 8UE</t>
  </si>
  <si>
    <t>St Kentigern's Catholic Primary School</t>
  </si>
  <si>
    <t>FY3 8BT</t>
  </si>
  <si>
    <t>The Holmesdale School</t>
  </si>
  <si>
    <t>Chatham and Aylesford</t>
  </si>
  <si>
    <t>ME6 5HS</t>
  </si>
  <si>
    <t>Saint Barnabas Church of England Voluntary Controlled Primary School</t>
  </si>
  <si>
    <t>YO26 4YZ</t>
  </si>
  <si>
    <t>Moorfield Primary School</t>
  </si>
  <si>
    <t>The Wrekin</t>
  </si>
  <si>
    <t>TF10 7QU</t>
  </si>
  <si>
    <t>Westhaven School</t>
  </si>
  <si>
    <t>Weston-Super-Mare</t>
  </si>
  <si>
    <t>BS23 4UT</t>
  </si>
  <si>
    <t>Sheffield Inclusion Centre</t>
  </si>
  <si>
    <t>Sheffield, Heeley</t>
  </si>
  <si>
    <t>S2 2JQ</t>
  </si>
  <si>
    <t>Shenley Academy</t>
  </si>
  <si>
    <t>Birmingham, Edgbaston</t>
  </si>
  <si>
    <t>B29 4HE</t>
  </si>
  <si>
    <t>Brambles Primary Academy</t>
  </si>
  <si>
    <t>TS3 9DB</t>
  </si>
  <si>
    <t>Martenscroft Nursery School &amp; Children's Centre</t>
  </si>
  <si>
    <t>M15 6PA</t>
  </si>
  <si>
    <t>Belle Vue Girls' Academy</t>
  </si>
  <si>
    <t>Bradford West</t>
  </si>
  <si>
    <t>BD9 6NA</t>
  </si>
  <si>
    <t>Low Hill Nursery School</t>
  </si>
  <si>
    <t>WV10 9JN</t>
  </si>
  <si>
    <t>The Hurlingham Academy</t>
  </si>
  <si>
    <t>Chelsea and Fulham</t>
  </si>
  <si>
    <t>SW6 3ED</t>
  </si>
  <si>
    <t>Vanessa Nursery School</t>
  </si>
  <si>
    <t>Hammersmith</t>
  </si>
  <si>
    <t>W12 9JA</t>
  </si>
  <si>
    <t>Alec Hunter Academy</t>
  </si>
  <si>
    <t>Braintree</t>
  </si>
  <si>
    <t>CM7 3NR</t>
  </si>
  <si>
    <t>Caldew School</t>
  </si>
  <si>
    <t>Carlisle</t>
  </si>
  <si>
    <t>CA5 7NN</t>
  </si>
  <si>
    <t>Farringdon Community Academy</t>
  </si>
  <si>
    <t>Houghton and Sunderland South</t>
  </si>
  <si>
    <t>SR3 3EL</t>
  </si>
  <si>
    <t>Kirkby College</t>
  </si>
  <si>
    <t>NG17 7DH</t>
  </si>
  <si>
    <t>Pear Tree Mead Academy</t>
  </si>
  <si>
    <t>Harlow</t>
  </si>
  <si>
    <t>CM18 7BY</t>
  </si>
  <si>
    <t>Brentside Primary School</t>
  </si>
  <si>
    <t>Ealing North</t>
  </si>
  <si>
    <t>W7 1JL</t>
  </si>
  <si>
    <t>St Margaret's Academy</t>
  </si>
  <si>
    <t>TQ1 4PA</t>
  </si>
  <si>
    <t>St Mewan Community Primary School</t>
  </si>
  <si>
    <t>PL26 7DP</t>
  </si>
  <si>
    <t>Oasis Academy Silvertown</t>
  </si>
  <si>
    <t>East Ham</t>
  </si>
  <si>
    <t>E16 2TX</t>
  </si>
  <si>
    <t>Cockermouth School</t>
  </si>
  <si>
    <t>Workington</t>
  </si>
  <si>
    <t>CA13 9HF</t>
  </si>
  <si>
    <t>Alderwood Academy</t>
  </si>
  <si>
    <t>Academy Alternative Provision Converter</t>
  </si>
  <si>
    <t>IP3 0EW</t>
  </si>
  <si>
    <t>Trumpington Community College</t>
  </si>
  <si>
    <t>Cambridge</t>
  </si>
  <si>
    <t>CB2 9FD</t>
  </si>
  <si>
    <t>St John Fisher Catholic Voluntary Academy</t>
  </si>
  <si>
    <t>Dewsbury</t>
  </si>
  <si>
    <t>WF13 4LL</t>
  </si>
  <si>
    <t>St Paul's Catholic Primary School</t>
  </si>
  <si>
    <t>TS22 5LU</t>
  </si>
  <si>
    <t>Acklam Grange School</t>
  </si>
  <si>
    <t>TS5 8PB</t>
  </si>
  <si>
    <t>Mabe Community Primary School</t>
  </si>
  <si>
    <t>Camborne and Redruth</t>
  </si>
  <si>
    <t>TR10 9HB</t>
  </si>
  <si>
    <t>Bradford Girls' Grammar School</t>
  </si>
  <si>
    <t>BD9 6RB</t>
  </si>
  <si>
    <t>Harris Primary Academy Beckenham</t>
  </si>
  <si>
    <t>Beckenham</t>
  </si>
  <si>
    <t>BR3 3SJ</t>
  </si>
  <si>
    <t>King Solomon International Business School</t>
  </si>
  <si>
    <t>Birmingham, Ladywood</t>
  </si>
  <si>
    <t>B7 4AA</t>
  </si>
  <si>
    <t>Barton Clough Primary School</t>
  </si>
  <si>
    <t>Stretford and Urmston</t>
  </si>
  <si>
    <t>M32 9TG</t>
  </si>
  <si>
    <t>Tomlinscote School</t>
  </si>
  <si>
    <t>Surrey Heath</t>
  </si>
  <si>
    <t>GU16 8PY</t>
  </si>
  <si>
    <t>Whissendine Church of England Primary School</t>
  </si>
  <si>
    <t>LE15 7ET</t>
  </si>
  <si>
    <t>Bearwood Primary and Nursery School</t>
  </si>
  <si>
    <t>Mid Dorset and North Poole</t>
  </si>
  <si>
    <t>BH11 9UN</t>
  </si>
  <si>
    <t>Saint Augustine Webster Catholic Voluntary Academy</t>
  </si>
  <si>
    <t>Scunthorpe</t>
  </si>
  <si>
    <t>DN15 8BU</t>
  </si>
  <si>
    <t>Stanley Burnside Primary School</t>
  </si>
  <si>
    <t>North Durham</t>
  </si>
  <si>
    <t>DH9 6QP</t>
  </si>
  <si>
    <t>The Grange Primary School</t>
  </si>
  <si>
    <t>L30 0QS</t>
  </si>
  <si>
    <t>Sir John Hunt Community Sports College</t>
  </si>
  <si>
    <t>PL5 4AA</t>
  </si>
  <si>
    <t>Vine Tree Primary School</t>
  </si>
  <si>
    <t>Crewe and Nantwich</t>
  </si>
  <si>
    <t>CW2 8AD</t>
  </si>
  <si>
    <t>Swansfield Park Primary School</t>
  </si>
  <si>
    <t>NE66 1UL</t>
  </si>
  <si>
    <t>Modbury Primary School</t>
  </si>
  <si>
    <t>PL21 0RB</t>
  </si>
  <si>
    <t>Norwood Primary School</t>
  </si>
  <si>
    <t>PE4 7DZ</t>
  </si>
  <si>
    <t>Poppleton Road Primary School</t>
  </si>
  <si>
    <t>YO26 4UP</t>
  </si>
  <si>
    <t>Ulverston Victoria High School</t>
  </si>
  <si>
    <t>LA12 0EB</t>
  </si>
  <si>
    <t>Plumpton Primary School</t>
  </si>
  <si>
    <t>Lewes</t>
  </si>
  <si>
    <t>BN7 3EB</t>
  </si>
  <si>
    <t>Westgate Community Primary School and Nursery</t>
  </si>
  <si>
    <t>Bury St Edmunds</t>
  </si>
  <si>
    <t>IP33 3JX</t>
  </si>
  <si>
    <t>Sacred Heart Roman Catholic Primary School Blackburn</t>
  </si>
  <si>
    <t>Blackburn</t>
  </si>
  <si>
    <t>BB2 6HQ</t>
  </si>
  <si>
    <t>St John's Catholic Primary School</t>
  </si>
  <si>
    <t>Ludlow</t>
  </si>
  <si>
    <t>WV16 4HW</t>
  </si>
  <si>
    <t>West Huntspill Community Primary School</t>
  </si>
  <si>
    <t>TA9 3QE</t>
  </si>
  <si>
    <t>West Rise Junior School</t>
  </si>
  <si>
    <t>BN23 7SL</t>
  </si>
  <si>
    <t>Baines School</t>
  </si>
  <si>
    <t>FY6 8BE</t>
  </si>
  <si>
    <t>Heath Mount Primary School</t>
  </si>
  <si>
    <t>Birmingham, Hall Green</t>
  </si>
  <si>
    <t>B12 9SR</t>
  </si>
  <si>
    <t>Hoyle Court Primary School</t>
  </si>
  <si>
    <t>Shipley</t>
  </si>
  <si>
    <t>BD17 6DN</t>
  </si>
  <si>
    <t>Harpur Hill Primary School</t>
  </si>
  <si>
    <t>SK17 9LP</t>
  </si>
  <si>
    <t>Harrow Way Community School</t>
  </si>
  <si>
    <t>North West Hampshire</t>
  </si>
  <si>
    <t>SP10 3RH</t>
  </si>
  <si>
    <t>King Edward Primary School</t>
  </si>
  <si>
    <t>Mansfield</t>
  </si>
  <si>
    <t>NG18 2RG</t>
  </si>
  <si>
    <t>Higham Primary School</t>
  </si>
  <si>
    <t>Gravesham</t>
  </si>
  <si>
    <t>ME3 7JL</t>
  </si>
  <si>
    <t>Lancaster Road Primary School</t>
  </si>
  <si>
    <t>Morecambe and Lunesdale</t>
  </si>
  <si>
    <t>LA4 5TH</t>
  </si>
  <si>
    <t>Hateley Heath Primary School</t>
  </si>
  <si>
    <t>West Bromwich East</t>
  </si>
  <si>
    <t>B71 2RP</t>
  </si>
  <si>
    <t>Havelock Primary School and Nursery</t>
  </si>
  <si>
    <t>UB2 4PA</t>
  </si>
  <si>
    <t>Woodland View Primary School</t>
  </si>
  <si>
    <t>NG17 2LH</t>
  </si>
  <si>
    <t>Furness Vale Primary and Nursery School</t>
  </si>
  <si>
    <t>SK23 7PQ</t>
  </si>
  <si>
    <t>Bassingbourn Primary School</t>
  </si>
  <si>
    <t>SG8 5NP</t>
  </si>
  <si>
    <t>Almond Hill Junior School</t>
  </si>
  <si>
    <t>Stevenage</t>
  </si>
  <si>
    <t>SG1 3RP</t>
  </si>
  <si>
    <t>Blakesley Hall Primary School</t>
  </si>
  <si>
    <t>Birmingham, Yardley</t>
  </si>
  <si>
    <t>B33 8TH</t>
  </si>
  <si>
    <t>Black Horse Hill Junior School</t>
  </si>
  <si>
    <t>Wirral West</t>
  </si>
  <si>
    <t>CH48 6DR</t>
  </si>
  <si>
    <t>Elizabeth Garrett Anderson School</t>
  </si>
  <si>
    <t>N1 9QG</t>
  </si>
  <si>
    <t>Decoy Primary School</t>
  </si>
  <si>
    <t>Newton Abbot</t>
  </si>
  <si>
    <t>TQ12 1DH</t>
  </si>
  <si>
    <t>Laycock Primary School</t>
  </si>
  <si>
    <t>N1 1SW</t>
  </si>
  <si>
    <t>Foxyards Primary School</t>
  </si>
  <si>
    <t>Dudley North</t>
  </si>
  <si>
    <t>DY4 8BH</t>
  </si>
  <si>
    <t>Grove House Primary School</t>
  </si>
  <si>
    <t>Bradford East</t>
  </si>
  <si>
    <t>BD2 4ED</t>
  </si>
  <si>
    <t>The Petersfield School</t>
  </si>
  <si>
    <t>East Hampshire</t>
  </si>
  <si>
    <t>GU32 3LU</t>
  </si>
  <si>
    <t>The Sir Donald Bailey Academy</t>
  </si>
  <si>
    <t>Newark</t>
  </si>
  <si>
    <t>NG24 4EP</t>
  </si>
  <si>
    <t>Robinswood Primary Academy</t>
  </si>
  <si>
    <t>GL4 6HE</t>
  </si>
  <si>
    <t>Red Lane Primary School</t>
  </si>
  <si>
    <t>Bolton North East</t>
  </si>
  <si>
    <t>BL2 5HP</t>
  </si>
  <si>
    <t>Kemnal Technology College</t>
  </si>
  <si>
    <t>Bromley and Chislehurst</t>
  </si>
  <si>
    <t>DA14 5AA</t>
  </si>
  <si>
    <t>Langstone Infant School</t>
  </si>
  <si>
    <t>Portsmouth North</t>
  </si>
  <si>
    <t>PO3 6HL</t>
  </si>
  <si>
    <t>Great Bowden Academy, A Church of England Primary School</t>
  </si>
  <si>
    <t>Harborough</t>
  </si>
  <si>
    <t>LE16 7HZ</t>
  </si>
  <si>
    <t>Firthmoor Primary School</t>
  </si>
  <si>
    <t>DL1 4RW</t>
  </si>
  <si>
    <t>Caistor Yarborough Academy</t>
  </si>
  <si>
    <t>Gainsborough</t>
  </si>
  <si>
    <t>LN7 6QZ</t>
  </si>
  <si>
    <t>Maltings Academy</t>
  </si>
  <si>
    <t>Witham</t>
  </si>
  <si>
    <t>CM8 1EP</t>
  </si>
  <si>
    <t>Bromley Beacon Academy</t>
  </si>
  <si>
    <t>Orpington</t>
  </si>
  <si>
    <t>BR6 9BD</t>
  </si>
  <si>
    <t>King James Academy Royston</t>
  </si>
  <si>
    <t>SG8 7JH</t>
  </si>
  <si>
    <t>Thomas Hinderwell Primary Academy</t>
  </si>
  <si>
    <t>YO12 4HF</t>
  </si>
  <si>
    <t>The De La Salle Academy</t>
  </si>
  <si>
    <t>Liverpool, West Derby</t>
  </si>
  <si>
    <t>L11 4SG</t>
  </si>
  <si>
    <t>The Jane Lane School,  A College for Cognition &amp; Learning</t>
  </si>
  <si>
    <t>WS2 0JH</t>
  </si>
  <si>
    <t>Berrybrook Primary School</t>
  </si>
  <si>
    <t>WV10 8NZ</t>
  </si>
  <si>
    <t>John Smeaton Academy</t>
  </si>
  <si>
    <t>Leeds East</t>
  </si>
  <si>
    <t>LS15 8TA</t>
  </si>
  <si>
    <t>Catmose College</t>
  </si>
  <si>
    <t>LE15 6RP</t>
  </si>
  <si>
    <t>Rockwood Academy</t>
  </si>
  <si>
    <t>Birmingham, Hodge Hill</t>
  </si>
  <si>
    <t>B8 3HG</t>
  </si>
  <si>
    <t>Woodlawn School</t>
  </si>
  <si>
    <t>Tynemouth</t>
  </si>
  <si>
    <t>NE25 9DL</t>
  </si>
  <si>
    <t>Wrington Church of England Primary School</t>
  </si>
  <si>
    <t>BS40 5NA</t>
  </si>
  <si>
    <t>B19 2EP</t>
  </si>
  <si>
    <t>Eslington Primary School</t>
  </si>
  <si>
    <t>NE8 2EP</t>
  </si>
  <si>
    <t>St Nicholas CofE Primary School</t>
  </si>
  <si>
    <t>CV8 2PE</t>
  </si>
  <si>
    <t>St Teresa's Catholic Primary School</t>
  </si>
  <si>
    <t>Blackpool North and Cleveleys</t>
  </si>
  <si>
    <t>FY5 3JW</t>
  </si>
  <si>
    <t>Catherington Church of England Infant School</t>
  </si>
  <si>
    <t>PO8 0TD</t>
  </si>
  <si>
    <t>Our Lady of Mount Carmel Catholic Primary School, Wincanton</t>
  </si>
  <si>
    <t>Somerton and Frome</t>
  </si>
  <si>
    <t>BA9 9DH</t>
  </si>
  <si>
    <t>St Anne's CofE Primary School</t>
  </si>
  <si>
    <t>Wythenshawe and Sale East</t>
  </si>
  <si>
    <t>M33 3ES</t>
  </si>
  <si>
    <t>N1 2EP</t>
  </si>
  <si>
    <t>Bishop Chavasse Primary School</t>
  </si>
  <si>
    <t>Tonbridge and Malling</t>
  </si>
  <si>
    <t>TN11 0FB</t>
  </si>
  <si>
    <t>Oak Bank School</t>
  </si>
  <si>
    <t>Academy Special Converter</t>
  </si>
  <si>
    <t>South West Bedfordshire</t>
  </si>
  <si>
    <t>LU7 3BE</t>
  </si>
  <si>
    <t>Thrybergh Academy and Sports College</t>
  </si>
  <si>
    <t>Wentworth and Dearne</t>
  </si>
  <si>
    <t>S65 4BJ</t>
  </si>
  <si>
    <t>Higher Lane Primary School</t>
  </si>
  <si>
    <t>Bury South</t>
  </si>
  <si>
    <t>M45 7EX</t>
  </si>
  <si>
    <t>Eden Boys' School, Preston</t>
  </si>
  <si>
    <t>Preston</t>
  </si>
  <si>
    <t>PR1 4BD</t>
  </si>
  <si>
    <t>Seven Fields Primary School</t>
  </si>
  <si>
    <t>North Swindon</t>
  </si>
  <si>
    <t>SN2 5DE</t>
  </si>
  <si>
    <t>Troon Community Primary School</t>
  </si>
  <si>
    <t>TR14 9ED</t>
  </si>
  <si>
    <t>Sturry Church of England Primary School</t>
  </si>
  <si>
    <t>CT2 0NR</t>
  </si>
  <si>
    <t>Churchill Park Complex Needs School</t>
  </si>
  <si>
    <t>North West Norfolk</t>
  </si>
  <si>
    <t>PE30 4RP</t>
  </si>
  <si>
    <t>Queen Eleanor's Church of England School</t>
  </si>
  <si>
    <t>Guildford</t>
  </si>
  <si>
    <t>GU2 7SD</t>
  </si>
  <si>
    <t>Queen Elizabeth's Girls' School</t>
  </si>
  <si>
    <t>Chipping Barnet</t>
  </si>
  <si>
    <t>EN5 5RR</t>
  </si>
  <si>
    <t>St Columba's Catholic Primary School</t>
  </si>
  <si>
    <t>Bradford South</t>
  </si>
  <si>
    <t>BD4 9PY</t>
  </si>
  <si>
    <t>St Mary's Church of England Aided Primary School, Prestwich</t>
  </si>
  <si>
    <t>M25 1BP</t>
  </si>
  <si>
    <t>St Mary Magdalen's Catholic Primary School</t>
  </si>
  <si>
    <t>Richmond Park</t>
  </si>
  <si>
    <t>SW14 8HE</t>
  </si>
  <si>
    <t>St Teresa's RC Primary School</t>
  </si>
  <si>
    <t>Bolton South East</t>
  </si>
  <si>
    <t>BL3 1EN</t>
  </si>
  <si>
    <t>Burlescombe Church of England Primary School</t>
  </si>
  <si>
    <t>EX16 7JH</t>
  </si>
  <si>
    <t>Haydon Bridge Community High School and Sports College</t>
  </si>
  <si>
    <t>NE47 6LR</t>
  </si>
  <si>
    <t>Swineshead St Mary's Church of England Primary School</t>
  </si>
  <si>
    <t>Boston and Skegness</t>
  </si>
  <si>
    <t>PE20 3EN</t>
  </si>
  <si>
    <t xml:space="preserve">Chaloner Primary School </t>
  </si>
  <si>
    <t>TS14 6JA</t>
  </si>
  <si>
    <t>Kingsfield Primary School</t>
  </si>
  <si>
    <t>North East Cambridgeshire</t>
  </si>
  <si>
    <t>PE16 6ET</t>
  </si>
  <si>
    <t>Barrow Hall Orchard Church of England Primary School</t>
  </si>
  <si>
    <t>Loughborough</t>
  </si>
  <si>
    <t>LE12 8HP</t>
  </si>
  <si>
    <t>Oasis Academy Isle of Sheppey</t>
  </si>
  <si>
    <t>Sittingbourne and Sheppey</t>
  </si>
  <si>
    <t>ME12 3JQ</t>
  </si>
  <si>
    <t>The Grange School</t>
  </si>
  <si>
    <t>Christchurch</t>
  </si>
  <si>
    <t>BH23 3AU</t>
  </si>
  <si>
    <t>The Hereford Academy</t>
  </si>
  <si>
    <t>HR2 7NG</t>
  </si>
  <si>
    <t>Sycamore Short Stay School</t>
  </si>
  <si>
    <t>DY1 3QE</t>
  </si>
  <si>
    <t>Ivingswood Academy</t>
  </si>
  <si>
    <t>Chesham and Amersham</t>
  </si>
  <si>
    <t>HP5 2BY</t>
  </si>
  <si>
    <t>Mercenfeld Primary School</t>
  </si>
  <si>
    <t>Bosworth</t>
  </si>
  <si>
    <t>LE67 9WG</t>
  </si>
  <si>
    <t>Lime Academy Forest Approach</t>
  </si>
  <si>
    <t>Hornchurch and Upminster</t>
  </si>
  <si>
    <t>RM3 9YA</t>
  </si>
  <si>
    <t>Thornhill Primary School</t>
  </si>
  <si>
    <t>Southampton, Itchen</t>
  </si>
  <si>
    <t>SO19 6FH</t>
  </si>
  <si>
    <t>Alice Ingham Catholic Primary School, A Voluntary Academy</t>
  </si>
  <si>
    <t>OL16 2NU</t>
  </si>
  <si>
    <t>Kingsnorth Church of England Primary School</t>
  </si>
  <si>
    <t>TN23 3EF</t>
  </si>
  <si>
    <t>Reach Academy Feltham</t>
  </si>
  <si>
    <t>TW13 4AB</t>
  </si>
  <si>
    <t>Lodge Park Academy</t>
  </si>
  <si>
    <t>NN17 2JH</t>
  </si>
  <si>
    <t>Redhills Primary School</t>
  </si>
  <si>
    <t>EX4 2BY</t>
  </si>
  <si>
    <t>Fazakerley High School</t>
  </si>
  <si>
    <t>Liverpool, Walton</t>
  </si>
  <si>
    <t>L10 1LB</t>
  </si>
  <si>
    <t>Bishop Road Primary School</t>
  </si>
  <si>
    <t>Bristol West</t>
  </si>
  <si>
    <t>BS7 8LS</t>
  </si>
  <si>
    <t>Charlotte Nursery and Infant School</t>
  </si>
  <si>
    <t>DE7 8LQ</t>
  </si>
  <si>
    <t>Eastbrook School</t>
  </si>
  <si>
    <t>RM10 7UR</t>
  </si>
  <si>
    <t>Bengeo Primary School</t>
  </si>
  <si>
    <t>Hertford and Stortford</t>
  </si>
  <si>
    <t>SG14 3DX</t>
  </si>
  <si>
    <t>Birches Green Junior School</t>
  </si>
  <si>
    <t>B24 9SR</t>
  </si>
  <si>
    <t>Betty Layward Primary School</t>
  </si>
  <si>
    <t>N16 9EX</t>
  </si>
  <si>
    <t>Bowlish Infant School</t>
  </si>
  <si>
    <t>BA4 5JQ</t>
  </si>
  <si>
    <t>Moresby Primary School</t>
  </si>
  <si>
    <t>CA28 8UX</t>
  </si>
  <si>
    <t>Moss Lane School</t>
  </si>
  <si>
    <t>GU7 1EF</t>
  </si>
  <si>
    <t>Morpeth School</t>
  </si>
  <si>
    <t>Bethnal Green and Bow</t>
  </si>
  <si>
    <t>E2 0PX</t>
  </si>
  <si>
    <t>Pollington-Balne Church of England Primary School</t>
  </si>
  <si>
    <t>Brigg and Goole</t>
  </si>
  <si>
    <t>DN14 0DZ</t>
  </si>
  <si>
    <t>Larmenier &amp; Sacred Heart Catholic Primary School</t>
  </si>
  <si>
    <t>W6 7BL</t>
  </si>
  <si>
    <t>Winsford High Street Community Primary School</t>
  </si>
  <si>
    <t>Eddisbury</t>
  </si>
  <si>
    <t>CW7 2AU</t>
  </si>
  <si>
    <t>Withymoor Primary School</t>
  </si>
  <si>
    <t>Stourbridge</t>
  </si>
  <si>
    <t>DY5 2BH</t>
  </si>
  <si>
    <t>Thorngumbald Primary School</t>
  </si>
  <si>
    <t>Beverley and Holderness</t>
  </si>
  <si>
    <t>HU12 9QQ</t>
  </si>
  <si>
    <t>St John the Baptist CofE Primary School</t>
  </si>
  <si>
    <t>Leicester South</t>
  </si>
  <si>
    <t>LE2 1TE</t>
  </si>
  <si>
    <t>St Hild's Church of England Voluntary Aided School</t>
  </si>
  <si>
    <t>TS24 9PB</t>
  </si>
  <si>
    <t>Poulton-le-Sands Church of England Primary School</t>
  </si>
  <si>
    <t>LA4 5QA</t>
  </si>
  <si>
    <t>St Ambrose Catholic Primary School</t>
  </si>
  <si>
    <t>Garston and Halewood</t>
  </si>
  <si>
    <t>L24 7SF</t>
  </si>
  <si>
    <t>King Edward VI Church of England Voluntary Controlled Upper School</t>
  </si>
  <si>
    <t>IP33 3BH</t>
  </si>
  <si>
    <t>Grays Convent High School</t>
  </si>
  <si>
    <t>RM17 5UX</t>
  </si>
  <si>
    <t>St Matthew's RC High School</t>
  </si>
  <si>
    <t>M40 0EW</t>
  </si>
  <si>
    <t>Newhall Park Primary School</t>
  </si>
  <si>
    <t>BD4 6AF</t>
  </si>
  <si>
    <t>Meadows Primary School and Nursery</t>
  </si>
  <si>
    <t>Telford</t>
  </si>
  <si>
    <t>TF1 5HF</t>
  </si>
  <si>
    <t>Norton Road Primary School</t>
  </si>
  <si>
    <t>Luton North</t>
  </si>
  <si>
    <t>LU3 2NX</t>
  </si>
  <si>
    <t>Southill Lower School</t>
  </si>
  <si>
    <t>Mid Bedfordshire</t>
  </si>
  <si>
    <t>SG18 9JA</t>
  </si>
  <si>
    <t>St Crispin's Community Primary Infant School</t>
  </si>
  <si>
    <t>North Thanet</t>
  </si>
  <si>
    <t>CT8 8EB</t>
  </si>
  <si>
    <t>Park Lane Primary School</t>
  </si>
  <si>
    <t>HA9 7RY</t>
  </si>
  <si>
    <t>Tor Bridge Primary School</t>
  </si>
  <si>
    <t>PL6 8EE</t>
  </si>
  <si>
    <t>Rawmarsh Ashwood Primary School</t>
  </si>
  <si>
    <t>S62 6HT</t>
  </si>
  <si>
    <t>The King John School</t>
  </si>
  <si>
    <t>Castle Point</t>
  </si>
  <si>
    <t>SS7 1RQ</t>
  </si>
  <si>
    <t>TS23 3NN</t>
  </si>
  <si>
    <t>Aspire Academy</t>
  </si>
  <si>
    <t>Free School - Alternative Provision</t>
  </si>
  <si>
    <t>Kingston upon Hull East</t>
  </si>
  <si>
    <t>HU9 5DE</t>
  </si>
  <si>
    <t>Orchid Vale Primary School</t>
  </si>
  <si>
    <t>SN25 1UG</t>
  </si>
  <si>
    <t>Saint Joseph's Catholic Primary School, A Catholic Voluntary Academy</t>
  </si>
  <si>
    <t>TS13 4PZ</t>
  </si>
  <si>
    <t>Wilton Primary Academy</t>
  </si>
  <si>
    <t>Redcar</t>
  </si>
  <si>
    <t>TS6 8DY</t>
  </si>
  <si>
    <t>Timbercroft Primary School</t>
  </si>
  <si>
    <t>Eltham</t>
  </si>
  <si>
    <t>SE18 2SG</t>
  </si>
  <si>
    <t>Starbank School</t>
  </si>
  <si>
    <t>B10 9BT</t>
  </si>
  <si>
    <t>Beckers Green Primary School</t>
  </si>
  <si>
    <t>CM7 3PR</t>
  </si>
  <si>
    <t>Thrybergh Fullerton Church of England Primary Academy</t>
  </si>
  <si>
    <t>S65 4BL</t>
  </si>
  <si>
    <t>Ilketshall St Lawrence School</t>
  </si>
  <si>
    <t>Waveney</t>
  </si>
  <si>
    <t>NR34 8ND</t>
  </si>
  <si>
    <t>Westcliff Primary Academy</t>
  </si>
  <si>
    <t>FY2 9BY</t>
  </si>
  <si>
    <t>Thomas Bennett Community College</t>
  </si>
  <si>
    <t>RH10 5AD</t>
  </si>
  <si>
    <t>Chesterton Primary School</t>
  </si>
  <si>
    <t>Newcastle-under-Lyme</t>
  </si>
  <si>
    <t>ST5 7NT</t>
  </si>
  <si>
    <t>Thornbury Primary School</t>
  </si>
  <si>
    <t>PL6 8UL</t>
  </si>
  <si>
    <t>Woodseaves CE Primary Academy</t>
  </si>
  <si>
    <t>ST20 0LB</t>
  </si>
  <si>
    <t>Fulwood Academy</t>
  </si>
  <si>
    <t>PR2 9YR</t>
  </si>
  <si>
    <t>The King's Academy</t>
  </si>
  <si>
    <t>TS8 0GA</t>
  </si>
  <si>
    <t>Manchester Health Academy</t>
  </si>
  <si>
    <t>M23 9BP</t>
  </si>
  <si>
    <t>Lime Academy Hornbeam</t>
  </si>
  <si>
    <t>Walthamstow</t>
  </si>
  <si>
    <t>E17 5NT</t>
  </si>
  <si>
    <t>Meppershall Church of England Academy</t>
  </si>
  <si>
    <t>SG17 5LZ</t>
  </si>
  <si>
    <t>St Peter's Church of England (VA) Junior School</t>
  </si>
  <si>
    <t>Torridge and West Devon</t>
  </si>
  <si>
    <t>PL19 9HW</t>
  </si>
  <si>
    <t>Ilminster Avenue E-ACT Academy</t>
  </si>
  <si>
    <t>BS4 1BX</t>
  </si>
  <si>
    <t>Rydon Primary School</t>
  </si>
  <si>
    <t>TQ12 3LP</t>
  </si>
  <si>
    <t>Brookwood Primary School</t>
  </si>
  <si>
    <t>Woking</t>
  </si>
  <si>
    <t>GU24 0HF</t>
  </si>
  <si>
    <t>Newfield Secondary School</t>
  </si>
  <si>
    <t>S8 9JP</t>
  </si>
  <si>
    <t>Meynell Community Primary School</t>
  </si>
  <si>
    <t>Sheffield, Brightside and Hillsborough</t>
  </si>
  <si>
    <t>S5 8GN</t>
  </si>
  <si>
    <t>Grove Junior School</t>
  </si>
  <si>
    <t>BS48 4YZ</t>
  </si>
  <si>
    <t>Old Warren House School</t>
  </si>
  <si>
    <t>NR32 4QD</t>
  </si>
  <si>
    <t>Merstone School</t>
  </si>
  <si>
    <t>Meriden</t>
  </si>
  <si>
    <t>B36 0UE</t>
  </si>
  <si>
    <t>Morecambe Road School</t>
  </si>
  <si>
    <t>LA3 3AB</t>
  </si>
  <si>
    <t>Woodville CofE Junior School</t>
  </si>
  <si>
    <t>DE11 7EA</t>
  </si>
  <si>
    <t>St Paul's CofE Infant School, Tongham</t>
  </si>
  <si>
    <t>GU10 1EF</t>
  </si>
  <si>
    <t>Bredenbury Primary School</t>
  </si>
  <si>
    <t>North Herefordshire</t>
  </si>
  <si>
    <t>HR7 4TF</t>
  </si>
  <si>
    <t>Trinity Church of England Voluntary Aided Primary and Nursery School</t>
  </si>
  <si>
    <t>East Devon</t>
  </si>
  <si>
    <t>EX2 7GB</t>
  </si>
  <si>
    <t>Bream Church of England Primary School</t>
  </si>
  <si>
    <t>Forest of Dean</t>
  </si>
  <si>
    <t>GL15 6JW</t>
  </si>
  <si>
    <t>Holywell CofE Primary School</t>
  </si>
  <si>
    <t>PE27 4TF</t>
  </si>
  <si>
    <t>Driffield Church of England Voluntary Controlled Infant School</t>
  </si>
  <si>
    <t>YO25 6RS</t>
  </si>
  <si>
    <t>Kington St Michael Church of England Primary School</t>
  </si>
  <si>
    <t>North Wiltshire</t>
  </si>
  <si>
    <t>SN14 6JG</t>
  </si>
  <si>
    <t>Cranleigh Church of England Primary School</t>
  </si>
  <si>
    <t>GU6 7AN</t>
  </si>
  <si>
    <t>Skilts School</t>
  </si>
  <si>
    <t>Stratford-on-Avon</t>
  </si>
  <si>
    <t>B98 9ET</t>
  </si>
  <si>
    <t>Windmill CofE (VC) Primary School</t>
  </si>
  <si>
    <t>Batley and Spen</t>
  </si>
  <si>
    <t>WF17 0NP</t>
  </si>
  <si>
    <t>Stanmore Primary School</t>
  </si>
  <si>
    <t>Winchester</t>
  </si>
  <si>
    <t>SO22 4AJ</t>
  </si>
  <si>
    <t>Surrey Street Primary School</t>
  </si>
  <si>
    <t>LU1 3NJ</t>
  </si>
  <si>
    <t>Priory Infant School</t>
  </si>
  <si>
    <t>CT11 9XT</t>
  </si>
  <si>
    <t>Priory Lane Community School</t>
  </si>
  <si>
    <t>DN17 1HE</t>
  </si>
  <si>
    <t>South Walney Junior School</t>
  </si>
  <si>
    <t>LA14 3BG</t>
  </si>
  <si>
    <t>Meadow View JMI School</t>
  </si>
  <si>
    <t>B43 7UJ</t>
  </si>
  <si>
    <t>Oxley Primary School Shepshed</t>
  </si>
  <si>
    <t>LE12 9LU</t>
  </si>
  <si>
    <t>St Michael's Church of England Primary School</t>
  </si>
  <si>
    <t>Holborn and St Pancras</t>
  </si>
  <si>
    <t>NW1 0JA</t>
  </si>
  <si>
    <t>Barham Church of England Primary School</t>
  </si>
  <si>
    <t>CT4 6NX</t>
  </si>
  <si>
    <t>De La Salle School</t>
  </si>
  <si>
    <t>Basildon and Billericay</t>
  </si>
  <si>
    <t>SS14 2LA</t>
  </si>
  <si>
    <t>Waverton Community Primary School</t>
  </si>
  <si>
    <t>CH3 7QT</t>
  </si>
  <si>
    <t>Thomas Tallis School</t>
  </si>
  <si>
    <t>SE3 9PX</t>
  </si>
  <si>
    <t>Our Lady's Catholic Primary School, Wellingborough</t>
  </si>
  <si>
    <t>Wellingborough</t>
  </si>
  <si>
    <t>NN8 2BE</t>
  </si>
  <si>
    <t>Over Kellet Wilson's Endowed Church of England Primary School</t>
  </si>
  <si>
    <t>LA6 1BN</t>
  </si>
  <si>
    <t>Woodcote Primary School</t>
  </si>
  <si>
    <t>Croydon South</t>
  </si>
  <si>
    <t>CR5 2ED</t>
  </si>
  <si>
    <t>Peters Hill Primary School</t>
  </si>
  <si>
    <t>DY5 2QH</t>
  </si>
  <si>
    <t>Phoenix Community Primary School</t>
  </si>
  <si>
    <t>TN24 9LS</t>
  </si>
  <si>
    <t>Mason Moor Primary School</t>
  </si>
  <si>
    <t>SO16 4AS</t>
  </si>
  <si>
    <t>Furzeham Primary School</t>
  </si>
  <si>
    <t>TQ5 8BL</t>
  </si>
  <si>
    <t>Hollingwood Primary School</t>
  </si>
  <si>
    <t>S43 2JG</t>
  </si>
  <si>
    <t>Lynnfield Primary School</t>
  </si>
  <si>
    <t>TS26 8RL</t>
  </si>
  <si>
    <t>Haydn Primary School</t>
  </si>
  <si>
    <t>Nottingham East</t>
  </si>
  <si>
    <t>NG5 2JU</t>
  </si>
  <si>
    <t>Greenfields Junior School</t>
  </si>
  <si>
    <t>North East Hampshire</t>
  </si>
  <si>
    <t>RG27 8DQ</t>
  </si>
  <si>
    <t>Camrose Primary With Nursery</t>
  </si>
  <si>
    <t>Harrow East</t>
  </si>
  <si>
    <t>HA8 6JH</t>
  </si>
  <si>
    <t>Cotton End Forest School</t>
  </si>
  <si>
    <t>MK45 3AG</t>
  </si>
  <si>
    <t>Hanbury Primary School</t>
  </si>
  <si>
    <t>B70 9NT</t>
  </si>
  <si>
    <t>Eastlea Community School</t>
  </si>
  <si>
    <t>West Ham</t>
  </si>
  <si>
    <t>E16 4NP</t>
  </si>
  <si>
    <t>Thomas Estley Community College</t>
  </si>
  <si>
    <t>South Leicestershire</t>
  </si>
  <si>
    <t>LE9 6PT</t>
  </si>
  <si>
    <t>Thomas Walling Primary Academy</t>
  </si>
  <si>
    <t>NE5 3PL</t>
  </si>
  <si>
    <t>Hatfield Academy</t>
  </si>
  <si>
    <t>S5 6HY</t>
  </si>
  <si>
    <t>Bluecoat Meres Primary Academy</t>
  </si>
  <si>
    <t>Grantham and Stamford</t>
  </si>
  <si>
    <t>NG31 7XQ</t>
  </si>
  <si>
    <t>Blackfriars Academy</t>
  </si>
  <si>
    <t>ST5 2TF</t>
  </si>
  <si>
    <t>St Andrew's Church of England Primary School and Nursery</t>
  </si>
  <si>
    <t>OL12 9QA</t>
  </si>
  <si>
    <t>St Peter's Church of England Primary School, Hindley</t>
  </si>
  <si>
    <t>Makerfield</t>
  </si>
  <si>
    <t>WN2 3HY</t>
  </si>
  <si>
    <t>Ark Conway Primary Academy</t>
  </si>
  <si>
    <t>W12 0QT</t>
  </si>
  <si>
    <t>Edward Worlledge Ormiston Academy</t>
  </si>
  <si>
    <t>Great Yarmouth</t>
  </si>
  <si>
    <t>NR31 0ER</t>
  </si>
  <si>
    <t>St John's Church of England Primary School, Radcliffe</t>
  </si>
  <si>
    <t>M26 1AW</t>
  </si>
  <si>
    <t>Bilton School</t>
  </si>
  <si>
    <t>Rugby</t>
  </si>
  <si>
    <t>CV22 7JT</t>
  </si>
  <si>
    <t>Foley Park Primary School and Nursery</t>
  </si>
  <si>
    <t>Wyre Forest</t>
  </si>
  <si>
    <t>DY11 7AW</t>
  </si>
  <si>
    <t>Drapers' Pyrgo Priory School</t>
  </si>
  <si>
    <t>RM3 9RT</t>
  </si>
  <si>
    <t>Wapping High School</t>
  </si>
  <si>
    <t>E1 2DA</t>
  </si>
  <si>
    <t>Carlton Miniott Primary Academy</t>
  </si>
  <si>
    <t>YO7 4NJ</t>
  </si>
  <si>
    <t>Shakespeare Primary School</t>
  </si>
  <si>
    <t>PL5 3JU</t>
  </si>
  <si>
    <t>Fremington Primary School</t>
  </si>
  <si>
    <t>North Devon</t>
  </si>
  <si>
    <t>EX31 3DD</t>
  </si>
  <si>
    <t>Southfield Primary School</t>
  </si>
  <si>
    <t>South Northamptonshire</t>
  </si>
  <si>
    <t>NN13 6AU</t>
  </si>
  <si>
    <t>Bugle School</t>
  </si>
  <si>
    <t>PL26 8PD</t>
  </si>
  <si>
    <t>The Centre School</t>
  </si>
  <si>
    <t>CB24 8UA</t>
  </si>
  <si>
    <t>Whirley Primary School</t>
  </si>
  <si>
    <t>Macclesfield</t>
  </si>
  <si>
    <t>SK10 3JL</t>
  </si>
  <si>
    <t>Foxfield Primary School</t>
  </si>
  <si>
    <t>Greenwich and Woolwich</t>
  </si>
  <si>
    <t>SE18 7EX</t>
  </si>
  <si>
    <t>Coleshill Heath School</t>
  </si>
  <si>
    <t>B37 7PY</t>
  </si>
  <si>
    <t>Fernhill School</t>
  </si>
  <si>
    <t>Aldershot</t>
  </si>
  <si>
    <t>GU14 9BY</t>
  </si>
  <si>
    <t>Field Junior School</t>
  </si>
  <si>
    <t>WD18 0AZ</t>
  </si>
  <si>
    <t>Fairholme Primary School</t>
  </si>
  <si>
    <t>TW14 8ET</t>
  </si>
  <si>
    <t>Deykin Avenue Junior and Infant School</t>
  </si>
  <si>
    <t>Birmingham, Perry Barr</t>
  </si>
  <si>
    <t>B6 7BU</t>
  </si>
  <si>
    <t>Church Langley Community Primary School</t>
  </si>
  <si>
    <t>CM17 9TH</t>
  </si>
  <si>
    <t>Bosham Primary School</t>
  </si>
  <si>
    <t>Chichester</t>
  </si>
  <si>
    <t>PO18 8QF</t>
  </si>
  <si>
    <t>Mersham Primary School</t>
  </si>
  <si>
    <t>TN25 6NU</t>
  </si>
  <si>
    <t>New Delaval Primary School</t>
  </si>
  <si>
    <t>Blyth Valley</t>
  </si>
  <si>
    <t>NE24 4DA</t>
  </si>
  <si>
    <t>Mill Field Primary School</t>
  </si>
  <si>
    <t>Leeds North East</t>
  </si>
  <si>
    <t>LS7 2DR</t>
  </si>
  <si>
    <t>Manor Park School and Nursery</t>
  </si>
  <si>
    <t>Tatton</t>
  </si>
  <si>
    <t>WA16 8DB</t>
  </si>
  <si>
    <t xml:space="preserve">Pennyhill Primary School </t>
  </si>
  <si>
    <t>B71 3BU</t>
  </si>
  <si>
    <t>Moulsecoomb Primary School</t>
  </si>
  <si>
    <t>Brighton, Kemptown</t>
  </si>
  <si>
    <t>BN2 4PA</t>
  </si>
  <si>
    <t>Christ Church Primary School</t>
  </si>
  <si>
    <t>EN5 4NS</t>
  </si>
  <si>
    <t>All Saints' Catholic Voluntary Aided Primary School</t>
  </si>
  <si>
    <t>North West Durham</t>
  </si>
  <si>
    <t>DH7 0JG</t>
  </si>
  <si>
    <t>Westminster Community Primary School</t>
  </si>
  <si>
    <t>CH65 2ED</t>
  </si>
  <si>
    <t>Balcombe CofE Controlled Primary School</t>
  </si>
  <si>
    <t>Horsham</t>
  </si>
  <si>
    <t>RH17 6HS</t>
  </si>
  <si>
    <t>Basildon C.E. Primary School</t>
  </si>
  <si>
    <t>RG8 8PD</t>
  </si>
  <si>
    <t>Wool Church of England Voluntary Aided Primary School</t>
  </si>
  <si>
    <t>South Dorset</t>
  </si>
  <si>
    <t>BH20 6BT</t>
  </si>
  <si>
    <t>Offmore Primary School</t>
  </si>
  <si>
    <t>DY10 3HA</t>
  </si>
  <si>
    <t>Waingroves Primary School</t>
  </si>
  <si>
    <t>Amber Valley</t>
  </si>
  <si>
    <t>DE5 9TD</t>
  </si>
  <si>
    <t>The Henry Cort Community College</t>
  </si>
  <si>
    <t>Fareham</t>
  </si>
  <si>
    <t>PO15 6PH</t>
  </si>
  <si>
    <t>Chipping Sodbury School</t>
  </si>
  <si>
    <t>Thornbury and Yate</t>
  </si>
  <si>
    <t>BS37 6EW</t>
  </si>
  <si>
    <t>Bosley St Mary's CofE Primary School</t>
  </si>
  <si>
    <t>SK11 0NX</t>
  </si>
  <si>
    <t>Orchard Manor School</t>
  </si>
  <si>
    <t>EX7 9SF</t>
  </si>
  <si>
    <t>Cleaswell Hill School</t>
  </si>
  <si>
    <t>Wansbeck</t>
  </si>
  <si>
    <t>NE62 5DJ</t>
  </si>
  <si>
    <t>Cardinal Hume Catholic School</t>
  </si>
  <si>
    <t>NE9 6RZ</t>
  </si>
  <si>
    <t>Wistaston Academy</t>
  </si>
  <si>
    <t>CW2 8QS</t>
  </si>
  <si>
    <t>Holywell School</t>
  </si>
  <si>
    <t>MK43 0JA</t>
  </si>
  <si>
    <t>Glebe School</t>
  </si>
  <si>
    <t>BR4 9AE</t>
  </si>
  <si>
    <t>Headley Park Primary School.</t>
  </si>
  <si>
    <t>BS13 7QB</t>
  </si>
  <si>
    <t>St Margaret Ward Catholic Academy</t>
  </si>
  <si>
    <t>Stoke-on-Trent North</t>
  </si>
  <si>
    <t>ST6 6LZ</t>
  </si>
  <si>
    <t>St Nicholas of Tolentine Catholic Primary School</t>
  </si>
  <si>
    <t>BS5 0TJ</t>
  </si>
  <si>
    <t>Luddenham School</t>
  </si>
  <si>
    <t>ME13 0TE</t>
  </si>
  <si>
    <t>Malcolm Sargent Primary School</t>
  </si>
  <si>
    <t>PE9 2SR</t>
  </si>
  <si>
    <t>Lees Primary School</t>
  </si>
  <si>
    <t>Keighley</t>
  </si>
  <si>
    <t>BD22 9DL</t>
  </si>
  <si>
    <t>Chelsea Academy</t>
  </si>
  <si>
    <t>SW10 0AB</t>
  </si>
  <si>
    <t>Appleby Grammar School</t>
  </si>
  <si>
    <t>CA16 6XU</t>
  </si>
  <si>
    <t>Lime Academy Larkswood</t>
  </si>
  <si>
    <t>Chingford and Woodford Green</t>
  </si>
  <si>
    <t>E4 8ET</t>
  </si>
  <si>
    <t>Hartsdown Academy</t>
  </si>
  <si>
    <t>CT9 5RE</t>
  </si>
  <si>
    <t>NCEA Duke's Secondary School</t>
  </si>
  <si>
    <t>NE63 9FZ</t>
  </si>
  <si>
    <t>Othery Village School</t>
  </si>
  <si>
    <t>TA7 0PX</t>
  </si>
  <si>
    <t>Gatehouse Primary Academy</t>
  </si>
  <si>
    <t>EX7 0LW</t>
  </si>
  <si>
    <t>Great Yarmouth Primary Academy</t>
  </si>
  <si>
    <t>NR30 3DT</t>
  </si>
  <si>
    <t>Gusford Community Primary School</t>
  </si>
  <si>
    <t>IP2 9LQ</t>
  </si>
  <si>
    <t>The Fallibroome Academy</t>
  </si>
  <si>
    <t>SK10 4AF</t>
  </si>
  <si>
    <t>The Hackthorn Church of England Primary School</t>
  </si>
  <si>
    <t>LN2 3PF</t>
  </si>
  <si>
    <t>Bishop Heber High School</t>
  </si>
  <si>
    <t>SY14 8JD</t>
  </si>
  <si>
    <t>St Margaret's Lee CofE Primary School</t>
  </si>
  <si>
    <t>Lewisham East</t>
  </si>
  <si>
    <t>SE13 5SG</t>
  </si>
  <si>
    <t>St Thomas's CofE Primary School</t>
  </si>
  <si>
    <t>Westmorland and Lonsdale</t>
  </si>
  <si>
    <t>LA9 5PP</t>
  </si>
  <si>
    <t>Sacred Heart Catholic Primary School</t>
  </si>
  <si>
    <t>N7 8JN</t>
  </si>
  <si>
    <t>Ellesmere Port Christ Church CofE Primary School</t>
  </si>
  <si>
    <t>CH65 6TQ</t>
  </si>
  <si>
    <t>Crosscrake CofE Primary School</t>
  </si>
  <si>
    <t>LA8 0LB</t>
  </si>
  <si>
    <t>Cheswick Green Primary School</t>
  </si>
  <si>
    <t>B90 4HG</t>
  </si>
  <si>
    <t>Denfield Park Primary School</t>
  </si>
  <si>
    <t>NN10 0DA</t>
  </si>
  <si>
    <t>Downsell Primary School</t>
  </si>
  <si>
    <t>Leyton and Wanstead</t>
  </si>
  <si>
    <t>E15 2BS</t>
  </si>
  <si>
    <t>Edith Neville Primary School</t>
  </si>
  <si>
    <t>NW1 1DN</t>
  </si>
  <si>
    <t>Downsway Primary School</t>
  </si>
  <si>
    <t>RG31 6FE</t>
  </si>
  <si>
    <t>Gunter Primary School</t>
  </si>
  <si>
    <t>B24 0RU</t>
  </si>
  <si>
    <t>Carrwood Primary School</t>
  </si>
  <si>
    <t>BD4 0EQ</t>
  </si>
  <si>
    <t>Bridge Farm Primary School</t>
  </si>
  <si>
    <t>BS14 0LL</t>
  </si>
  <si>
    <t>Bucklesham Primary School</t>
  </si>
  <si>
    <t>IP10 0AX</t>
  </si>
  <si>
    <t>Beech Green Primary School</t>
  </si>
  <si>
    <t>GL2 4WD</t>
  </si>
  <si>
    <t>Ashwell Primary School</t>
  </si>
  <si>
    <t>SG7 5QL</t>
  </si>
  <si>
    <t>Barnwell School</t>
  </si>
  <si>
    <t>SG2 9SW</t>
  </si>
  <si>
    <t>Seaton Delaval First School</t>
  </si>
  <si>
    <t>NE25 0EP</t>
  </si>
  <si>
    <t>Leighswood School</t>
  </si>
  <si>
    <t>Aldridge-Brownhills</t>
  </si>
  <si>
    <t>WS9 8HZ</t>
  </si>
  <si>
    <t>Harmans Water Primary School</t>
  </si>
  <si>
    <t>RG12 9NE</t>
  </si>
  <si>
    <t>Westacre Middle School</t>
  </si>
  <si>
    <t>Mid Worcestershire</t>
  </si>
  <si>
    <t>WR9 0AA</t>
  </si>
  <si>
    <t>Christ the King Catholic and Church of England Primary School</t>
  </si>
  <si>
    <t>Church of England/Roman Catholic</t>
  </si>
  <si>
    <t>SK11 7SF</t>
  </si>
  <si>
    <t>William Davis Primary School</t>
  </si>
  <si>
    <t>E2 6ET</t>
  </si>
  <si>
    <t>Stafford Junior School</t>
  </si>
  <si>
    <t>BN22 8UA</t>
  </si>
  <si>
    <t>Rivacre Valley Primary School</t>
  </si>
  <si>
    <t>CH66 1LE</t>
  </si>
  <si>
    <t>Wherwell Primary School</t>
  </si>
  <si>
    <t>SP11 7JP</t>
  </si>
  <si>
    <t>St Andrew's Primary School</t>
  </si>
  <si>
    <t>DL14 6RY</t>
  </si>
  <si>
    <t>St Margaret's CofE Primary School</t>
  </si>
  <si>
    <t>RH11 0AQ</t>
  </si>
  <si>
    <t>St George Church of England Primary School</t>
  </si>
  <si>
    <t>BS1 5XJ</t>
  </si>
  <si>
    <t>Langford Budville Church of England Primary School</t>
  </si>
  <si>
    <t>TA21 0RD</t>
  </si>
  <si>
    <t>Duddon St Peter's CofE Primary School</t>
  </si>
  <si>
    <t>CW6 0EL</t>
  </si>
  <si>
    <t>St Clare's Catholic Primary School</t>
  </si>
  <si>
    <t>CH4 8HX</t>
  </si>
  <si>
    <t>St Johns Walham Green Church of England Primary School</t>
  </si>
  <si>
    <t>SW6 6AS</t>
  </si>
  <si>
    <t>Chidham Parochial Primary School</t>
  </si>
  <si>
    <t>PO18 8TH</t>
  </si>
  <si>
    <t>Hooe Primary Academy</t>
  </si>
  <si>
    <t>PL9 9RG</t>
  </si>
  <si>
    <t>De Warenne Academy</t>
  </si>
  <si>
    <t>DN12 3JY</t>
  </si>
  <si>
    <t>Wednesfield High Academy</t>
  </si>
  <si>
    <t>WV11 3ES</t>
  </si>
  <si>
    <t>The Ferrars Academy</t>
  </si>
  <si>
    <t>LU4 0LL</t>
  </si>
  <si>
    <t>St Catherine's Catholic Primary School, Wimborne</t>
  </si>
  <si>
    <t>BH21 2HN</t>
  </si>
  <si>
    <t>St Mary's Catholic Primary School (Maltby)</t>
  </si>
  <si>
    <t>S66 7JU</t>
  </si>
  <si>
    <t>The Eastwood Academy</t>
  </si>
  <si>
    <t>Southend West</t>
  </si>
  <si>
    <t>SS9 5UU</t>
  </si>
  <si>
    <t>Twydall Primary School and Nursery</t>
  </si>
  <si>
    <t>Gillingham and Rainham</t>
  </si>
  <si>
    <t>ME8 6JS</t>
  </si>
  <si>
    <t>Minehead First School</t>
  </si>
  <si>
    <t>TA24 5RG</t>
  </si>
  <si>
    <t>Pegasus Primary School</t>
  </si>
  <si>
    <t>B35 6PR</t>
  </si>
  <si>
    <t>Endsleigh Holy Child VC Academy</t>
  </si>
  <si>
    <t>Kingston upon Hull North</t>
  </si>
  <si>
    <t>HU6 7TE</t>
  </si>
  <si>
    <t>Nunthorpe Primary Academy</t>
  </si>
  <si>
    <t>TS7 0LA</t>
  </si>
  <si>
    <t>Netherbrook Primary School</t>
  </si>
  <si>
    <t>DY2 9RZ</t>
  </si>
  <si>
    <t>Jeavons Wood Primary School</t>
  </si>
  <si>
    <t>CB23 6DZ</t>
  </si>
  <si>
    <t>The CE Academy</t>
  </si>
  <si>
    <t>Northampton South</t>
  </si>
  <si>
    <t>NN1 3EX</t>
  </si>
  <si>
    <t>Washingborough Academy</t>
  </si>
  <si>
    <t>Sleaford and North Hykeham</t>
  </si>
  <si>
    <t>LN4 1BW</t>
  </si>
  <si>
    <t xml:space="preserve">Uffculme Primary School </t>
  </si>
  <si>
    <t>EX15 3AY</t>
  </si>
  <si>
    <t>The Willows Primary School</t>
  </si>
  <si>
    <t>SS14 2EX</t>
  </si>
  <si>
    <t>St Simon of England Roman Catholic Primary School, Ashford</t>
  </si>
  <si>
    <t>TN23 4RB</t>
  </si>
  <si>
    <t>Ribston Hall High School</t>
  </si>
  <si>
    <t>Selective</t>
  </si>
  <si>
    <t>GL1 5LE</t>
  </si>
  <si>
    <t>Ashby School</t>
  </si>
  <si>
    <t>North West Leicestershire</t>
  </si>
  <si>
    <t>LE65 1DT</t>
  </si>
  <si>
    <t>Cossington Church of England Primary School</t>
  </si>
  <si>
    <t>Charnwood</t>
  </si>
  <si>
    <t>LE7 4UU</t>
  </si>
  <si>
    <t>Highgate Community Primary School</t>
  </si>
  <si>
    <t>LE12 7ND</t>
  </si>
  <si>
    <t>Front Street Community Primary School</t>
  </si>
  <si>
    <t>Blaydon</t>
  </si>
  <si>
    <t>NE16 4AY</t>
  </si>
  <si>
    <t>Hythe Primary School</t>
  </si>
  <si>
    <t>New Forest East</t>
  </si>
  <si>
    <t>SO45 6BL</t>
  </si>
  <si>
    <t>Galley Hill Primary School and Nursery</t>
  </si>
  <si>
    <t>Hemel Hempstead</t>
  </si>
  <si>
    <t>HP1 3JY</t>
  </si>
  <si>
    <t>Marnel Junior School</t>
  </si>
  <si>
    <t>RG24 9PT</t>
  </si>
  <si>
    <t>Marsh Green Primary School</t>
  </si>
  <si>
    <t>WN5 0EF</t>
  </si>
  <si>
    <t>Chartham Primary School</t>
  </si>
  <si>
    <t>CT4 7QN</t>
  </si>
  <si>
    <t>Cranford Primary School</t>
  </si>
  <si>
    <t>TW4 6LB</t>
  </si>
  <si>
    <t>St Bees Village Primary School</t>
  </si>
  <si>
    <t>CA27 0AA</t>
  </si>
  <si>
    <t>Trinity Primary School</t>
  </si>
  <si>
    <t>HR4 0NU</t>
  </si>
  <si>
    <t>Stillington Primary School</t>
  </si>
  <si>
    <t>YO61 1LA</t>
  </si>
  <si>
    <t>Rossington Tornedale Infant School</t>
  </si>
  <si>
    <t>DN11 0NQ</t>
  </si>
  <si>
    <t>Christ The King Catholic School, Amesbury</t>
  </si>
  <si>
    <t>Salisbury</t>
  </si>
  <si>
    <t>SP4 7LX</t>
  </si>
  <si>
    <t>Whitleigh Community Primary School</t>
  </si>
  <si>
    <t>The South Hykeham Community Primary School</t>
  </si>
  <si>
    <t>LN6 9PG</t>
  </si>
  <si>
    <t>Corpus Christi Catholic Primary School</t>
  </si>
  <si>
    <t>PO2 9AX</t>
  </si>
  <si>
    <t>St Mary's Roman Catholic Primary School, Osbaldeston</t>
  </si>
  <si>
    <t>Ribble Valley</t>
  </si>
  <si>
    <t>BB2 7HX</t>
  </si>
  <si>
    <t>Clearwell Church of England Primary School</t>
  </si>
  <si>
    <t>GL16 8LG</t>
  </si>
  <si>
    <t>Trinity St Stephen CofE Aided First School</t>
  </si>
  <si>
    <t>Windsor</t>
  </si>
  <si>
    <t>SL4 5DF</t>
  </si>
  <si>
    <t>St Andrew's CofE Voluntary Aided Primary School, Totteridge</t>
  </si>
  <si>
    <t>N20 8NX</t>
  </si>
  <si>
    <t>Humberstone Junior School</t>
  </si>
  <si>
    <t>Leicester East</t>
  </si>
  <si>
    <t>LE5 1AE</t>
  </si>
  <si>
    <t>Beacon Academy</t>
  </si>
  <si>
    <t>LE11 2NF</t>
  </si>
  <si>
    <t>Bartley Green School</t>
  </si>
  <si>
    <t>B32 3QJ</t>
  </si>
  <si>
    <t>Sprites Primary Academy</t>
  </si>
  <si>
    <t>IP2 0SA</t>
  </si>
  <si>
    <t>Wold Academy</t>
  </si>
  <si>
    <t>Kingston upon Hull West and Hessle</t>
  </si>
  <si>
    <t>HU5 5QG</t>
  </si>
  <si>
    <t>Fleetwood High School</t>
  </si>
  <si>
    <t>FY7 8HE</t>
  </si>
  <si>
    <t>Wesc Foundation School</t>
  </si>
  <si>
    <t>Non-Maintained Special School</t>
  </si>
  <si>
    <t>EX2 6HA</t>
  </si>
  <si>
    <t>Astor Secondary School</t>
  </si>
  <si>
    <t>Dover</t>
  </si>
  <si>
    <t>CT17 0AS</t>
  </si>
  <si>
    <t>Hawkesley Church Primary Academy</t>
  </si>
  <si>
    <t>Church of England/Methodist</t>
  </si>
  <si>
    <t>Birmingham, Northfield</t>
  </si>
  <si>
    <t>B38 9TR</t>
  </si>
  <si>
    <t>Ramnoth Junior School</t>
  </si>
  <si>
    <t>PE13 2JB</t>
  </si>
  <si>
    <t>Thurcroft Junior Academy</t>
  </si>
  <si>
    <t>S66 9DD</t>
  </si>
  <si>
    <t>Oakwood Primary Academy</t>
  </si>
  <si>
    <t>BN22 0SS</t>
  </si>
  <si>
    <t>Easton Royal Academy</t>
  </si>
  <si>
    <t>Devizes</t>
  </si>
  <si>
    <t>SN9 5LZ</t>
  </si>
  <si>
    <t>St Mary's Cockerton Church of England Primary School</t>
  </si>
  <si>
    <t>DL3 9EX</t>
  </si>
  <si>
    <t>Ruskington Chestnut Street Church of England Academy</t>
  </si>
  <si>
    <t>NG34 9DL</t>
  </si>
  <si>
    <t>Rugby Free Secondary School</t>
  </si>
  <si>
    <t>CV22 5PE</t>
  </si>
  <si>
    <t>The Dorcan Academy</t>
  </si>
  <si>
    <t>South Swindon</t>
  </si>
  <si>
    <t>SN3 5DA</t>
  </si>
  <si>
    <t>The Bishop's Church of England Primary Academy</t>
  </si>
  <si>
    <t>IP24 1EB</t>
  </si>
  <si>
    <t>Dosthill Primary School</t>
  </si>
  <si>
    <t>Tamworth</t>
  </si>
  <si>
    <t>B77 1LQ</t>
  </si>
  <si>
    <t>Noel-Baker Academy</t>
  </si>
  <si>
    <t>DE24 0BR</t>
  </si>
  <si>
    <t>Stubbin Wood School</t>
  </si>
  <si>
    <t>NG20 8QF</t>
  </si>
  <si>
    <t>The Edge Academy</t>
  </si>
  <si>
    <t>B31 2LQ</t>
  </si>
  <si>
    <t>High Street Primary Academy</t>
  </si>
  <si>
    <t>Plymouth, Sutton and Devonport</t>
  </si>
  <si>
    <t>PL1 3SJ</t>
  </si>
  <si>
    <t>Hob Green Primary School</t>
  </si>
  <si>
    <t>DY9 9EX</t>
  </si>
  <si>
    <t>Richard De Clare Community Academy</t>
  </si>
  <si>
    <t>CO9 2JT</t>
  </si>
  <si>
    <t>Umberleigh Primary Academy</t>
  </si>
  <si>
    <t>EX37 9AD</t>
  </si>
  <si>
    <t>Manchester Enterprise Academy Central</t>
  </si>
  <si>
    <t>M14 6PL</t>
  </si>
  <si>
    <t>The Brookfield School</t>
  </si>
  <si>
    <t>HR4 9NG</t>
  </si>
  <si>
    <t>West Park Primary School</t>
  </si>
  <si>
    <t>TS26 0BU</t>
  </si>
  <si>
    <t>St Paul's and All Hallows CofE Infant School</t>
  </si>
  <si>
    <t>Tottenham</t>
  </si>
  <si>
    <t>N17 0HH</t>
  </si>
  <si>
    <t>Stanton Under Bardon Community Primary School</t>
  </si>
  <si>
    <t>LE67 9TQ</t>
  </si>
  <si>
    <t>Illogan School</t>
  </si>
  <si>
    <t>TR16 4SW</t>
  </si>
  <si>
    <t>Heathcote Primary School</t>
  </si>
  <si>
    <t>CV34 7AP</t>
  </si>
  <si>
    <t>Oak Wood School</t>
  </si>
  <si>
    <t>Uxbridge and South Ruislip</t>
  </si>
  <si>
    <t>UB10 0EX</t>
  </si>
  <si>
    <t>Holy Spirit Catholic Primary School</t>
  </si>
  <si>
    <t>L30 2NR</t>
  </si>
  <si>
    <t>Hulland CofE Primary School</t>
  </si>
  <si>
    <t>Derbyshire Dales</t>
  </si>
  <si>
    <t>DE6 3FS</t>
  </si>
  <si>
    <t>St Ethelbert's RC Primary School</t>
  </si>
  <si>
    <t>BL3 5RL</t>
  </si>
  <si>
    <t>St. Mary's Catholic Primary School Euxton</t>
  </si>
  <si>
    <t>PR7 6JW</t>
  </si>
  <si>
    <t>Sopley Primary School</t>
  </si>
  <si>
    <t>New Forest West</t>
  </si>
  <si>
    <t>BH23 8ET</t>
  </si>
  <si>
    <t>Shilbottle Primary School</t>
  </si>
  <si>
    <t>NE66 2XQ</t>
  </si>
  <si>
    <t>Whiteheath Junior School</t>
  </si>
  <si>
    <t>Ruislip, Northwood and Pinner</t>
  </si>
  <si>
    <t>HA4 7PR</t>
  </si>
  <si>
    <t>The De Montfort School</t>
  </si>
  <si>
    <t>WR11 1DQ</t>
  </si>
  <si>
    <t>Park Hill Junior School</t>
  </si>
  <si>
    <t>CV8 2JJ</t>
  </si>
  <si>
    <t>Dale Community Primary School</t>
  </si>
  <si>
    <t>DE23 6NL</t>
  </si>
  <si>
    <t>Henry Whipple Primary School</t>
  </si>
  <si>
    <t>Nottingham North</t>
  </si>
  <si>
    <t>NG5 5GH</t>
  </si>
  <si>
    <t>East Farleigh Primary School</t>
  </si>
  <si>
    <t>ME15 0LY</t>
  </si>
  <si>
    <t>Donnington Wood Infant School and Nursery Centre</t>
  </si>
  <si>
    <t>TF2 8EP</t>
  </si>
  <si>
    <t>Ermington Primary School</t>
  </si>
  <si>
    <t>PL21 9NH</t>
  </si>
  <si>
    <t>Marston Green Junior School</t>
  </si>
  <si>
    <t>B37 7BA</t>
  </si>
  <si>
    <t>Moseley Primary School</t>
  </si>
  <si>
    <t>Coventry North West</t>
  </si>
  <si>
    <t>CV6 1AB</t>
  </si>
  <si>
    <t>Milton Park Primary School</t>
  </si>
  <si>
    <t>Portsmouth South</t>
  </si>
  <si>
    <t>PO4 8ET</t>
  </si>
  <si>
    <t>Halfway Junior School</t>
  </si>
  <si>
    <t>Sheffield South East</t>
  </si>
  <si>
    <t>S20 4TA</t>
  </si>
  <si>
    <t>Ferham Primary School</t>
  </si>
  <si>
    <t>S61 1AP</t>
  </si>
  <si>
    <t>Hillocks Primary and Nursery School</t>
  </si>
  <si>
    <t>NG17 4ND</t>
  </si>
  <si>
    <t>Langland Community School</t>
  </si>
  <si>
    <t>Milton Keynes South</t>
  </si>
  <si>
    <t>MK6 4HA</t>
  </si>
  <si>
    <t>Hampton Hargate Primary School</t>
  </si>
  <si>
    <t>PE7 8BZ</t>
  </si>
  <si>
    <t>Ash Lea School</t>
  </si>
  <si>
    <t>Rushcliffe</t>
  </si>
  <si>
    <t>NG12 3PA</t>
  </si>
  <si>
    <t>Perseid School</t>
  </si>
  <si>
    <t>Mitcham and Morden</t>
  </si>
  <si>
    <t>SM4 5LT</t>
  </si>
  <si>
    <t>Croft Academy</t>
  </si>
  <si>
    <t>Walsall North</t>
  </si>
  <si>
    <t>WS2 8JE</t>
  </si>
  <si>
    <t>Strand Primary Academy</t>
  </si>
  <si>
    <t>Great Grimsby</t>
  </si>
  <si>
    <t>DN32 7BE</t>
  </si>
  <si>
    <t>St Patrick's Catholic Primary School</t>
  </si>
  <si>
    <t>WN1 3RZ</t>
  </si>
  <si>
    <t>Garboldisham Church Primary School</t>
  </si>
  <si>
    <t>IP22 2SE</t>
  </si>
  <si>
    <t>The St Thomas the Apostle College</t>
  </si>
  <si>
    <t>Camberwell and Peckham</t>
  </si>
  <si>
    <t>SE15 2EB</t>
  </si>
  <si>
    <t>Christ Church CofE Primary School</t>
  </si>
  <si>
    <t>OL3 5RY</t>
  </si>
  <si>
    <t>Cracoe and Rylstone Voluntary Controlled Church of England Primary School</t>
  </si>
  <si>
    <t>Skipton and Ripon</t>
  </si>
  <si>
    <t>BD23 6LQ</t>
  </si>
  <si>
    <t>Leyland Methodist Infant School</t>
  </si>
  <si>
    <t>Methodist</t>
  </si>
  <si>
    <t>South Ribble</t>
  </si>
  <si>
    <t>PR25 3ET</t>
  </si>
  <si>
    <t>The Cotswold Academy</t>
  </si>
  <si>
    <t>GL54 2BD</t>
  </si>
  <si>
    <t>St Catherine's Roman Catholic School</t>
  </si>
  <si>
    <t>West Dorset</t>
  </si>
  <si>
    <t>DT6 3TR</t>
  </si>
  <si>
    <t>St Columb Major Academy</t>
  </si>
  <si>
    <t>TR9 6RW</t>
  </si>
  <si>
    <t>Oldmixon Primary School</t>
  </si>
  <si>
    <t>BS24 9DA</t>
  </si>
  <si>
    <t>New Close Primary School</t>
  </si>
  <si>
    <t>South West Wiltshire</t>
  </si>
  <si>
    <t>BA12 9JJ</t>
  </si>
  <si>
    <t>Childwall Sports &amp; Science Academy</t>
  </si>
  <si>
    <t>Liverpool, Wavertree</t>
  </si>
  <si>
    <t>L15 6XZ</t>
  </si>
  <si>
    <t>Falmouth School</t>
  </si>
  <si>
    <t>Truro and Falmouth</t>
  </si>
  <si>
    <t>TR11 4LH</t>
  </si>
  <si>
    <t>Cholsey Primary School</t>
  </si>
  <si>
    <t>Wantage</t>
  </si>
  <si>
    <t>OX10 9PP</t>
  </si>
  <si>
    <t>The Gateway Academy</t>
  </si>
  <si>
    <t>RM16 4LU</t>
  </si>
  <si>
    <t>Bury St Edmunds County Upper School</t>
  </si>
  <si>
    <t>IP32 6RF</t>
  </si>
  <si>
    <t>Antingham and Southrepps Primary School</t>
  </si>
  <si>
    <t>North Norfolk</t>
  </si>
  <si>
    <t>NR11 8UG</t>
  </si>
  <si>
    <t>Marden Vale CofE Academy</t>
  </si>
  <si>
    <t>SN11 9BD</t>
  </si>
  <si>
    <t>Crosshall Junior School</t>
  </si>
  <si>
    <t>Huntingdon</t>
  </si>
  <si>
    <t>PE19 7GG</t>
  </si>
  <si>
    <t>Littleport &amp; East Cambs Academy</t>
  </si>
  <si>
    <t>CB6 1EW</t>
  </si>
  <si>
    <t>West Worcestershire</t>
  </si>
  <si>
    <t>WR10 1ET</t>
  </si>
  <si>
    <t>Pilgrims' Way Primary School</t>
  </si>
  <si>
    <t>CT1 1XU</t>
  </si>
  <si>
    <t>Stafford Leys Community Primary School</t>
  </si>
  <si>
    <t>LE3 3LJ</t>
  </si>
  <si>
    <t>St Giles' and St George's Church of England Academy</t>
  </si>
  <si>
    <t>ST5 2NB</t>
  </si>
  <si>
    <t>St Just Primary School</t>
  </si>
  <si>
    <t>St Ives</t>
  </si>
  <si>
    <t>TR19 7JU</t>
  </si>
  <si>
    <t>Amesbury Archer Primary School</t>
  </si>
  <si>
    <t>SP4 7XX</t>
  </si>
  <si>
    <t>Pamphill Church of England First School</t>
  </si>
  <si>
    <t>BH21 4EE</t>
  </si>
  <si>
    <t>Park Vale Academy</t>
  </si>
  <si>
    <t>NG5 9AZ</t>
  </si>
  <si>
    <t>The Fen Rivers Academy</t>
  </si>
  <si>
    <t>PE30 2HU</t>
  </si>
  <si>
    <t>Lyng Hall School</t>
  </si>
  <si>
    <t>CV2 3JS</t>
  </si>
  <si>
    <t>Morville CofE (Controlled) Primary School</t>
  </si>
  <si>
    <t>WV16 4RJ</t>
  </si>
  <si>
    <t>Netherfield Primary School</t>
  </si>
  <si>
    <t>Gedling</t>
  </si>
  <si>
    <t>NG4 2LR</t>
  </si>
  <si>
    <t>Hillsgrove Primary School</t>
  </si>
  <si>
    <t>Bexleyheath and Crayford</t>
  </si>
  <si>
    <t>DA16 1DR</t>
  </si>
  <si>
    <t>Longhoughton Church of England Primary School</t>
  </si>
  <si>
    <t>NE66 3AJ</t>
  </si>
  <si>
    <t>Overbury CofE First School</t>
  </si>
  <si>
    <t>GL20 7NT</t>
  </si>
  <si>
    <t>St Philip's Catholic Primary  School</t>
  </si>
  <si>
    <t>Leeds Central</t>
  </si>
  <si>
    <t>LS10 3SL</t>
  </si>
  <si>
    <t>St Mary's Catholic Primary School</t>
  </si>
  <si>
    <t>Chippenham</t>
  </si>
  <si>
    <t>SN15 2AH</t>
  </si>
  <si>
    <t>Kettering Science Academy</t>
  </si>
  <si>
    <t>Kettering</t>
  </si>
  <si>
    <t>NN15 7AA</t>
  </si>
  <si>
    <t>Ferndale Primary School</t>
  </si>
  <si>
    <t>B43 5QF</t>
  </si>
  <si>
    <t>Glenbrook Primary School</t>
  </si>
  <si>
    <t>Streatham</t>
  </si>
  <si>
    <t>SW4 8LD</t>
  </si>
  <si>
    <t>Headlands School</t>
  </si>
  <si>
    <t>YO16 6UR</t>
  </si>
  <si>
    <t>Emsworth Primary School</t>
  </si>
  <si>
    <t>PO10 7LX</t>
  </si>
  <si>
    <t>Abbey Primary School</t>
  </si>
  <si>
    <t>NG19 0AB</t>
  </si>
  <si>
    <t>Rushmore Primary School</t>
  </si>
  <si>
    <t>E5 0LE</t>
  </si>
  <si>
    <t>Shield Road Primary School</t>
  </si>
  <si>
    <t>Filton and Bradley Stoke</t>
  </si>
  <si>
    <t>BS7 0RR</t>
  </si>
  <si>
    <t>Barnabas Oley CofE Primary School</t>
  </si>
  <si>
    <t>SG19 3AE</t>
  </si>
  <si>
    <t>Altham St James Church of England Primary School</t>
  </si>
  <si>
    <t>BB5 5UH</t>
  </si>
  <si>
    <t>Upper Arley CofE VC Primary School</t>
  </si>
  <si>
    <t>DY12 1XA</t>
  </si>
  <si>
    <t>South Bank Engineering UTC</t>
  </si>
  <si>
    <t>University Technical College</t>
  </si>
  <si>
    <t>SW2 1QS</t>
  </si>
  <si>
    <t>Bay Leadership Academy</t>
  </si>
  <si>
    <t>LA3 1AB</t>
  </si>
  <si>
    <t>Minerva Primary School</t>
  </si>
  <si>
    <t>TA1 2BU</t>
  </si>
  <si>
    <t>Castle Batch Primary School Academy</t>
  </si>
  <si>
    <t>BS22 7FN</t>
  </si>
  <si>
    <t>Market Drayton Infant &amp; Nursery School</t>
  </si>
  <si>
    <t>TF9 3BA</t>
  </si>
  <si>
    <t>Wilton CofE Primary School</t>
  </si>
  <si>
    <t>SP2 0ES</t>
  </si>
  <si>
    <t>Nansen Primary School</t>
  </si>
  <si>
    <t>Dundry Church of England Primary School</t>
  </si>
  <si>
    <t>BS41 8JE</t>
  </si>
  <si>
    <t>Mount Hawke Academy</t>
  </si>
  <si>
    <t>TR4 8BA</t>
  </si>
  <si>
    <t>Temple Meadow Primary School</t>
  </si>
  <si>
    <t>Halesowen and Rowley Regis</t>
  </si>
  <si>
    <t>B64 6RH</t>
  </si>
  <si>
    <t>Middleton St Mary's Church of England Voluntary Controlled Primary School</t>
  </si>
  <si>
    <t>LS10 3SW</t>
  </si>
  <si>
    <t>East Allington Primary School</t>
  </si>
  <si>
    <t>TQ9 7RE</t>
  </si>
  <si>
    <t>All Hallows CofE Primary School</t>
  </si>
  <si>
    <t>NG4 3JZ</t>
  </si>
  <si>
    <t>St Mary's CofE Primary School, Deane</t>
  </si>
  <si>
    <t>Bolton West</t>
  </si>
  <si>
    <t>BL3 4QP</t>
  </si>
  <si>
    <t>Meadowside Primary School</t>
  </si>
  <si>
    <t>NN15 5QY</t>
  </si>
  <si>
    <t>Eastleigh</t>
  </si>
  <si>
    <t>SO50 5JL</t>
  </si>
  <si>
    <t>St Neot Community Primary School</t>
  </si>
  <si>
    <t>PL14 6NL</t>
  </si>
  <si>
    <t>Brackensdale Primary School</t>
  </si>
  <si>
    <t>Derby North</t>
  </si>
  <si>
    <t>DE22 4BS</t>
  </si>
  <si>
    <t>Clarice Cliff Primary School</t>
  </si>
  <si>
    <t>ST4 3DP</t>
  </si>
  <si>
    <t>Gulworthy Primary School</t>
  </si>
  <si>
    <t>PL19 8JA</t>
  </si>
  <si>
    <t>Katesgrove Primary School</t>
  </si>
  <si>
    <t>Reading East</t>
  </si>
  <si>
    <t>RG1 2NL</t>
  </si>
  <si>
    <t>Farnborough Road Infant School</t>
  </si>
  <si>
    <t>Southport</t>
  </si>
  <si>
    <t>PR8 3DF</t>
  </si>
  <si>
    <t>As at 4 December 2020</t>
  </si>
  <si>
    <t>These data include all interim visits to state-funded schools from 29 September 2020, where a  letter to the school was published by 4 December 2020</t>
  </si>
  <si>
    <t>1 September 2020 to 4 December 2020</t>
  </si>
  <si>
    <t>Findings from these visits are available here:</t>
  </si>
  <si>
    <t>These findings include visits where a letter is yet to be published and so the number of visits reported on is much higher than seen in this dataset.</t>
  </si>
  <si>
    <t>General guidance:</t>
  </si>
  <si>
    <t>Guidance on data:</t>
  </si>
  <si>
    <t xml:space="preserve">   </t>
  </si>
  <si>
    <t>https://www.gov.uk/government/collections/ofsted-covid-19-series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</si>
</sst>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F800]dddd\,\ mmmm\ dd\,\ yyyy"/>
  </numFmts>
  <fonts count="54" x14ac:knownFonts="1">
    <font>
      <sz val="10"/>
      <color theme="1"/>
      <name val="Tahoma"/>
      <family val="2"/>
    </font>
    <font>
      <sz val="10"/>
      <color theme="1"/>
      <name val="Tahoma"/>
      <family val="2"/>
    </font>
    <font>
      <sz val="10"/>
      <name val="Tahoma"/>
      <family val="2"/>
    </font>
    <font>
      <b/>
      <sz val="10"/>
      <name val="Tahoma"/>
      <family val="2"/>
    </font>
    <font>
      <sz val="10"/>
      <name val="Tahoma"/>
      <family val="2"/>
    </font>
    <font>
      <u/>
      <sz val="10"/>
      <color indexed="12"/>
      <name val="Tahoma"/>
      <family val="2"/>
    </font>
    <font>
      <sz val="10"/>
      <color indexed="23"/>
      <name val="Tahoma"/>
      <family val="2"/>
    </font>
    <font>
      <sz val="10"/>
      <color indexed="8"/>
      <name val="Tahoma"/>
      <family val="2"/>
    </font>
    <font>
      <sz val="10"/>
      <name val="Arial"/>
      <family val="2"/>
    </font>
    <font>
      <u/>
      <sz val="10"/>
      <color theme="10"/>
      <name val="Arial"/>
      <family val="2"/>
    </font>
    <font>
      <u/>
      <sz val="10"/>
      <color theme="10"/>
      <name val="Tahoma"/>
      <family val="2"/>
    </font>
    <font>
      <b/>
      <sz val="12"/>
      <name val="Tahoma"/>
      <family val="2"/>
    </font>
    <font>
      <sz val="12"/>
      <name val="Tahoma"/>
      <family val="2"/>
    </font>
    <font>
      <u/>
      <sz val="12"/>
      <color indexed="12"/>
      <name val="Tahoma"/>
      <family val="2"/>
    </font>
    <font>
      <sz val="11"/>
      <color theme="1"/>
      <name val="Calibri"/>
      <family val="2"/>
      <scheme val="minor"/>
    </font>
    <font>
      <b/>
      <sz val="10"/>
      <color theme="1"/>
      <name val="Tahoma"/>
      <family val="2"/>
    </font>
    <font>
      <sz val="8"/>
      <name val="Tahoma"/>
      <family val="2"/>
    </font>
    <font>
      <b/>
      <sz val="1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2"/>
      <name val="Arial"/>
      <family val="2"/>
    </font>
    <font>
      <b/>
      <sz val="11"/>
      <color indexed="63"/>
      <name val="Calibri"/>
      <family val="2"/>
    </font>
    <font>
      <b/>
      <sz val="18"/>
      <color indexed="56"/>
      <name val="Cambria"/>
      <family val="2"/>
    </font>
    <font>
      <sz val="12"/>
      <color theme="1"/>
      <name val="Arial"/>
      <family val="2"/>
    </font>
    <font>
      <sz val="10"/>
      <name val="Courier"/>
      <family val="3"/>
    </font>
    <font>
      <i/>
      <sz val="10"/>
      <name val="Tahoma"/>
      <family val="2"/>
    </font>
    <font>
      <sz val="11"/>
      <color theme="1"/>
      <name val="Calibri"/>
      <family val="2"/>
    </font>
    <font>
      <sz val="10"/>
      <color theme="1"/>
      <name val="Verdana"/>
      <family val="2"/>
    </font>
    <font>
      <sz val="10"/>
      <name val="Arial"/>
      <family val="4"/>
    </font>
    <font>
      <u/>
      <sz val="10"/>
      <name val="Tahoma"/>
      <family val="2"/>
    </font>
    <font>
      <sz val="10"/>
      <color rgb="FFFF0000"/>
      <name val="Tahoma"/>
      <family val="2"/>
    </font>
    <font>
      <sz val="12"/>
      <color theme="1"/>
      <name val="Tahoma"/>
      <family val="2"/>
    </font>
    <font>
      <u/>
      <sz val="12"/>
      <color theme="10"/>
      <name val="Tahoma"/>
      <family val="2"/>
    </font>
    <font>
      <b/>
      <u/>
      <sz val="12"/>
      <name val="Tahoma"/>
      <family val="2"/>
    </font>
    <font>
      <sz val="12"/>
      <color rgb="FFFF0000"/>
      <name val="Tahoma"/>
      <family val="2"/>
    </font>
    <font>
      <u/>
      <sz val="12"/>
      <name val="Tahoma"/>
      <family val="2"/>
    </font>
    <font>
      <b/>
      <sz val="10"/>
      <color rgb="FFFF0000"/>
      <name val="Tahoma"/>
      <family val="2"/>
    </font>
    <font>
      <b/>
      <sz val="20"/>
      <color theme="0"/>
      <name val="Tahoma"/>
      <family val="2"/>
    </font>
    <font>
      <u/>
      <sz val="12"/>
      <color rgb="FF0070C0"/>
      <name val="Tahoma"/>
      <family val="2"/>
    </font>
    <font>
      <u/>
      <sz val="12"/>
      <color theme="4"/>
      <name val="Tahoma"/>
      <family val="2"/>
    </font>
  </fonts>
  <fills count="29">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rgb="FF518DD5"/>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indexed="64"/>
      </right>
      <top/>
      <bottom style="thin">
        <color indexed="64"/>
      </bottom>
      <diagonal/>
    </border>
    <border>
      <left style="thin">
        <color theme="0"/>
      </left>
      <right/>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theme="1"/>
      </top>
      <bottom style="thin">
        <color theme="1"/>
      </bottom>
      <diagonal/>
    </border>
  </borders>
  <cellStyleXfs count="1194">
    <xf numFmtId="0" fontId="0" fillId="0" borderId="0"/>
    <xf numFmtId="0" fontId="2"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applyNumberFormat="0" applyFill="0" applyBorder="0" applyAlignment="0" applyProtection="0"/>
    <xf numFmtId="0" fontId="4" fillId="0" borderId="0"/>
    <xf numFmtId="0" fontId="1" fillId="0" borderId="0"/>
    <xf numFmtId="0" fontId="8" fillId="0" borderId="0"/>
    <xf numFmtId="0" fontId="4" fillId="0" borderId="0"/>
    <xf numFmtId="0" fontId="1" fillId="0" borderId="0"/>
    <xf numFmtId="0" fontId="4" fillId="0" borderId="0"/>
    <xf numFmtId="0" fontId="8" fillId="0" borderId="0"/>
    <xf numFmtId="0" fontId="1" fillId="0" borderId="0"/>
    <xf numFmtId="0" fontId="1" fillId="0" borderId="0"/>
    <xf numFmtId="0" fontId="1" fillId="0" borderId="0"/>
    <xf numFmtId="0" fontId="6"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0" fontId="10" fillId="0" borderId="0" applyNumberFormat="0" applyFill="0" applyBorder="0" applyAlignment="0" applyProtection="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43" fontId="4" fillId="0" borderId="0" applyFont="0" applyFill="0" applyBorder="0" applyAlignment="0" applyProtection="0"/>
    <xf numFmtId="0" fontId="1" fillId="0" borderId="0"/>
    <xf numFmtId="0" fontId="1" fillId="0" borderId="0"/>
    <xf numFmtId="0" fontId="1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9" fillId="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20" fillId="6" borderId="0" applyNumberFormat="0" applyBorder="0" applyAlignment="0" applyProtection="0"/>
    <xf numFmtId="0" fontId="21" fillId="24" borderId="2" applyNumberFormat="0" applyAlignment="0" applyProtection="0"/>
    <xf numFmtId="0" fontId="22" fillId="25"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4" fillId="8"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0" fillId="0" borderId="0" applyNumberFormat="0" applyFill="0" applyBorder="0" applyAlignment="0" applyProtection="0"/>
    <xf numFmtId="0" fontId="33" fillId="11" borderId="2" applyNumberFormat="0" applyAlignment="0" applyProtection="0"/>
    <xf numFmtId="0" fontId="25" fillId="0" borderId="7" applyNumberFormat="0" applyFill="0" applyAlignment="0" applyProtection="0"/>
    <xf numFmtId="0" fontId="26" fillId="23" borderId="0" applyNumberFormat="0" applyBorder="0" applyAlignment="0" applyProtection="0"/>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14" fillId="0" borderId="0"/>
    <xf numFmtId="0" fontId="37" fillId="0" borderId="0"/>
    <xf numFmtId="0" fontId="14" fillId="0" borderId="0"/>
    <xf numFmtId="0" fontId="14" fillId="0" borderId="0"/>
    <xf numFmtId="0" fontId="8" fillId="0" borderId="0"/>
    <xf numFmtId="0" fontId="2" fillId="0" borderId="0"/>
    <xf numFmtId="0" fontId="37" fillId="0" borderId="0"/>
    <xf numFmtId="0" fontId="8" fillId="0" borderId="0"/>
    <xf numFmtId="0" fontId="34" fillId="0" borderId="0"/>
    <xf numFmtId="0" fontId="37" fillId="0" borderId="0"/>
    <xf numFmtId="0" fontId="1" fillId="0" borderId="0"/>
    <xf numFmtId="0" fontId="2" fillId="0" borderId="0"/>
    <xf numFmtId="0" fontId="8" fillId="0" borderId="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xf numFmtId="0" fontId="34" fillId="0" borderId="0"/>
    <xf numFmtId="0" fontId="2" fillId="0" borderId="0"/>
    <xf numFmtId="0" fontId="8" fillId="0" borderId="0"/>
    <xf numFmtId="0" fontId="37" fillId="0" borderId="0"/>
    <xf numFmtId="0" fontId="37" fillId="0" borderId="0"/>
    <xf numFmtId="0" fontId="8" fillId="0" borderId="0"/>
    <xf numFmtId="0" fontId="37" fillId="0" borderId="0"/>
    <xf numFmtId="0" fontId="8" fillId="0" borderId="0" applyNumberFormat="0" applyFont="0" applyFill="0" applyBorder="0" applyAlignment="0" applyProtection="0"/>
    <xf numFmtId="0" fontId="2" fillId="0" borderId="0"/>
    <xf numFmtId="0" fontId="8" fillId="0" borderId="0"/>
    <xf numFmtId="0" fontId="1" fillId="0" borderId="0"/>
    <xf numFmtId="0" fontId="8" fillId="0" borderId="0"/>
    <xf numFmtId="0" fontId="37" fillId="0" borderId="0"/>
    <xf numFmtId="0" fontId="2" fillId="0" borderId="0"/>
    <xf numFmtId="0" fontId="2" fillId="0" borderId="0"/>
    <xf numFmtId="0" fontId="2" fillId="0" borderId="0"/>
    <xf numFmtId="0" fontId="2" fillId="0" borderId="0"/>
    <xf numFmtId="0" fontId="14" fillId="0" borderId="0"/>
    <xf numFmtId="0" fontId="14" fillId="0" borderId="0"/>
    <xf numFmtId="0" fontId="2" fillId="0" borderId="0"/>
    <xf numFmtId="0" fontId="2" fillId="0" borderId="0"/>
    <xf numFmtId="0" fontId="8" fillId="0" borderId="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8" fillId="7" borderId="8" applyNumberFormat="0" applyFont="0" applyAlignment="0" applyProtection="0"/>
    <xf numFmtId="0" fontId="35" fillId="24" borderId="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38"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0" fontId="9" fillId="0" borderId="0" applyNumberFormat="0" applyFill="0" applyBorder="0" applyAlignment="0" applyProtection="0"/>
    <xf numFmtId="0" fontId="2" fillId="0" borderId="0"/>
    <xf numFmtId="0" fontId="1" fillId="0" borderId="0"/>
    <xf numFmtId="0" fontId="8" fillId="0" borderId="0"/>
    <xf numFmtId="0" fontId="14" fillId="0" borderId="0"/>
    <xf numFmtId="0" fontId="2" fillId="0" borderId="0"/>
    <xf numFmtId="0" fontId="40" fillId="0" borderId="0"/>
    <xf numFmtId="0" fontId="41" fillId="0" borderId="0"/>
    <xf numFmtId="0" fontId="14" fillId="0" borderId="0"/>
    <xf numFmtId="0" fontId="1" fillId="0" borderId="0"/>
    <xf numFmtId="0" fontId="1" fillId="0" borderId="0"/>
    <xf numFmtId="0" fontId="1" fillId="0" borderId="0"/>
    <xf numFmtId="9" fontId="1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34"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34" fillId="0" borderId="0"/>
    <xf numFmtId="0" fontId="3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14" fillId="0" borderId="0"/>
    <xf numFmtId="15" fontId="42" fillId="27" borderId="16">
      <alignment horizontal="left" vertical="center"/>
    </xf>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0" borderId="0" applyNumberFormat="0" applyFill="0" applyBorder="0" applyAlignment="0" applyProtection="0"/>
    <xf numFmtId="0" fontId="2" fillId="0" borderId="0"/>
    <xf numFmtId="0" fontId="1" fillId="0" borderId="0"/>
    <xf numFmtId="0" fontId="1" fillId="0" borderId="0"/>
    <xf numFmtId="0" fontId="1" fillId="0" borderId="0"/>
    <xf numFmtId="0" fontId="8" fillId="0" borderId="0"/>
    <xf numFmtId="0" fontId="2" fillId="0" borderId="0"/>
    <xf numFmtId="0" fontId="2" fillId="0" borderId="0"/>
    <xf numFmtId="0" fontId="1" fillId="0" borderId="0"/>
    <xf numFmtId="0" fontId="1" fillId="0" borderId="0"/>
    <xf numFmtId="0" fontId="1" fillId="0" borderId="0"/>
    <xf numFmtId="0" fontId="1" fillId="0" borderId="0"/>
    <xf numFmtId="0" fontId="41" fillId="0" borderId="0"/>
    <xf numFmtId="0" fontId="1" fillId="0" borderId="0"/>
    <xf numFmtId="0" fontId="14"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9" fontId="1" fillId="0" borderId="0" applyFont="0" applyFill="0" applyBorder="0" applyAlignment="0" applyProtection="0"/>
    <xf numFmtId="0" fontId="10"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cellStyleXfs>
  <cellXfs count="126">
    <xf numFmtId="0" fontId="0" fillId="0" borderId="0" xfId="0"/>
    <xf numFmtId="0" fontId="0" fillId="0" borderId="0" xfId="0" applyAlignment="1">
      <alignment shrinkToFit="1"/>
    </xf>
    <xf numFmtId="14" fontId="0" fillId="0" borderId="0" xfId="0" applyNumberFormat="1"/>
    <xf numFmtId="0" fontId="5" fillId="0" borderId="0" xfId="57" applyAlignment="1" applyProtection="1"/>
    <xf numFmtId="0" fontId="3" fillId="0" borderId="17" xfId="0" applyFont="1" applyBorder="1" applyAlignment="1">
      <alignment horizontal="right" vertical="center" wrapText="1"/>
    </xf>
    <xf numFmtId="0" fontId="0" fillId="0" borderId="0" xfId="0"/>
    <xf numFmtId="0" fontId="3" fillId="26" borderId="0" xfId="62" applyFont="1" applyFill="1" applyAlignment="1" applyProtection="1">
      <alignment vertical="center"/>
      <protection locked="0" hidden="1"/>
    </xf>
    <xf numFmtId="0" fontId="17" fillId="26" borderId="0" xfId="62" applyFont="1" applyFill="1" applyAlignment="1" applyProtection="1">
      <alignment vertical="center"/>
      <protection locked="0" hidden="1"/>
    </xf>
    <xf numFmtId="0" fontId="16" fillId="26" borderId="15" xfId="0" applyFont="1" applyFill="1" applyBorder="1" applyAlignment="1" applyProtection="1">
      <alignment horizontal="left" vertical="center"/>
      <protection locked="0" hidden="1"/>
    </xf>
    <xf numFmtId="0" fontId="3" fillId="26" borderId="0" xfId="62" applyFont="1" applyFill="1" applyAlignment="1" applyProtection="1">
      <alignment horizontal="right"/>
      <protection hidden="1"/>
    </xf>
    <xf numFmtId="49" fontId="3" fillId="26" borderId="0" xfId="62" applyNumberFormat="1" applyFont="1" applyFill="1" applyAlignment="1" applyProtection="1">
      <protection hidden="1"/>
    </xf>
    <xf numFmtId="49" fontId="2" fillId="26" borderId="0" xfId="218" applyNumberFormat="1" applyFont="1" applyFill="1" applyAlignment="1" applyProtection="1">
      <protection hidden="1"/>
    </xf>
    <xf numFmtId="49" fontId="3" fillId="26" borderId="0" xfId="218" applyNumberFormat="1" applyFont="1" applyFill="1" applyAlignment="1" applyProtection="1">
      <protection hidden="1"/>
    </xf>
    <xf numFmtId="0" fontId="2" fillId="26" borderId="0" xfId="62" applyFont="1" applyFill="1" applyAlignment="1" applyProtection="1">
      <alignment vertical="center"/>
      <protection locked="0" hidden="1"/>
    </xf>
    <xf numFmtId="0" fontId="3" fillId="0" borderId="17" xfId="0" applyFont="1" applyBorder="1" applyAlignment="1">
      <alignment vertical="center" wrapText="1"/>
    </xf>
    <xf numFmtId="0" fontId="2" fillId="26" borderId="11" xfId="62" applyFont="1" applyFill="1" applyBorder="1" applyProtection="1">
      <protection locked="0" hidden="1"/>
    </xf>
    <xf numFmtId="0" fontId="2" fillId="26" borderId="0" xfId="62" applyFont="1" applyFill="1" applyAlignment="1" applyProtection="1">
      <alignment horizontal="right"/>
      <protection hidden="1"/>
    </xf>
    <xf numFmtId="0" fontId="2" fillId="0" borderId="13" xfId="0" applyFont="1" applyBorder="1" applyAlignment="1" applyProtection="1">
      <alignment vertical="top"/>
      <protection hidden="1"/>
    </xf>
    <xf numFmtId="3" fontId="3" fillId="3" borderId="12" xfId="0" applyNumberFormat="1" applyFont="1" applyFill="1" applyBorder="1" applyAlignment="1" applyProtection="1">
      <alignment vertical="top"/>
      <protection hidden="1"/>
    </xf>
    <xf numFmtId="49" fontId="2" fillId="0" borderId="0" xfId="62" applyNumberFormat="1" applyFont="1" applyAlignment="1" applyProtection="1">
      <protection hidden="1"/>
    </xf>
    <xf numFmtId="3" fontId="2" fillId="3" borderId="12" xfId="0" applyNumberFormat="1" applyFont="1" applyFill="1" applyBorder="1" applyAlignment="1" applyProtection="1">
      <alignment vertical="top"/>
      <protection hidden="1"/>
    </xf>
    <xf numFmtId="49" fontId="2" fillId="26" borderId="0" xfId="62" applyNumberFormat="1" applyFont="1" applyFill="1" applyAlignment="1" applyProtection="1">
      <protection hidden="1"/>
    </xf>
    <xf numFmtId="49" fontId="2" fillId="3" borderId="0" xfId="62" applyNumberFormat="1" applyFont="1" applyFill="1" applyAlignment="1" applyProtection="1">
      <protection hidden="1"/>
    </xf>
    <xf numFmtId="0" fontId="2" fillId="26" borderId="0" xfId="253" applyFont="1" applyFill="1" applyAlignment="1" applyProtection="1">
      <protection hidden="1"/>
    </xf>
    <xf numFmtId="0" fontId="43" fillId="0" borderId="14" xfId="0" applyFont="1" applyBorder="1" applyAlignment="1">
      <alignment vertical="top"/>
    </xf>
    <xf numFmtId="0" fontId="39" fillId="0" borderId="12" xfId="0" applyFont="1" applyBorder="1" applyAlignment="1">
      <alignment horizontal="right" vertical="top"/>
    </xf>
    <xf numFmtId="0" fontId="0" fillId="0" borderId="0" xfId="0" applyBorder="1"/>
    <xf numFmtId="0" fontId="3" fillId="0" borderId="0" xfId="0" applyFont="1" applyBorder="1" applyAlignment="1">
      <alignment vertical="center" wrapText="1"/>
    </xf>
    <xf numFmtId="0" fontId="16" fillId="3" borderId="0" xfId="62" applyFont="1" applyFill="1" applyBorder="1" applyAlignment="1" applyProtection="1">
      <alignment vertical="center" wrapText="1"/>
      <protection locked="0" hidden="1"/>
    </xf>
    <xf numFmtId="0" fontId="2" fillId="0" borderId="0" xfId="0" applyFont="1" applyBorder="1" applyAlignment="1">
      <alignment vertical="top"/>
    </xf>
    <xf numFmtId="0" fontId="12" fillId="3" borderId="0" xfId="0" applyFont="1" applyFill="1" applyAlignment="1" applyProtection="1">
      <alignment horizontal="left" vertical="top"/>
      <protection hidden="1"/>
    </xf>
    <xf numFmtId="0" fontId="45" fillId="0" borderId="0" xfId="0" applyFont="1" applyFill="1" applyAlignment="1" applyProtection="1">
      <alignment horizontal="left" vertical="top" wrapText="1"/>
      <protection hidden="1"/>
    </xf>
    <xf numFmtId="0" fontId="12" fillId="3" borderId="0" xfId="0" applyFont="1" applyFill="1" applyProtection="1">
      <protection hidden="1"/>
    </xf>
    <xf numFmtId="0" fontId="48" fillId="0" borderId="0" xfId="0" applyFont="1" applyFill="1" applyProtection="1">
      <protection hidden="1"/>
    </xf>
    <xf numFmtId="0" fontId="13" fillId="26" borderId="0" xfId="57" applyFont="1" applyFill="1" applyAlignment="1" applyProtection="1">
      <alignment vertical="center"/>
      <protection hidden="1"/>
    </xf>
    <xf numFmtId="0" fontId="12" fillId="0" borderId="0" xfId="0" applyFont="1" applyFill="1" applyAlignment="1" applyProtection="1">
      <alignment vertical="center"/>
      <protection hidden="1"/>
    </xf>
    <xf numFmtId="0" fontId="44" fillId="0" borderId="0" xfId="0" applyFont="1" applyFill="1" applyProtection="1">
      <protection hidden="1"/>
    </xf>
    <xf numFmtId="0" fontId="12" fillId="26" borderId="0" xfId="0" applyFont="1" applyFill="1" applyProtection="1">
      <protection hidden="1"/>
    </xf>
    <xf numFmtId="0" fontId="45" fillId="0" borderId="0" xfId="0" applyFont="1" applyFill="1" applyAlignment="1" applyProtection="1">
      <alignment vertical="top"/>
      <protection hidden="1"/>
    </xf>
    <xf numFmtId="0" fontId="44" fillId="0" borderId="0" xfId="44" applyFont="1" applyFill="1" applyBorder="1" applyAlignment="1" applyProtection="1">
      <alignment horizontal="left"/>
      <protection hidden="1"/>
    </xf>
    <xf numFmtId="0" fontId="3" fillId="3" borderId="0" xfId="0" applyFont="1" applyFill="1" applyBorder="1" applyAlignment="1">
      <alignment wrapText="1"/>
    </xf>
    <xf numFmtId="0" fontId="12" fillId="3" borderId="0" xfId="0" applyFont="1" applyFill="1" applyAlignment="1" applyProtection="1">
      <alignment vertical="top"/>
      <protection hidden="1"/>
    </xf>
    <xf numFmtId="0" fontId="0" fillId="0" borderId="0" xfId="0" applyFill="1" applyProtection="1">
      <protection hidden="1"/>
    </xf>
    <xf numFmtId="0" fontId="3" fillId="0" borderId="0" xfId="19" applyFont="1" applyFill="1" applyBorder="1" applyAlignment="1">
      <alignment wrapText="1"/>
    </xf>
    <xf numFmtId="0" fontId="49" fillId="26" borderId="0" xfId="57" applyFont="1" applyFill="1" applyAlignment="1" applyProtection="1">
      <alignment vertical="top" wrapText="1"/>
      <protection hidden="1"/>
    </xf>
    <xf numFmtId="0" fontId="45" fillId="0" borderId="0" xfId="0" quotePrefix="1" applyFont="1" applyFill="1" applyAlignment="1" applyProtection="1">
      <alignment vertical="top"/>
      <protection hidden="1"/>
    </xf>
    <xf numFmtId="0" fontId="11" fillId="3" borderId="0" xfId="0" applyFont="1" applyFill="1" applyProtection="1">
      <protection hidden="1"/>
    </xf>
    <xf numFmtId="0" fontId="12" fillId="0" borderId="0" xfId="0" applyFont="1" applyFill="1" applyAlignment="1" applyProtection="1">
      <alignment wrapText="1"/>
      <protection hidden="1"/>
    </xf>
    <xf numFmtId="0" fontId="44" fillId="0" borderId="0" xfId="0" applyFont="1"/>
    <xf numFmtId="0" fontId="12" fillId="0" borderId="0" xfId="0" applyFont="1" applyFill="1" applyProtection="1">
      <protection hidden="1"/>
    </xf>
    <xf numFmtId="0" fontId="44" fillId="0" borderId="0" xfId="0" applyFont="1" applyFill="1" applyBorder="1" applyAlignment="1" applyProtection="1">
      <alignment vertical="top"/>
      <protection hidden="1"/>
    </xf>
    <xf numFmtId="0" fontId="12" fillId="26" borderId="0" xfId="0" applyFont="1" applyFill="1" applyAlignment="1" applyProtection="1">
      <alignment vertical="center"/>
      <protection hidden="1"/>
    </xf>
    <xf numFmtId="0" fontId="0" fillId="0" borderId="0" xfId="0"/>
    <xf numFmtId="0" fontId="12" fillId="26" borderId="0" xfId="57" applyFont="1" applyFill="1" applyAlignment="1" applyProtection="1">
      <alignment vertical="top"/>
      <protection hidden="1"/>
    </xf>
    <xf numFmtId="0" fontId="0" fillId="0" borderId="0" xfId="0" applyProtection="1">
      <protection hidden="1"/>
    </xf>
    <xf numFmtId="0" fontId="45" fillId="3" borderId="0" xfId="0" applyFont="1" applyFill="1" applyAlignment="1" applyProtection="1">
      <alignment vertical="top"/>
      <protection hidden="1"/>
    </xf>
    <xf numFmtId="0" fontId="12" fillId="0" borderId="0" xfId="0" applyFont="1" applyFill="1" applyAlignment="1" applyProtection="1">
      <alignment vertical="top" wrapText="1"/>
      <protection hidden="1"/>
    </xf>
    <xf numFmtId="0" fontId="12" fillId="3" borderId="0" xfId="0" applyFont="1" applyFill="1" applyAlignment="1" applyProtection="1">
      <alignment vertical="center" wrapText="1"/>
      <protection hidden="1"/>
    </xf>
    <xf numFmtId="0" fontId="50" fillId="0" borderId="0" xfId="0" applyFont="1" applyFill="1" applyBorder="1" applyAlignment="1" applyProtection="1">
      <alignment vertical="top"/>
      <protection hidden="1"/>
    </xf>
    <xf numFmtId="0" fontId="12" fillId="3" borderId="0" xfId="0" applyFont="1" applyFill="1" applyAlignment="1" applyProtection="1">
      <alignment vertical="top" wrapText="1"/>
      <protection hidden="1"/>
    </xf>
    <xf numFmtId="0" fontId="48" fillId="0" borderId="0" xfId="0" applyFont="1" applyFill="1" applyAlignment="1" applyProtection="1">
      <alignment vertical="top"/>
      <protection hidden="1"/>
    </xf>
    <xf numFmtId="0" fontId="44" fillId="0" borderId="0" xfId="0" applyFont="1" applyFill="1" applyBorder="1" applyAlignment="1" applyProtection="1">
      <protection hidden="1"/>
    </xf>
    <xf numFmtId="0" fontId="45" fillId="0" borderId="0" xfId="0" applyFont="1" applyFill="1" applyAlignment="1" applyProtection="1">
      <alignment vertical="center"/>
      <protection hidden="1"/>
    </xf>
    <xf numFmtId="14" fontId="3" fillId="0" borderId="0" xfId="19" applyNumberFormat="1" applyFont="1" applyFill="1" applyBorder="1" applyAlignment="1">
      <alignment wrapText="1"/>
    </xf>
    <xf numFmtId="0" fontId="12" fillId="3" borderId="0" xfId="0" applyFont="1" applyFill="1" applyAlignment="1" applyProtection="1">
      <alignment horizontal="left" vertical="top" wrapText="1"/>
      <protection hidden="1"/>
    </xf>
    <xf numFmtId="0" fontId="44" fillId="3" borderId="0" xfId="0" applyFont="1" applyFill="1" applyBorder="1" applyAlignment="1" applyProtection="1">
      <protection hidden="1"/>
    </xf>
    <xf numFmtId="0" fontId="47" fillId="26" borderId="0" xfId="57" applyFont="1" applyFill="1" applyAlignment="1" applyProtection="1">
      <alignment vertical="top" wrapText="1"/>
      <protection hidden="1"/>
    </xf>
    <xf numFmtId="14" fontId="2" fillId="0" borderId="0" xfId="44" applyNumberFormat="1" applyFont="1" applyFill="1" applyBorder="1" applyAlignment="1" applyProtection="1">
      <alignment horizontal="left"/>
      <protection hidden="1"/>
    </xf>
    <xf numFmtId="0" fontId="45" fillId="3" borderId="0" xfId="0" applyFont="1" applyFill="1" applyAlignment="1" applyProtection="1">
      <alignment horizontal="left" vertical="top" wrapText="1"/>
      <protection hidden="1"/>
    </xf>
    <xf numFmtId="0" fontId="45" fillId="0" borderId="0" xfId="0" applyFont="1" applyFill="1" applyAlignment="1" applyProtection="1">
      <alignment vertical="top" wrapText="1"/>
      <protection hidden="1"/>
    </xf>
    <xf numFmtId="0" fontId="12" fillId="0" borderId="0" xfId="0" applyFont="1" applyFill="1" applyAlignment="1" applyProtection="1">
      <alignment vertical="top"/>
      <protection hidden="1"/>
    </xf>
    <xf numFmtId="0" fontId="12" fillId="0" borderId="0" xfId="0" quotePrefix="1" applyFont="1" applyFill="1" applyAlignment="1" applyProtection="1">
      <alignment vertical="top"/>
      <protection hidden="1"/>
    </xf>
    <xf numFmtId="0" fontId="48" fillId="26" borderId="0" xfId="0" applyFont="1" applyFill="1" applyProtection="1">
      <protection hidden="1"/>
    </xf>
    <xf numFmtId="0" fontId="12" fillId="0" borderId="0" xfId="0" applyFont="1" applyAlignment="1" applyProtection="1">
      <alignment vertical="top"/>
      <protection hidden="1"/>
    </xf>
    <xf numFmtId="0" fontId="2" fillId="0" borderId="0" xfId="0" applyFont="1" applyFill="1" applyBorder="1" applyAlignment="1" applyProtection="1">
      <alignment horizontal="left"/>
      <protection hidden="1"/>
    </xf>
    <xf numFmtId="0" fontId="15" fillId="0" borderId="0" xfId="0" applyFont="1" applyFill="1" applyBorder="1" applyAlignment="1" applyProtection="1">
      <alignment vertical="top"/>
      <protection hidden="1"/>
    </xf>
    <xf numFmtId="0" fontId="3" fillId="0" borderId="0" xfId="0" applyFont="1" applyFill="1" applyBorder="1" applyAlignment="1">
      <alignment wrapText="1"/>
    </xf>
    <xf numFmtId="0" fontId="45" fillId="3" borderId="0" xfId="0" applyFont="1" applyFill="1" applyAlignment="1" applyProtection="1">
      <alignment vertical="top" wrapText="1"/>
      <protection hidden="1"/>
    </xf>
    <xf numFmtId="0" fontId="11" fillId="26" borderId="0" xfId="0" applyFont="1" applyFill="1" applyProtection="1">
      <protection hidden="1"/>
    </xf>
    <xf numFmtId="0" fontId="2" fillId="0" borderId="0" xfId="44" applyFont="1" applyFill="1" applyBorder="1" applyAlignment="1" applyProtection="1">
      <protection hidden="1"/>
    </xf>
    <xf numFmtId="0" fontId="12" fillId="0" borderId="0" xfId="0" applyFont="1" applyFill="1" applyAlignment="1" applyProtection="1">
      <alignment vertical="center" wrapText="1"/>
      <protection hidden="1"/>
    </xf>
    <xf numFmtId="0" fontId="2" fillId="0" borderId="0" xfId="44" applyFont="1" applyFill="1" applyBorder="1" applyAlignment="1" applyProtection="1">
      <alignment horizontal="left"/>
      <protection hidden="1"/>
    </xf>
    <xf numFmtId="0" fontId="0" fillId="0" borderId="0" xfId="0" applyFont="1" applyAlignment="1" applyProtection="1">
      <protection hidden="1"/>
    </xf>
    <xf numFmtId="0" fontId="0" fillId="0" borderId="0" xfId="0"/>
    <xf numFmtId="0" fontId="0" fillId="0" borderId="0" xfId="0"/>
    <xf numFmtId="0" fontId="0" fillId="0" borderId="0" xfId="0"/>
    <xf numFmtId="0" fontId="0" fillId="0" borderId="12" xfId="0" applyBorder="1" applyAlignment="1">
      <alignment vertical="top"/>
    </xf>
    <xf numFmtId="0" fontId="0" fillId="0" borderId="22" xfId="0" applyBorder="1"/>
    <xf numFmtId="0" fontId="0" fillId="0" borderId="20" xfId="0" applyBorder="1" applyAlignment="1">
      <alignment horizontal="left" vertical="center"/>
    </xf>
    <xf numFmtId="0" fontId="0" fillId="0" borderId="12" xfId="0" applyBorder="1" applyAlignment="1">
      <alignment horizontal="left" vertical="center"/>
    </xf>
    <xf numFmtId="0" fontId="45" fillId="0" borderId="16" xfId="0" applyFont="1" applyBorder="1" applyAlignment="1">
      <alignment horizontal="left" vertical="center"/>
    </xf>
    <xf numFmtId="0" fontId="45" fillId="0" borderId="16" xfId="0" applyFont="1" applyBorder="1" applyAlignment="1">
      <alignment horizontal="left" vertical="center" wrapText="1"/>
    </xf>
    <xf numFmtId="0" fontId="46" fillId="0" borderId="16" xfId="22" applyFont="1" applyBorder="1" applyAlignment="1">
      <alignment horizontal="left" vertical="center"/>
    </xf>
    <xf numFmtId="0" fontId="44" fillId="0" borderId="12" xfId="0" applyFont="1" applyBorder="1" applyAlignment="1">
      <alignment vertical="top"/>
    </xf>
    <xf numFmtId="0" fontId="12" fillId="26" borderId="21" xfId="232" applyFont="1" applyFill="1" applyBorder="1" applyProtection="1">
      <protection locked="0" hidden="1"/>
    </xf>
    <xf numFmtId="0" fontId="45" fillId="0" borderId="23" xfId="0" applyFont="1" applyBorder="1" applyAlignment="1">
      <alignment horizontal="left" vertical="center"/>
    </xf>
    <xf numFmtId="0" fontId="46" fillId="0" borderId="26" xfId="22" applyFont="1" applyBorder="1" applyAlignment="1">
      <alignment horizontal="left" vertical="center"/>
    </xf>
    <xf numFmtId="0" fontId="45" fillId="3" borderId="18" xfId="0" applyFont="1" applyFill="1" applyBorder="1" applyAlignment="1">
      <alignment vertical="center"/>
    </xf>
    <xf numFmtId="0" fontId="0" fillId="3" borderId="19" xfId="0" applyFill="1" applyBorder="1" applyAlignment="1">
      <alignment vertical="center"/>
    </xf>
    <xf numFmtId="0" fontId="45" fillId="3" borderId="24" xfId="0" applyFont="1" applyFill="1" applyBorder="1" applyAlignment="1">
      <alignment vertical="center"/>
    </xf>
    <xf numFmtId="0" fontId="45" fillId="3" borderId="25" xfId="0" applyFont="1" applyFill="1" applyBorder="1" applyAlignment="1">
      <alignment vertical="center"/>
    </xf>
    <xf numFmtId="0" fontId="45" fillId="0" borderId="24" xfId="0" applyFont="1" applyBorder="1" applyAlignment="1">
      <alignment horizontal="left" vertical="center"/>
    </xf>
    <xf numFmtId="0" fontId="46" fillId="0" borderId="24" xfId="22" applyFont="1" applyBorder="1" applyAlignment="1">
      <alignment horizontal="left" vertical="center"/>
    </xf>
    <xf numFmtId="0" fontId="45" fillId="0" borderId="17" xfId="0" applyFont="1" applyBorder="1" applyAlignment="1">
      <alignment horizontal="left" vertical="center"/>
    </xf>
    <xf numFmtId="0" fontId="45" fillId="0" borderId="27" xfId="0" applyFont="1" applyBorder="1" applyAlignment="1">
      <alignment horizontal="left" vertical="center"/>
    </xf>
    <xf numFmtId="0" fontId="12" fillId="0" borderId="16" xfId="1" applyFont="1" applyFill="1" applyBorder="1" applyAlignment="1" applyProtection="1">
      <alignment horizontal="left" vertical="center" wrapText="1" shrinkToFit="1"/>
      <protection hidden="1"/>
    </xf>
    <xf numFmtId="0" fontId="45" fillId="0" borderId="18" xfId="0" applyFont="1" applyBorder="1" applyAlignment="1">
      <alignment horizontal="centerContinuous" vertical="center" wrapText="1"/>
    </xf>
    <xf numFmtId="0" fontId="0" fillId="0" borderId="19" xfId="0" applyBorder="1" applyAlignment="1">
      <alignment horizontal="centerContinuous" vertical="center"/>
    </xf>
    <xf numFmtId="0" fontId="0" fillId="26" borderId="0" xfId="0" applyFill="1" applyProtection="1">
      <protection hidden="1"/>
    </xf>
    <xf numFmtId="0" fontId="45" fillId="0" borderId="12" xfId="0" applyFont="1" applyBorder="1" applyAlignment="1">
      <alignment vertical="top"/>
    </xf>
    <xf numFmtId="0" fontId="3" fillId="0" borderId="0" xfId="19" applyFont="1" applyFill="1" applyBorder="1" applyAlignment="1">
      <alignment horizontal="left" wrapText="1"/>
    </xf>
    <xf numFmtId="14" fontId="3" fillId="0" borderId="0" xfId="19" applyNumberFormat="1" applyFont="1" applyFill="1" applyBorder="1" applyAlignment="1">
      <alignment horizontal="left" wrapText="1"/>
    </xf>
    <xf numFmtId="0" fontId="46" fillId="0" borderId="24" xfId="22" applyFont="1" applyBorder="1" applyAlignment="1">
      <alignment horizontal="left" vertical="center" wrapText="1"/>
    </xf>
    <xf numFmtId="0" fontId="52" fillId="0" borderId="16" xfId="57" applyFont="1" applyFill="1" applyBorder="1" applyAlignment="1" applyProtection="1">
      <alignment horizontal="left" vertical="center" wrapText="1" shrinkToFit="1"/>
      <protection hidden="1"/>
    </xf>
    <xf numFmtId="0" fontId="51" fillId="28" borderId="29" xfId="0" applyFont="1" applyFill="1" applyBorder="1" applyAlignment="1" applyProtection="1">
      <alignment vertical="center"/>
      <protection hidden="1"/>
    </xf>
    <xf numFmtId="0" fontId="51" fillId="28" borderId="29" xfId="0" applyFont="1" applyFill="1" applyBorder="1" applyAlignment="1" applyProtection="1">
      <alignment vertical="center" wrapText="1"/>
      <protection hidden="1"/>
    </xf>
    <xf numFmtId="0" fontId="12" fillId="0" borderId="29" xfId="1" applyFont="1" applyBorder="1" applyAlignment="1" applyProtection="1">
      <alignment vertical="center" shrinkToFit="1"/>
      <protection hidden="1"/>
    </xf>
    <xf numFmtId="164" fontId="12" fillId="0" borderId="29" xfId="1" applyNumberFormat="1" applyFont="1" applyBorder="1" applyAlignment="1" applyProtection="1">
      <alignment horizontal="left" vertical="center" shrinkToFit="1"/>
      <protection hidden="1"/>
    </xf>
    <xf numFmtId="0" fontId="12" fillId="0" borderId="28" xfId="1" applyFont="1" applyBorder="1" applyAlignment="1" applyProtection="1">
      <alignment vertical="center" shrinkToFit="1"/>
      <protection hidden="1"/>
    </xf>
    <xf numFmtId="0" fontId="53" fillId="26" borderId="0" xfId="57" applyFont="1" applyFill="1" applyAlignment="1" applyProtection="1">
      <alignment vertical="top"/>
      <protection hidden="1"/>
    </xf>
    <xf numFmtId="0" fontId="11" fillId="0" borderId="28" xfId="1" applyFont="1" applyBorder="1" applyAlignment="1" applyProtection="1">
      <alignment vertical="center" shrinkToFit="1"/>
      <protection hidden="1"/>
    </xf>
    <xf numFmtId="0" fontId="0" fillId="0" borderId="0" xfId="0" applyAlignment="1">
      <alignment wrapText="1"/>
    </xf>
    <xf numFmtId="0" fontId="0" fillId="0" borderId="0" xfId="0" applyAlignment="1"/>
    <xf numFmtId="3" fontId="0" fillId="0" borderId="0" xfId="0" applyNumberFormat="1"/>
    <xf numFmtId="0" fontId="46" fillId="0" borderId="25" xfId="22" applyFont="1" applyBorder="1" applyAlignment="1">
      <alignment horizontal="left" vertical="center"/>
    </xf>
    <xf numFmtId="0" fontId="45" fillId="3" borderId="24" xfId="0" applyFont="1" applyFill="1" applyBorder="1" applyAlignment="1">
      <alignment horizontal="left"/>
    </xf>
  </cellXfs>
  <cellStyles count="1194">
    <cellStyle name=" 1" xfId="63" xr:uid="{00000000-0005-0000-0000-000000000000}"/>
    <cellStyle name=" 2" xfId="64" xr:uid="{00000000-0005-0000-0000-000001000000}"/>
    <cellStyle name=" 3" xfId="65" xr:uid="{00000000-0005-0000-0000-000002000000}"/>
    <cellStyle name="]_x000d__x000a_Zoomed=1_x000d__x000a_Row=0_x000d__x000a_Column=0_x000d__x000a_Height=0_x000d__x000a_Width=0_x000d__x000a_FontName=FoxFont_x000d__x000a_FontStyle=0_x000d__x000a_FontSize=9_x000d__x000a_PrtFontName=FoxPrin" xfId="66" xr:uid="{00000000-0005-0000-0000-000003000000}"/>
    <cellStyle name="]_x000d__x000a_Zoomed=1_x000d__x000a_Row=0_x000d__x000a_Column=0_x000d__x000a_Height=0_x000d__x000a_Width=0_x000d__x000a_FontName=FoxFont_x000d__x000a_FontStyle=0_x000d__x000a_FontSize=9_x000d__x000a_PrtFontName=FoxPrin 2" xfId="67" xr:uid="{00000000-0005-0000-0000-000004000000}"/>
    <cellStyle name="]_x000d__x000a_Zoomed=1_x000d__x000a_Row=0_x000d__x000a_Column=0_x000d__x000a_Height=0_x000d__x000a_Width=0_x000d__x000a_FontName=FoxFont_x000d__x000a_FontStyle=0_x000d__x000a_FontSize=9_x000d__x000a_PrtFontName=FoxPrin 2 2" xfId="68" xr:uid="{00000000-0005-0000-0000-000005000000}"/>
    <cellStyle name="]_x000d__x000a_Zoomed=1_x000d__x000a_Row=0_x000d__x000a_Column=0_x000d__x000a_Height=0_x000d__x000a_Width=0_x000d__x000a_FontName=FoxFont_x000d__x000a_FontStyle=0_x000d__x000a_FontSize=9_x000d__x000a_PrtFontName=FoxPrin 3" xfId="69" xr:uid="{00000000-0005-0000-0000-000006000000}"/>
    <cellStyle name="]_x000d__x000a_Zoomed=1_x000d__x000a_Row=0_x000d__x000a_Column=0_x000d__x000a_Height=0_x000d__x000a_Width=0_x000d__x000a_FontName=FoxFont_x000d__x000a_FontStyle=0_x000d__x000a_FontSize=9_x000d__x000a_PrtFontName=FoxPrin 3 2" xfId="70" xr:uid="{00000000-0005-0000-0000-000007000000}"/>
    <cellStyle name="]_x000d__x000a_Zoomed=1_x000d__x000a_Row=0_x000d__x000a_Column=0_x000d__x000a_Height=0_x000d__x000a_Width=0_x000d__x000a_FontName=FoxFont_x000d__x000a_FontStyle=0_x000d__x000a_FontSize=9_x000d__x000a_PrtFontName=FoxPrin 3_All Schools2" xfId="71" xr:uid="{00000000-0005-0000-0000-000008000000}"/>
    <cellStyle name="]_x000d__x000a_Zoomed=1_x000d__x000a_Row=0_x000d__x000a_Column=0_x000d__x000a_Height=0_x000d__x000a_Width=0_x000d__x000a_FontName=FoxFont_x000d__x000a_FontStyle=0_x000d__x000a_FontSize=9_x000d__x000a_PrtFontName=FoxPrin_All Schools2" xfId="72" xr:uid="{00000000-0005-0000-0000-000009000000}"/>
    <cellStyle name="20% - Accent1 2" xfId="73" xr:uid="{00000000-0005-0000-0000-00000A000000}"/>
    <cellStyle name="20% - Accent1 2 2" xfId="74" xr:uid="{00000000-0005-0000-0000-00000B000000}"/>
    <cellStyle name="20% - Accent2 2" xfId="75" xr:uid="{00000000-0005-0000-0000-00000C000000}"/>
    <cellStyle name="20% - Accent2 2 2" xfId="76" xr:uid="{00000000-0005-0000-0000-00000D000000}"/>
    <cellStyle name="20% - Accent3 2" xfId="77" xr:uid="{00000000-0005-0000-0000-00000E000000}"/>
    <cellStyle name="20% - Accent3 2 2" xfId="78" xr:uid="{00000000-0005-0000-0000-00000F000000}"/>
    <cellStyle name="20% - Accent4 2" xfId="79" xr:uid="{00000000-0005-0000-0000-000010000000}"/>
    <cellStyle name="20% - Accent4 2 2" xfId="80" xr:uid="{00000000-0005-0000-0000-000011000000}"/>
    <cellStyle name="20% - Accent5 2" xfId="81" xr:uid="{00000000-0005-0000-0000-000012000000}"/>
    <cellStyle name="20% - Accent5 2 2" xfId="82" xr:uid="{00000000-0005-0000-0000-000013000000}"/>
    <cellStyle name="20% - Accent6 2" xfId="83" xr:uid="{00000000-0005-0000-0000-000014000000}"/>
    <cellStyle name="20% - Accent6 2 2" xfId="84" xr:uid="{00000000-0005-0000-0000-000015000000}"/>
    <cellStyle name="40% - Accent1 2" xfId="85" xr:uid="{00000000-0005-0000-0000-000016000000}"/>
    <cellStyle name="40% - Accent1 2 2" xfId="86" xr:uid="{00000000-0005-0000-0000-000017000000}"/>
    <cellStyle name="40% - Accent2 2" xfId="87" xr:uid="{00000000-0005-0000-0000-000018000000}"/>
    <cellStyle name="40% - Accent2 2 2" xfId="88" xr:uid="{00000000-0005-0000-0000-000019000000}"/>
    <cellStyle name="40% - Accent3 2" xfId="89" xr:uid="{00000000-0005-0000-0000-00001A000000}"/>
    <cellStyle name="40% - Accent3 2 2" xfId="90" xr:uid="{00000000-0005-0000-0000-00001B000000}"/>
    <cellStyle name="40% - Accent4 2" xfId="91" xr:uid="{00000000-0005-0000-0000-00001C000000}"/>
    <cellStyle name="40% - Accent4 2 2" xfId="92" xr:uid="{00000000-0005-0000-0000-00001D000000}"/>
    <cellStyle name="40% - Accent5 2" xfId="93" xr:uid="{00000000-0005-0000-0000-00001E000000}"/>
    <cellStyle name="40% - Accent5 2 2" xfId="94" xr:uid="{00000000-0005-0000-0000-00001F000000}"/>
    <cellStyle name="40% - Accent6 2" xfId="95" xr:uid="{00000000-0005-0000-0000-000020000000}"/>
    <cellStyle name="40% - Accent6 2 2" xfId="96" xr:uid="{00000000-0005-0000-0000-000021000000}"/>
    <cellStyle name="60% - Accent1 2" xfId="97" xr:uid="{00000000-0005-0000-0000-000022000000}"/>
    <cellStyle name="60% - Accent2 2" xfId="98" xr:uid="{00000000-0005-0000-0000-000023000000}"/>
    <cellStyle name="60% - Accent3 2" xfId="99" xr:uid="{00000000-0005-0000-0000-000024000000}"/>
    <cellStyle name="60% - Accent4 2" xfId="100" xr:uid="{00000000-0005-0000-0000-000025000000}"/>
    <cellStyle name="60% - Accent5 2" xfId="101" xr:uid="{00000000-0005-0000-0000-000026000000}"/>
    <cellStyle name="60% - Accent6 2" xfId="102" xr:uid="{00000000-0005-0000-0000-000027000000}"/>
    <cellStyle name="Accent1 2" xfId="103" xr:uid="{00000000-0005-0000-0000-000028000000}"/>
    <cellStyle name="Accent2 2" xfId="104" xr:uid="{00000000-0005-0000-0000-000029000000}"/>
    <cellStyle name="Accent3 2" xfId="105" xr:uid="{00000000-0005-0000-0000-00002A000000}"/>
    <cellStyle name="Accent4 2" xfId="106" xr:uid="{00000000-0005-0000-0000-00002B000000}"/>
    <cellStyle name="Accent5 2" xfId="107" xr:uid="{00000000-0005-0000-0000-00002C000000}"/>
    <cellStyle name="Accent6 2" xfId="108" xr:uid="{00000000-0005-0000-0000-00002D000000}"/>
    <cellStyle name="Bad 2" xfId="109" xr:uid="{00000000-0005-0000-0000-00002E000000}"/>
    <cellStyle name="Calculation 2" xfId="110" xr:uid="{00000000-0005-0000-0000-00002F000000}"/>
    <cellStyle name="Check Cell 2" xfId="111" xr:uid="{00000000-0005-0000-0000-000030000000}"/>
    <cellStyle name="Comma 10" xfId="295" xr:uid="{00000000-0005-0000-0000-000032000000}"/>
    <cellStyle name="Comma 10 2" xfId="602" xr:uid="{00000000-0005-0000-0000-000032000000}"/>
    <cellStyle name="Comma 10 2 2" xfId="1030" xr:uid="{00000000-0005-0000-0000-000032000000}"/>
    <cellStyle name="Comma 10 3" xfId="816" xr:uid="{00000000-0005-0000-0000-000032000000}"/>
    <cellStyle name="Comma 11" xfId="329" xr:uid="{00000000-0005-0000-0000-000033000000}"/>
    <cellStyle name="Comma 11 2" xfId="636" xr:uid="{00000000-0005-0000-0000-000033000000}"/>
    <cellStyle name="Comma 11 2 2" xfId="1064" xr:uid="{00000000-0005-0000-0000-000033000000}"/>
    <cellStyle name="Comma 11 3" xfId="850" xr:uid="{00000000-0005-0000-0000-000033000000}"/>
    <cellStyle name="Comma 12" xfId="363" xr:uid="{00000000-0005-0000-0000-000034000000}"/>
    <cellStyle name="Comma 12 2" xfId="670" xr:uid="{00000000-0005-0000-0000-000034000000}"/>
    <cellStyle name="Comma 12 2 2" xfId="1098" xr:uid="{00000000-0005-0000-0000-000034000000}"/>
    <cellStyle name="Comma 12 3" xfId="884" xr:uid="{00000000-0005-0000-0000-000034000000}"/>
    <cellStyle name="Comma 13" xfId="568" xr:uid="{00000000-0005-0000-0000-000021020000}"/>
    <cellStyle name="Comma 13 2" xfId="996" xr:uid="{00000000-0005-0000-0000-000021020000}"/>
    <cellStyle name="Comma 14" xfId="261" xr:uid="{00000000-0005-0000-0000-00009E000000}"/>
    <cellStyle name="Comma 15" xfId="782" xr:uid="{00000000-0005-0000-0000-00002D030000}"/>
    <cellStyle name="Comma 2" xfId="2" xr:uid="{00000000-0005-0000-0000-000000000000}"/>
    <cellStyle name="Comma 2 10" xfId="553" xr:uid="{00000000-0005-0000-0000-000035000000}"/>
    <cellStyle name="Comma 2 10 2" xfId="981" xr:uid="{00000000-0005-0000-0000-000035000000}"/>
    <cellStyle name="Comma 2 11" xfId="113" xr:uid="{00000000-0005-0000-0000-000035000000}"/>
    <cellStyle name="Comma 2 12" xfId="767" xr:uid="{00000000-0005-0000-0000-000035000000}"/>
    <cellStyle name="Comma 2 2" xfId="25" xr:uid="{00000000-0005-0000-0000-000001000000}"/>
    <cellStyle name="Comma 2 2 2" xfId="53" xr:uid="{00000000-0005-0000-0000-000001000000}"/>
    <cellStyle name="Comma 2 2 2 2" xfId="304" xr:uid="{00000000-0005-0000-0000-000038000000}"/>
    <cellStyle name="Comma 2 2 2 2 2" xfId="611" xr:uid="{00000000-0005-0000-0000-000038000000}"/>
    <cellStyle name="Comma 2 2 2 2 2 2" xfId="1039" xr:uid="{00000000-0005-0000-0000-000038000000}"/>
    <cellStyle name="Comma 2 2 2 2 3" xfId="825" xr:uid="{00000000-0005-0000-0000-000038000000}"/>
    <cellStyle name="Comma 2 2 2 3" xfId="338" xr:uid="{00000000-0005-0000-0000-000039000000}"/>
    <cellStyle name="Comma 2 2 2 3 2" xfId="645" xr:uid="{00000000-0005-0000-0000-000039000000}"/>
    <cellStyle name="Comma 2 2 2 3 2 2" xfId="1073" xr:uid="{00000000-0005-0000-0000-000039000000}"/>
    <cellStyle name="Comma 2 2 2 3 3" xfId="859" xr:uid="{00000000-0005-0000-0000-000039000000}"/>
    <cellStyle name="Comma 2 2 2 4" xfId="372" xr:uid="{00000000-0005-0000-0000-00003A000000}"/>
    <cellStyle name="Comma 2 2 2 4 2" xfId="679" xr:uid="{00000000-0005-0000-0000-00003A000000}"/>
    <cellStyle name="Comma 2 2 2 4 2 2" xfId="1107" xr:uid="{00000000-0005-0000-0000-00003A000000}"/>
    <cellStyle name="Comma 2 2 2 4 3" xfId="893" xr:uid="{00000000-0005-0000-0000-00003A000000}"/>
    <cellStyle name="Comma 2 2 2 5" xfId="438" xr:uid="{00000000-0005-0000-0000-00003B000000}"/>
    <cellStyle name="Comma 2 2 2 5 2" xfId="717" xr:uid="{00000000-0005-0000-0000-00003B000000}"/>
    <cellStyle name="Comma 2 2 2 5 2 2" xfId="1145" xr:uid="{00000000-0005-0000-0000-00003B000000}"/>
    <cellStyle name="Comma 2 2 2 5 3" xfId="931" xr:uid="{00000000-0005-0000-0000-00003B000000}"/>
    <cellStyle name="Comma 2 2 2 6" xfId="577" xr:uid="{00000000-0005-0000-0000-000037000000}"/>
    <cellStyle name="Comma 2 2 2 6 2" xfId="1005" xr:uid="{00000000-0005-0000-0000-000037000000}"/>
    <cellStyle name="Comma 2 2 2 7" xfId="270" xr:uid="{00000000-0005-0000-0000-000037000000}"/>
    <cellStyle name="Comma 2 2 2 8" xfId="791" xr:uid="{00000000-0005-0000-0000-000037000000}"/>
    <cellStyle name="Comma 2 2 3" xfId="55" xr:uid="{00000000-0005-0000-0000-000001000000}"/>
    <cellStyle name="Comma 2 2 3 2" xfId="460" xr:uid="{00000000-0005-0000-0000-00003D000000}"/>
    <cellStyle name="Comma 2 2 3 2 2" xfId="736" xr:uid="{00000000-0005-0000-0000-00003D000000}"/>
    <cellStyle name="Comma 2 2 3 2 2 2" xfId="1164" xr:uid="{00000000-0005-0000-0000-00003D000000}"/>
    <cellStyle name="Comma 2 2 3 2 3" xfId="950" xr:uid="{00000000-0005-0000-0000-00003D000000}"/>
    <cellStyle name="Comma 2 2 3 3" xfId="594" xr:uid="{00000000-0005-0000-0000-00003C000000}"/>
    <cellStyle name="Comma 2 2 3 3 2" xfId="1022" xr:uid="{00000000-0005-0000-0000-00003C000000}"/>
    <cellStyle name="Comma 2 2 3 4" xfId="287" xr:uid="{00000000-0005-0000-0000-00003C000000}"/>
    <cellStyle name="Comma 2 2 3 5" xfId="808" xr:uid="{00000000-0005-0000-0000-00003C000000}"/>
    <cellStyle name="Comma 2 2 4" xfId="58" xr:uid="{00000000-0005-0000-0000-000001000000}"/>
    <cellStyle name="Comma 2 2 4 2" xfId="474" xr:uid="{00000000-0005-0000-0000-00003F000000}"/>
    <cellStyle name="Comma 2 2 4 2 2" xfId="746" xr:uid="{00000000-0005-0000-0000-00003F000000}"/>
    <cellStyle name="Comma 2 2 4 2 2 2" xfId="1174" xr:uid="{00000000-0005-0000-0000-00003F000000}"/>
    <cellStyle name="Comma 2 2 4 2 3" xfId="960" xr:uid="{00000000-0005-0000-0000-00003F000000}"/>
    <cellStyle name="Comma 2 2 4 3" xfId="628" xr:uid="{00000000-0005-0000-0000-00003E000000}"/>
    <cellStyle name="Comma 2 2 4 3 2" xfId="1056" xr:uid="{00000000-0005-0000-0000-00003E000000}"/>
    <cellStyle name="Comma 2 2 4 4" xfId="321" xr:uid="{00000000-0005-0000-0000-00003E000000}"/>
    <cellStyle name="Comma 2 2 4 5" xfId="842" xr:uid="{00000000-0005-0000-0000-00003E000000}"/>
    <cellStyle name="Comma 2 2 5" xfId="355" xr:uid="{00000000-0005-0000-0000-000040000000}"/>
    <cellStyle name="Comma 2 2 5 2" xfId="662" xr:uid="{00000000-0005-0000-0000-000040000000}"/>
    <cellStyle name="Comma 2 2 5 2 2" xfId="1090" xr:uid="{00000000-0005-0000-0000-000040000000}"/>
    <cellStyle name="Comma 2 2 5 3" xfId="876" xr:uid="{00000000-0005-0000-0000-000040000000}"/>
    <cellStyle name="Comma 2 2 6" xfId="404" xr:uid="{00000000-0005-0000-0000-000041000000}"/>
    <cellStyle name="Comma 2 2 6 2" xfId="698" xr:uid="{00000000-0005-0000-0000-000041000000}"/>
    <cellStyle name="Comma 2 2 6 2 2" xfId="1126" xr:uid="{00000000-0005-0000-0000-000041000000}"/>
    <cellStyle name="Comma 2 2 6 3" xfId="912" xr:uid="{00000000-0005-0000-0000-000041000000}"/>
    <cellStyle name="Comma 2 2 7" xfId="560" xr:uid="{00000000-0005-0000-0000-000036000000}"/>
    <cellStyle name="Comma 2 2 7 2" xfId="988" xr:uid="{00000000-0005-0000-0000-000036000000}"/>
    <cellStyle name="Comma 2 2 8" xfId="220" xr:uid="{00000000-0005-0000-0000-000036000000}"/>
    <cellStyle name="Comma 2 2 9" xfId="774" xr:uid="{00000000-0005-0000-0000-000036000000}"/>
    <cellStyle name="Comma 2 3" xfId="52" xr:uid="{00000000-0005-0000-0000-000000000000}"/>
    <cellStyle name="Comma 2 3 2" xfId="277" xr:uid="{00000000-0005-0000-0000-000043000000}"/>
    <cellStyle name="Comma 2 3 2 2" xfId="311" xr:uid="{00000000-0005-0000-0000-000044000000}"/>
    <cellStyle name="Comma 2 3 2 2 2" xfId="518" xr:uid="{00000000-0005-0000-0000-000045000000}"/>
    <cellStyle name="Comma 2 3 2 2 2 2" xfId="762" xr:uid="{00000000-0005-0000-0000-000045000000}"/>
    <cellStyle name="Comma 2 3 2 2 2 2 2" xfId="1190" xr:uid="{00000000-0005-0000-0000-000045000000}"/>
    <cellStyle name="Comma 2 3 2 2 2 3" xfId="976" xr:uid="{00000000-0005-0000-0000-000045000000}"/>
    <cellStyle name="Comma 2 3 2 2 3" xfId="618" xr:uid="{00000000-0005-0000-0000-000044000000}"/>
    <cellStyle name="Comma 2 3 2 2 3 2" xfId="1046" xr:uid="{00000000-0005-0000-0000-000044000000}"/>
    <cellStyle name="Comma 2 3 2 2 4" xfId="832" xr:uid="{00000000-0005-0000-0000-000044000000}"/>
    <cellStyle name="Comma 2 3 2 3" xfId="345" xr:uid="{00000000-0005-0000-0000-000046000000}"/>
    <cellStyle name="Comma 2 3 2 3 2" xfId="652" xr:uid="{00000000-0005-0000-0000-000046000000}"/>
    <cellStyle name="Comma 2 3 2 3 2 2" xfId="1080" xr:uid="{00000000-0005-0000-0000-000046000000}"/>
    <cellStyle name="Comma 2 3 2 3 3" xfId="866" xr:uid="{00000000-0005-0000-0000-000046000000}"/>
    <cellStyle name="Comma 2 3 2 4" xfId="379" xr:uid="{00000000-0005-0000-0000-000047000000}"/>
    <cellStyle name="Comma 2 3 2 4 2" xfId="686" xr:uid="{00000000-0005-0000-0000-000047000000}"/>
    <cellStyle name="Comma 2 3 2 4 2 2" xfId="1114" xr:uid="{00000000-0005-0000-0000-000047000000}"/>
    <cellStyle name="Comma 2 3 2 4 3" xfId="900" xr:uid="{00000000-0005-0000-0000-000047000000}"/>
    <cellStyle name="Comma 2 3 2 5" xfId="431" xr:uid="{00000000-0005-0000-0000-000048000000}"/>
    <cellStyle name="Comma 2 3 2 5 2" xfId="710" xr:uid="{00000000-0005-0000-0000-000048000000}"/>
    <cellStyle name="Comma 2 3 2 5 2 2" xfId="1138" xr:uid="{00000000-0005-0000-0000-000048000000}"/>
    <cellStyle name="Comma 2 3 2 5 3" xfId="924" xr:uid="{00000000-0005-0000-0000-000048000000}"/>
    <cellStyle name="Comma 2 3 2 6" xfId="584" xr:uid="{00000000-0005-0000-0000-000043000000}"/>
    <cellStyle name="Comma 2 3 2 6 2" xfId="1012" xr:uid="{00000000-0005-0000-0000-000043000000}"/>
    <cellStyle name="Comma 2 3 2 7" xfId="798" xr:uid="{00000000-0005-0000-0000-000043000000}"/>
    <cellStyle name="Comma 2 3 3" xfId="294" xr:uid="{00000000-0005-0000-0000-000049000000}"/>
    <cellStyle name="Comma 2 3 3 2" xfId="453" xr:uid="{00000000-0005-0000-0000-00004A000000}"/>
    <cellStyle name="Comma 2 3 3 2 2" xfId="729" xr:uid="{00000000-0005-0000-0000-00004A000000}"/>
    <cellStyle name="Comma 2 3 3 2 2 2" xfId="1157" xr:uid="{00000000-0005-0000-0000-00004A000000}"/>
    <cellStyle name="Comma 2 3 3 2 3" xfId="943" xr:uid="{00000000-0005-0000-0000-00004A000000}"/>
    <cellStyle name="Comma 2 3 3 3" xfId="601" xr:uid="{00000000-0005-0000-0000-000049000000}"/>
    <cellStyle name="Comma 2 3 3 3 2" xfId="1029" xr:uid="{00000000-0005-0000-0000-000049000000}"/>
    <cellStyle name="Comma 2 3 3 4" xfId="815" xr:uid="{00000000-0005-0000-0000-000049000000}"/>
    <cellStyle name="Comma 2 3 4" xfId="328" xr:uid="{00000000-0005-0000-0000-00004B000000}"/>
    <cellStyle name="Comma 2 3 4 2" xfId="475" xr:uid="{00000000-0005-0000-0000-00004C000000}"/>
    <cellStyle name="Comma 2 3 4 2 2" xfId="747" xr:uid="{00000000-0005-0000-0000-00004C000000}"/>
    <cellStyle name="Comma 2 3 4 2 2 2" xfId="1175" xr:uid="{00000000-0005-0000-0000-00004C000000}"/>
    <cellStyle name="Comma 2 3 4 2 3" xfId="961" xr:uid="{00000000-0005-0000-0000-00004C000000}"/>
    <cellStyle name="Comma 2 3 4 3" xfId="635" xr:uid="{00000000-0005-0000-0000-00004B000000}"/>
    <cellStyle name="Comma 2 3 4 3 2" xfId="1063" xr:uid="{00000000-0005-0000-0000-00004B000000}"/>
    <cellStyle name="Comma 2 3 4 4" xfId="849" xr:uid="{00000000-0005-0000-0000-00004B000000}"/>
    <cellStyle name="Comma 2 3 5" xfId="362" xr:uid="{00000000-0005-0000-0000-00004D000000}"/>
    <cellStyle name="Comma 2 3 5 2" xfId="669" xr:uid="{00000000-0005-0000-0000-00004D000000}"/>
    <cellStyle name="Comma 2 3 5 2 2" xfId="1097" xr:uid="{00000000-0005-0000-0000-00004D000000}"/>
    <cellStyle name="Comma 2 3 5 3" xfId="883" xr:uid="{00000000-0005-0000-0000-00004D000000}"/>
    <cellStyle name="Comma 2 3 6" xfId="385" xr:uid="{00000000-0005-0000-0000-00004E000000}"/>
    <cellStyle name="Comma 2 3 6 2" xfId="691" xr:uid="{00000000-0005-0000-0000-00004E000000}"/>
    <cellStyle name="Comma 2 3 6 2 2" xfId="1119" xr:uid="{00000000-0005-0000-0000-00004E000000}"/>
    <cellStyle name="Comma 2 3 6 3" xfId="905" xr:uid="{00000000-0005-0000-0000-00004E000000}"/>
    <cellStyle name="Comma 2 3 7" xfId="567" xr:uid="{00000000-0005-0000-0000-000042000000}"/>
    <cellStyle name="Comma 2 3 7 2" xfId="995" xr:uid="{00000000-0005-0000-0000-000042000000}"/>
    <cellStyle name="Comma 2 3 8" xfId="247" xr:uid="{00000000-0005-0000-0000-000042000000}"/>
    <cellStyle name="Comma 2 3 9" xfId="781" xr:uid="{00000000-0005-0000-0000-000042000000}"/>
    <cellStyle name="Comma 2 4" xfId="54" xr:uid="{00000000-0005-0000-0000-000000000000}"/>
    <cellStyle name="Comma 2 4 2" xfId="297" xr:uid="{00000000-0005-0000-0000-000050000000}"/>
    <cellStyle name="Comma 2 4 2 2" xfId="446" xr:uid="{00000000-0005-0000-0000-000051000000}"/>
    <cellStyle name="Comma 2 4 2 2 2" xfId="725" xr:uid="{00000000-0005-0000-0000-000051000000}"/>
    <cellStyle name="Comma 2 4 2 2 2 2" xfId="1153" xr:uid="{00000000-0005-0000-0000-000051000000}"/>
    <cellStyle name="Comma 2 4 2 2 3" xfId="939" xr:uid="{00000000-0005-0000-0000-000051000000}"/>
    <cellStyle name="Comma 2 4 2 3" xfId="604" xr:uid="{00000000-0005-0000-0000-000050000000}"/>
    <cellStyle name="Comma 2 4 2 3 2" xfId="1032" xr:uid="{00000000-0005-0000-0000-000050000000}"/>
    <cellStyle name="Comma 2 4 2 4" xfId="818" xr:uid="{00000000-0005-0000-0000-000050000000}"/>
    <cellStyle name="Comma 2 4 3" xfId="331" xr:uid="{00000000-0005-0000-0000-000052000000}"/>
    <cellStyle name="Comma 2 4 3 2" xfId="468" xr:uid="{00000000-0005-0000-0000-000053000000}"/>
    <cellStyle name="Comma 2 4 3 2 2" xfId="744" xr:uid="{00000000-0005-0000-0000-000053000000}"/>
    <cellStyle name="Comma 2 4 3 2 2 2" xfId="1172" xr:uid="{00000000-0005-0000-0000-000053000000}"/>
    <cellStyle name="Comma 2 4 3 2 3" xfId="958" xr:uid="{00000000-0005-0000-0000-000053000000}"/>
    <cellStyle name="Comma 2 4 3 3" xfId="638" xr:uid="{00000000-0005-0000-0000-000052000000}"/>
    <cellStyle name="Comma 2 4 3 3 2" xfId="1066" xr:uid="{00000000-0005-0000-0000-000052000000}"/>
    <cellStyle name="Comma 2 4 3 4" xfId="852" xr:uid="{00000000-0005-0000-0000-000052000000}"/>
    <cellStyle name="Comma 2 4 4" xfId="365" xr:uid="{00000000-0005-0000-0000-000054000000}"/>
    <cellStyle name="Comma 2 4 4 2" xfId="672" xr:uid="{00000000-0005-0000-0000-000054000000}"/>
    <cellStyle name="Comma 2 4 4 2 2" xfId="1100" xr:uid="{00000000-0005-0000-0000-000054000000}"/>
    <cellStyle name="Comma 2 4 4 3" xfId="886" xr:uid="{00000000-0005-0000-0000-000054000000}"/>
    <cellStyle name="Comma 2 4 5" xfId="415" xr:uid="{00000000-0005-0000-0000-000055000000}"/>
    <cellStyle name="Comma 2 4 5 2" xfId="706" xr:uid="{00000000-0005-0000-0000-000055000000}"/>
    <cellStyle name="Comma 2 4 5 2 2" xfId="1134" xr:uid="{00000000-0005-0000-0000-000055000000}"/>
    <cellStyle name="Comma 2 4 5 3" xfId="920" xr:uid="{00000000-0005-0000-0000-000055000000}"/>
    <cellStyle name="Comma 2 4 6" xfId="570" xr:uid="{00000000-0005-0000-0000-00004F000000}"/>
    <cellStyle name="Comma 2 4 6 2" xfId="998" xr:uid="{00000000-0005-0000-0000-00004F000000}"/>
    <cellStyle name="Comma 2 4 7" xfId="263" xr:uid="{00000000-0005-0000-0000-00004F000000}"/>
    <cellStyle name="Comma 2 4 8" xfId="784" xr:uid="{00000000-0005-0000-0000-00004F000000}"/>
    <cellStyle name="Comma 2 5" xfId="56" xr:uid="{00000000-0005-0000-0000-000000000000}"/>
    <cellStyle name="Comma 2 5 2" xfId="428" xr:uid="{00000000-0005-0000-0000-000057000000}"/>
    <cellStyle name="Comma 2 5 2 2" xfId="707" xr:uid="{00000000-0005-0000-0000-000057000000}"/>
    <cellStyle name="Comma 2 5 2 2 2" xfId="1135" xr:uid="{00000000-0005-0000-0000-000057000000}"/>
    <cellStyle name="Comma 2 5 2 3" xfId="921" xr:uid="{00000000-0005-0000-0000-000057000000}"/>
    <cellStyle name="Comma 2 5 3" xfId="587" xr:uid="{00000000-0005-0000-0000-000056000000}"/>
    <cellStyle name="Comma 2 5 3 2" xfId="1015" xr:uid="{00000000-0005-0000-0000-000056000000}"/>
    <cellStyle name="Comma 2 5 4" xfId="280" xr:uid="{00000000-0005-0000-0000-000056000000}"/>
    <cellStyle name="Comma 2 5 5" xfId="801" xr:uid="{00000000-0005-0000-0000-000056000000}"/>
    <cellStyle name="Comma 2 6" xfId="314" xr:uid="{00000000-0005-0000-0000-000058000000}"/>
    <cellStyle name="Comma 2 6 2" xfId="450" xr:uid="{00000000-0005-0000-0000-000059000000}"/>
    <cellStyle name="Comma 2 6 2 2" xfId="726" xr:uid="{00000000-0005-0000-0000-000059000000}"/>
    <cellStyle name="Comma 2 6 2 2 2" xfId="1154" xr:uid="{00000000-0005-0000-0000-000059000000}"/>
    <cellStyle name="Comma 2 6 2 3" xfId="940" xr:uid="{00000000-0005-0000-0000-000059000000}"/>
    <cellStyle name="Comma 2 6 3" xfId="621" xr:uid="{00000000-0005-0000-0000-000058000000}"/>
    <cellStyle name="Comma 2 6 3 2" xfId="1049" xr:uid="{00000000-0005-0000-0000-000058000000}"/>
    <cellStyle name="Comma 2 6 4" xfId="835" xr:uid="{00000000-0005-0000-0000-000058000000}"/>
    <cellStyle name="Comma 2 7" xfId="348" xr:uid="{00000000-0005-0000-0000-00005A000000}"/>
    <cellStyle name="Comma 2 7 2" xfId="473" xr:uid="{00000000-0005-0000-0000-00005B000000}"/>
    <cellStyle name="Comma 2 7 2 2" xfId="745" xr:uid="{00000000-0005-0000-0000-00005B000000}"/>
    <cellStyle name="Comma 2 7 2 2 2" xfId="1173" xr:uid="{00000000-0005-0000-0000-00005B000000}"/>
    <cellStyle name="Comma 2 7 2 3" xfId="959" xr:uid="{00000000-0005-0000-0000-00005B000000}"/>
    <cellStyle name="Comma 2 7 3" xfId="655" xr:uid="{00000000-0005-0000-0000-00005A000000}"/>
    <cellStyle name="Comma 2 7 3 2" xfId="1083" xr:uid="{00000000-0005-0000-0000-00005A000000}"/>
    <cellStyle name="Comma 2 7 4" xfId="869" xr:uid="{00000000-0005-0000-0000-00005A000000}"/>
    <cellStyle name="Comma 2 8" xfId="539" xr:uid="{00000000-0005-0000-0000-00005C000000}"/>
    <cellStyle name="Comma 2 8 2" xfId="765" xr:uid="{00000000-0005-0000-0000-00005C000000}"/>
    <cellStyle name="Comma 2 8 2 2" xfId="1193" xr:uid="{00000000-0005-0000-0000-00005C000000}"/>
    <cellStyle name="Comma 2 8 3" xfId="979" xr:uid="{00000000-0005-0000-0000-00005C000000}"/>
    <cellStyle name="Comma 2 9" xfId="382" xr:uid="{00000000-0005-0000-0000-00005D000000}"/>
    <cellStyle name="Comma 2 9 2" xfId="688" xr:uid="{00000000-0005-0000-0000-00005D000000}"/>
    <cellStyle name="Comma 2 9 2 2" xfId="1116" xr:uid="{00000000-0005-0000-0000-00005D000000}"/>
    <cellStyle name="Comma 2 9 3" xfId="902" xr:uid="{00000000-0005-0000-0000-00005D000000}"/>
    <cellStyle name="Comma 3" xfId="114" xr:uid="{00000000-0005-0000-0000-00005E000000}"/>
    <cellStyle name="Comma 3 2" xfId="221" xr:uid="{00000000-0005-0000-0000-00005F000000}"/>
    <cellStyle name="Comma 3 2 2" xfId="271" xr:uid="{00000000-0005-0000-0000-000060000000}"/>
    <cellStyle name="Comma 3 2 2 2" xfId="305" xr:uid="{00000000-0005-0000-0000-000061000000}"/>
    <cellStyle name="Comma 3 2 2 2 2" xfId="612" xr:uid="{00000000-0005-0000-0000-000061000000}"/>
    <cellStyle name="Comma 3 2 2 2 2 2" xfId="1040" xr:uid="{00000000-0005-0000-0000-000061000000}"/>
    <cellStyle name="Comma 3 2 2 2 3" xfId="826" xr:uid="{00000000-0005-0000-0000-000061000000}"/>
    <cellStyle name="Comma 3 2 2 3" xfId="339" xr:uid="{00000000-0005-0000-0000-000062000000}"/>
    <cellStyle name="Comma 3 2 2 3 2" xfId="646" xr:uid="{00000000-0005-0000-0000-000062000000}"/>
    <cellStyle name="Comma 3 2 2 3 2 2" xfId="1074" xr:uid="{00000000-0005-0000-0000-000062000000}"/>
    <cellStyle name="Comma 3 2 2 3 3" xfId="860" xr:uid="{00000000-0005-0000-0000-000062000000}"/>
    <cellStyle name="Comma 3 2 2 4" xfId="373" xr:uid="{00000000-0005-0000-0000-000063000000}"/>
    <cellStyle name="Comma 3 2 2 4 2" xfId="680" xr:uid="{00000000-0005-0000-0000-000063000000}"/>
    <cellStyle name="Comma 3 2 2 4 2 2" xfId="1108" xr:uid="{00000000-0005-0000-0000-000063000000}"/>
    <cellStyle name="Comma 3 2 2 4 3" xfId="894" xr:uid="{00000000-0005-0000-0000-000063000000}"/>
    <cellStyle name="Comma 3 2 2 5" xfId="439" xr:uid="{00000000-0005-0000-0000-000064000000}"/>
    <cellStyle name="Comma 3 2 2 5 2" xfId="718" xr:uid="{00000000-0005-0000-0000-000064000000}"/>
    <cellStyle name="Comma 3 2 2 5 2 2" xfId="1146" xr:uid="{00000000-0005-0000-0000-000064000000}"/>
    <cellStyle name="Comma 3 2 2 5 3" xfId="932" xr:uid="{00000000-0005-0000-0000-000064000000}"/>
    <cellStyle name="Comma 3 2 2 6" xfId="578" xr:uid="{00000000-0005-0000-0000-000060000000}"/>
    <cellStyle name="Comma 3 2 2 6 2" xfId="1006" xr:uid="{00000000-0005-0000-0000-000060000000}"/>
    <cellStyle name="Comma 3 2 2 7" xfId="792" xr:uid="{00000000-0005-0000-0000-000060000000}"/>
    <cellStyle name="Comma 3 2 3" xfId="288" xr:uid="{00000000-0005-0000-0000-000065000000}"/>
    <cellStyle name="Comma 3 2 3 2" xfId="461" xr:uid="{00000000-0005-0000-0000-000066000000}"/>
    <cellStyle name="Comma 3 2 3 2 2" xfId="737" xr:uid="{00000000-0005-0000-0000-000066000000}"/>
    <cellStyle name="Comma 3 2 3 2 2 2" xfId="1165" xr:uid="{00000000-0005-0000-0000-000066000000}"/>
    <cellStyle name="Comma 3 2 3 2 3" xfId="951" xr:uid="{00000000-0005-0000-0000-000066000000}"/>
    <cellStyle name="Comma 3 2 3 3" xfId="595" xr:uid="{00000000-0005-0000-0000-000065000000}"/>
    <cellStyle name="Comma 3 2 3 3 2" xfId="1023" xr:uid="{00000000-0005-0000-0000-000065000000}"/>
    <cellStyle name="Comma 3 2 3 4" xfId="809" xr:uid="{00000000-0005-0000-0000-000065000000}"/>
    <cellStyle name="Comma 3 2 4" xfId="322" xr:uid="{00000000-0005-0000-0000-000067000000}"/>
    <cellStyle name="Comma 3 2 4 2" xfId="477" xr:uid="{00000000-0005-0000-0000-000068000000}"/>
    <cellStyle name="Comma 3 2 4 2 2" xfId="749" xr:uid="{00000000-0005-0000-0000-000068000000}"/>
    <cellStyle name="Comma 3 2 4 2 2 2" xfId="1177" xr:uid="{00000000-0005-0000-0000-000068000000}"/>
    <cellStyle name="Comma 3 2 4 2 3" xfId="963" xr:uid="{00000000-0005-0000-0000-000068000000}"/>
    <cellStyle name="Comma 3 2 4 3" xfId="629" xr:uid="{00000000-0005-0000-0000-000067000000}"/>
    <cellStyle name="Comma 3 2 4 3 2" xfId="1057" xr:uid="{00000000-0005-0000-0000-000067000000}"/>
    <cellStyle name="Comma 3 2 4 4" xfId="843" xr:uid="{00000000-0005-0000-0000-000067000000}"/>
    <cellStyle name="Comma 3 2 5" xfId="356" xr:uid="{00000000-0005-0000-0000-000069000000}"/>
    <cellStyle name="Comma 3 2 5 2" xfId="663" xr:uid="{00000000-0005-0000-0000-000069000000}"/>
    <cellStyle name="Comma 3 2 5 2 2" xfId="1091" xr:uid="{00000000-0005-0000-0000-000069000000}"/>
    <cellStyle name="Comma 3 2 5 3" xfId="877" xr:uid="{00000000-0005-0000-0000-000069000000}"/>
    <cellStyle name="Comma 3 2 6" xfId="405" xr:uid="{00000000-0005-0000-0000-00006A000000}"/>
    <cellStyle name="Comma 3 2 6 2" xfId="699" xr:uid="{00000000-0005-0000-0000-00006A000000}"/>
    <cellStyle name="Comma 3 2 6 2 2" xfId="1127" xr:uid="{00000000-0005-0000-0000-00006A000000}"/>
    <cellStyle name="Comma 3 2 6 3" xfId="913" xr:uid="{00000000-0005-0000-0000-00006A000000}"/>
    <cellStyle name="Comma 3 2 7" xfId="561" xr:uid="{00000000-0005-0000-0000-00005F000000}"/>
    <cellStyle name="Comma 3 2 7 2" xfId="989" xr:uid="{00000000-0005-0000-0000-00005F000000}"/>
    <cellStyle name="Comma 3 2 8" xfId="775" xr:uid="{00000000-0005-0000-0000-00005F000000}"/>
    <cellStyle name="Comma 3 3" xfId="264" xr:uid="{00000000-0005-0000-0000-00006B000000}"/>
    <cellStyle name="Comma 3 3 2" xfId="298" xr:uid="{00000000-0005-0000-0000-00006C000000}"/>
    <cellStyle name="Comma 3 3 2 2" xfId="432" xr:uid="{00000000-0005-0000-0000-00006D000000}"/>
    <cellStyle name="Comma 3 3 2 2 2" xfId="711" xr:uid="{00000000-0005-0000-0000-00006D000000}"/>
    <cellStyle name="Comma 3 3 2 2 2 2" xfId="1139" xr:uid="{00000000-0005-0000-0000-00006D000000}"/>
    <cellStyle name="Comma 3 3 2 2 3" xfId="925" xr:uid="{00000000-0005-0000-0000-00006D000000}"/>
    <cellStyle name="Comma 3 3 2 3" xfId="605" xr:uid="{00000000-0005-0000-0000-00006C000000}"/>
    <cellStyle name="Comma 3 3 2 3 2" xfId="1033" xr:uid="{00000000-0005-0000-0000-00006C000000}"/>
    <cellStyle name="Comma 3 3 2 4" xfId="819" xr:uid="{00000000-0005-0000-0000-00006C000000}"/>
    <cellStyle name="Comma 3 3 3" xfId="332" xr:uid="{00000000-0005-0000-0000-00006E000000}"/>
    <cellStyle name="Comma 3 3 3 2" xfId="454" xr:uid="{00000000-0005-0000-0000-00006F000000}"/>
    <cellStyle name="Comma 3 3 3 2 2" xfId="730" xr:uid="{00000000-0005-0000-0000-00006F000000}"/>
    <cellStyle name="Comma 3 3 3 2 2 2" xfId="1158" xr:uid="{00000000-0005-0000-0000-00006F000000}"/>
    <cellStyle name="Comma 3 3 3 2 3" xfId="944" xr:uid="{00000000-0005-0000-0000-00006F000000}"/>
    <cellStyle name="Comma 3 3 3 3" xfId="639" xr:uid="{00000000-0005-0000-0000-00006E000000}"/>
    <cellStyle name="Comma 3 3 3 3 2" xfId="1067" xr:uid="{00000000-0005-0000-0000-00006E000000}"/>
    <cellStyle name="Comma 3 3 3 4" xfId="853" xr:uid="{00000000-0005-0000-0000-00006E000000}"/>
    <cellStyle name="Comma 3 3 4" xfId="366" xr:uid="{00000000-0005-0000-0000-000070000000}"/>
    <cellStyle name="Comma 3 3 4 2" xfId="673" xr:uid="{00000000-0005-0000-0000-000070000000}"/>
    <cellStyle name="Comma 3 3 4 2 2" xfId="1101" xr:uid="{00000000-0005-0000-0000-000070000000}"/>
    <cellStyle name="Comma 3 3 4 3" xfId="887" xr:uid="{00000000-0005-0000-0000-000070000000}"/>
    <cellStyle name="Comma 3 3 5" xfId="386" xr:uid="{00000000-0005-0000-0000-000071000000}"/>
    <cellStyle name="Comma 3 3 5 2" xfId="692" xr:uid="{00000000-0005-0000-0000-000071000000}"/>
    <cellStyle name="Comma 3 3 5 2 2" xfId="1120" xr:uid="{00000000-0005-0000-0000-000071000000}"/>
    <cellStyle name="Comma 3 3 5 3" xfId="906" xr:uid="{00000000-0005-0000-0000-000071000000}"/>
    <cellStyle name="Comma 3 3 6" xfId="571" xr:uid="{00000000-0005-0000-0000-00006B000000}"/>
    <cellStyle name="Comma 3 3 6 2" xfId="999" xr:uid="{00000000-0005-0000-0000-00006B000000}"/>
    <cellStyle name="Comma 3 3 7" xfId="785" xr:uid="{00000000-0005-0000-0000-00006B000000}"/>
    <cellStyle name="Comma 3 4" xfId="281" xr:uid="{00000000-0005-0000-0000-000072000000}"/>
    <cellStyle name="Comma 3 4 2" xfId="429" xr:uid="{00000000-0005-0000-0000-000073000000}"/>
    <cellStyle name="Comma 3 4 2 2" xfId="708" xr:uid="{00000000-0005-0000-0000-000073000000}"/>
    <cellStyle name="Comma 3 4 2 2 2" xfId="1136" xr:uid="{00000000-0005-0000-0000-000073000000}"/>
    <cellStyle name="Comma 3 4 2 3" xfId="922" xr:uid="{00000000-0005-0000-0000-000073000000}"/>
    <cellStyle name="Comma 3 4 3" xfId="588" xr:uid="{00000000-0005-0000-0000-000072000000}"/>
    <cellStyle name="Comma 3 4 3 2" xfId="1016" xr:uid="{00000000-0005-0000-0000-000072000000}"/>
    <cellStyle name="Comma 3 4 4" xfId="802" xr:uid="{00000000-0005-0000-0000-000072000000}"/>
    <cellStyle name="Comma 3 5" xfId="315" xr:uid="{00000000-0005-0000-0000-000074000000}"/>
    <cellStyle name="Comma 3 5 2" xfId="451" xr:uid="{00000000-0005-0000-0000-000075000000}"/>
    <cellStyle name="Comma 3 5 2 2" xfId="727" xr:uid="{00000000-0005-0000-0000-000075000000}"/>
    <cellStyle name="Comma 3 5 2 2 2" xfId="1155" xr:uid="{00000000-0005-0000-0000-000075000000}"/>
    <cellStyle name="Comma 3 5 2 3" xfId="941" xr:uid="{00000000-0005-0000-0000-000075000000}"/>
    <cellStyle name="Comma 3 5 3" xfId="622" xr:uid="{00000000-0005-0000-0000-000074000000}"/>
    <cellStyle name="Comma 3 5 3 2" xfId="1050" xr:uid="{00000000-0005-0000-0000-000074000000}"/>
    <cellStyle name="Comma 3 5 4" xfId="836" xr:uid="{00000000-0005-0000-0000-000074000000}"/>
    <cellStyle name="Comma 3 6" xfId="349" xr:uid="{00000000-0005-0000-0000-000076000000}"/>
    <cellStyle name="Comma 3 6 2" xfId="476" xr:uid="{00000000-0005-0000-0000-000077000000}"/>
    <cellStyle name="Comma 3 6 2 2" xfId="748" xr:uid="{00000000-0005-0000-0000-000077000000}"/>
    <cellStyle name="Comma 3 6 2 2 2" xfId="1176" xr:uid="{00000000-0005-0000-0000-000077000000}"/>
    <cellStyle name="Comma 3 6 2 3" xfId="962" xr:uid="{00000000-0005-0000-0000-000077000000}"/>
    <cellStyle name="Comma 3 6 3" xfId="656" xr:uid="{00000000-0005-0000-0000-000076000000}"/>
    <cellStyle name="Comma 3 6 3 2" xfId="1084" xr:uid="{00000000-0005-0000-0000-000076000000}"/>
    <cellStyle name="Comma 3 6 4" xfId="870" xr:uid="{00000000-0005-0000-0000-000076000000}"/>
    <cellStyle name="Comma 3 7" xfId="383" xr:uid="{00000000-0005-0000-0000-000078000000}"/>
    <cellStyle name="Comma 3 7 2" xfId="689" xr:uid="{00000000-0005-0000-0000-000078000000}"/>
    <cellStyle name="Comma 3 7 2 2" xfId="1117" xr:uid="{00000000-0005-0000-0000-000078000000}"/>
    <cellStyle name="Comma 3 7 3" xfId="903" xr:uid="{00000000-0005-0000-0000-000078000000}"/>
    <cellStyle name="Comma 3 8" xfId="554" xr:uid="{00000000-0005-0000-0000-00005E000000}"/>
    <cellStyle name="Comma 3 8 2" xfId="982" xr:uid="{00000000-0005-0000-0000-00005E000000}"/>
    <cellStyle name="Comma 3 9" xfId="768" xr:uid="{00000000-0005-0000-0000-00005E000000}"/>
    <cellStyle name="Comma 4" xfId="115" xr:uid="{00000000-0005-0000-0000-000079000000}"/>
    <cellStyle name="Comma 4 10" xfId="769" xr:uid="{00000000-0005-0000-0000-000079000000}"/>
    <cellStyle name="Comma 4 2" xfId="116" xr:uid="{00000000-0005-0000-0000-00007A000000}"/>
    <cellStyle name="Comma 4 2 2" xfId="223" xr:uid="{00000000-0005-0000-0000-00007B000000}"/>
    <cellStyle name="Comma 4 2 2 2" xfId="273" xr:uid="{00000000-0005-0000-0000-00007C000000}"/>
    <cellStyle name="Comma 4 2 2 2 2" xfId="307" xr:uid="{00000000-0005-0000-0000-00007D000000}"/>
    <cellStyle name="Comma 4 2 2 2 2 2" xfId="614" xr:uid="{00000000-0005-0000-0000-00007D000000}"/>
    <cellStyle name="Comma 4 2 2 2 2 2 2" xfId="1042" xr:uid="{00000000-0005-0000-0000-00007D000000}"/>
    <cellStyle name="Comma 4 2 2 2 2 3" xfId="828" xr:uid="{00000000-0005-0000-0000-00007D000000}"/>
    <cellStyle name="Comma 4 2 2 2 3" xfId="341" xr:uid="{00000000-0005-0000-0000-00007E000000}"/>
    <cellStyle name="Comma 4 2 2 2 3 2" xfId="648" xr:uid="{00000000-0005-0000-0000-00007E000000}"/>
    <cellStyle name="Comma 4 2 2 2 3 2 2" xfId="1076" xr:uid="{00000000-0005-0000-0000-00007E000000}"/>
    <cellStyle name="Comma 4 2 2 2 3 3" xfId="862" xr:uid="{00000000-0005-0000-0000-00007E000000}"/>
    <cellStyle name="Comma 4 2 2 2 4" xfId="375" xr:uid="{00000000-0005-0000-0000-00007F000000}"/>
    <cellStyle name="Comma 4 2 2 2 4 2" xfId="682" xr:uid="{00000000-0005-0000-0000-00007F000000}"/>
    <cellStyle name="Comma 4 2 2 2 4 2 2" xfId="1110" xr:uid="{00000000-0005-0000-0000-00007F000000}"/>
    <cellStyle name="Comma 4 2 2 2 4 3" xfId="896" xr:uid="{00000000-0005-0000-0000-00007F000000}"/>
    <cellStyle name="Comma 4 2 2 2 5" xfId="441" xr:uid="{00000000-0005-0000-0000-000080000000}"/>
    <cellStyle name="Comma 4 2 2 2 5 2" xfId="720" xr:uid="{00000000-0005-0000-0000-000080000000}"/>
    <cellStyle name="Comma 4 2 2 2 5 2 2" xfId="1148" xr:uid="{00000000-0005-0000-0000-000080000000}"/>
    <cellStyle name="Comma 4 2 2 2 5 3" xfId="934" xr:uid="{00000000-0005-0000-0000-000080000000}"/>
    <cellStyle name="Comma 4 2 2 2 6" xfId="580" xr:uid="{00000000-0005-0000-0000-00007C000000}"/>
    <cellStyle name="Comma 4 2 2 2 6 2" xfId="1008" xr:uid="{00000000-0005-0000-0000-00007C000000}"/>
    <cellStyle name="Comma 4 2 2 2 7" xfId="794" xr:uid="{00000000-0005-0000-0000-00007C000000}"/>
    <cellStyle name="Comma 4 2 2 3" xfId="290" xr:uid="{00000000-0005-0000-0000-000081000000}"/>
    <cellStyle name="Comma 4 2 2 3 2" xfId="463" xr:uid="{00000000-0005-0000-0000-000082000000}"/>
    <cellStyle name="Comma 4 2 2 3 2 2" xfId="739" xr:uid="{00000000-0005-0000-0000-000082000000}"/>
    <cellStyle name="Comma 4 2 2 3 2 2 2" xfId="1167" xr:uid="{00000000-0005-0000-0000-000082000000}"/>
    <cellStyle name="Comma 4 2 2 3 2 3" xfId="953" xr:uid="{00000000-0005-0000-0000-000082000000}"/>
    <cellStyle name="Comma 4 2 2 3 3" xfId="597" xr:uid="{00000000-0005-0000-0000-000081000000}"/>
    <cellStyle name="Comma 4 2 2 3 3 2" xfId="1025" xr:uid="{00000000-0005-0000-0000-000081000000}"/>
    <cellStyle name="Comma 4 2 2 3 4" xfId="811" xr:uid="{00000000-0005-0000-0000-000081000000}"/>
    <cellStyle name="Comma 4 2 2 4" xfId="324" xr:uid="{00000000-0005-0000-0000-000083000000}"/>
    <cellStyle name="Comma 4 2 2 4 2" xfId="480" xr:uid="{00000000-0005-0000-0000-000084000000}"/>
    <cellStyle name="Comma 4 2 2 4 2 2" xfId="752" xr:uid="{00000000-0005-0000-0000-000084000000}"/>
    <cellStyle name="Comma 4 2 2 4 2 2 2" xfId="1180" xr:uid="{00000000-0005-0000-0000-000084000000}"/>
    <cellStyle name="Comma 4 2 2 4 2 3" xfId="966" xr:uid="{00000000-0005-0000-0000-000084000000}"/>
    <cellStyle name="Comma 4 2 2 4 3" xfId="631" xr:uid="{00000000-0005-0000-0000-000083000000}"/>
    <cellStyle name="Comma 4 2 2 4 3 2" xfId="1059" xr:uid="{00000000-0005-0000-0000-000083000000}"/>
    <cellStyle name="Comma 4 2 2 4 4" xfId="845" xr:uid="{00000000-0005-0000-0000-000083000000}"/>
    <cellStyle name="Comma 4 2 2 5" xfId="358" xr:uid="{00000000-0005-0000-0000-000085000000}"/>
    <cellStyle name="Comma 4 2 2 5 2" xfId="665" xr:uid="{00000000-0005-0000-0000-000085000000}"/>
    <cellStyle name="Comma 4 2 2 5 2 2" xfId="1093" xr:uid="{00000000-0005-0000-0000-000085000000}"/>
    <cellStyle name="Comma 4 2 2 5 3" xfId="879" xr:uid="{00000000-0005-0000-0000-000085000000}"/>
    <cellStyle name="Comma 4 2 2 6" xfId="407" xr:uid="{00000000-0005-0000-0000-000086000000}"/>
    <cellStyle name="Comma 4 2 2 6 2" xfId="701" xr:uid="{00000000-0005-0000-0000-000086000000}"/>
    <cellStyle name="Comma 4 2 2 6 2 2" xfId="1129" xr:uid="{00000000-0005-0000-0000-000086000000}"/>
    <cellStyle name="Comma 4 2 2 6 3" xfId="915" xr:uid="{00000000-0005-0000-0000-000086000000}"/>
    <cellStyle name="Comma 4 2 2 7" xfId="563" xr:uid="{00000000-0005-0000-0000-00007B000000}"/>
    <cellStyle name="Comma 4 2 2 7 2" xfId="991" xr:uid="{00000000-0005-0000-0000-00007B000000}"/>
    <cellStyle name="Comma 4 2 2 8" xfId="777" xr:uid="{00000000-0005-0000-0000-00007B000000}"/>
    <cellStyle name="Comma 4 2 3" xfId="266" xr:uid="{00000000-0005-0000-0000-000087000000}"/>
    <cellStyle name="Comma 4 2 3 2" xfId="300" xr:uid="{00000000-0005-0000-0000-000088000000}"/>
    <cellStyle name="Comma 4 2 3 2 2" xfId="607" xr:uid="{00000000-0005-0000-0000-000088000000}"/>
    <cellStyle name="Comma 4 2 3 2 2 2" xfId="1035" xr:uid="{00000000-0005-0000-0000-000088000000}"/>
    <cellStyle name="Comma 4 2 3 2 3" xfId="821" xr:uid="{00000000-0005-0000-0000-000088000000}"/>
    <cellStyle name="Comma 4 2 3 3" xfId="334" xr:uid="{00000000-0005-0000-0000-000089000000}"/>
    <cellStyle name="Comma 4 2 3 3 2" xfId="641" xr:uid="{00000000-0005-0000-0000-000089000000}"/>
    <cellStyle name="Comma 4 2 3 3 2 2" xfId="1069" xr:uid="{00000000-0005-0000-0000-000089000000}"/>
    <cellStyle name="Comma 4 2 3 3 3" xfId="855" xr:uid="{00000000-0005-0000-0000-000089000000}"/>
    <cellStyle name="Comma 4 2 3 4" xfId="368" xr:uid="{00000000-0005-0000-0000-00008A000000}"/>
    <cellStyle name="Comma 4 2 3 4 2" xfId="675" xr:uid="{00000000-0005-0000-0000-00008A000000}"/>
    <cellStyle name="Comma 4 2 3 4 2 2" xfId="1103" xr:uid="{00000000-0005-0000-0000-00008A000000}"/>
    <cellStyle name="Comma 4 2 3 4 3" xfId="889" xr:uid="{00000000-0005-0000-0000-00008A000000}"/>
    <cellStyle name="Comma 4 2 3 5" xfId="434" xr:uid="{00000000-0005-0000-0000-00008B000000}"/>
    <cellStyle name="Comma 4 2 3 5 2" xfId="713" xr:uid="{00000000-0005-0000-0000-00008B000000}"/>
    <cellStyle name="Comma 4 2 3 5 2 2" xfId="1141" xr:uid="{00000000-0005-0000-0000-00008B000000}"/>
    <cellStyle name="Comma 4 2 3 5 3" xfId="927" xr:uid="{00000000-0005-0000-0000-00008B000000}"/>
    <cellStyle name="Comma 4 2 3 6" xfId="573" xr:uid="{00000000-0005-0000-0000-000087000000}"/>
    <cellStyle name="Comma 4 2 3 6 2" xfId="1001" xr:uid="{00000000-0005-0000-0000-000087000000}"/>
    <cellStyle name="Comma 4 2 3 7" xfId="787" xr:uid="{00000000-0005-0000-0000-000087000000}"/>
    <cellStyle name="Comma 4 2 4" xfId="283" xr:uid="{00000000-0005-0000-0000-00008C000000}"/>
    <cellStyle name="Comma 4 2 4 2" xfId="456" xr:uid="{00000000-0005-0000-0000-00008D000000}"/>
    <cellStyle name="Comma 4 2 4 2 2" xfId="732" xr:uid="{00000000-0005-0000-0000-00008D000000}"/>
    <cellStyle name="Comma 4 2 4 2 2 2" xfId="1160" xr:uid="{00000000-0005-0000-0000-00008D000000}"/>
    <cellStyle name="Comma 4 2 4 2 3" xfId="946" xr:uid="{00000000-0005-0000-0000-00008D000000}"/>
    <cellStyle name="Comma 4 2 4 3" xfId="590" xr:uid="{00000000-0005-0000-0000-00008C000000}"/>
    <cellStyle name="Comma 4 2 4 3 2" xfId="1018" xr:uid="{00000000-0005-0000-0000-00008C000000}"/>
    <cellStyle name="Comma 4 2 4 4" xfId="804" xr:uid="{00000000-0005-0000-0000-00008C000000}"/>
    <cellStyle name="Comma 4 2 5" xfId="317" xr:uid="{00000000-0005-0000-0000-00008E000000}"/>
    <cellStyle name="Comma 4 2 5 2" xfId="479" xr:uid="{00000000-0005-0000-0000-00008F000000}"/>
    <cellStyle name="Comma 4 2 5 2 2" xfId="751" xr:uid="{00000000-0005-0000-0000-00008F000000}"/>
    <cellStyle name="Comma 4 2 5 2 2 2" xfId="1179" xr:uid="{00000000-0005-0000-0000-00008F000000}"/>
    <cellStyle name="Comma 4 2 5 2 3" xfId="965" xr:uid="{00000000-0005-0000-0000-00008F000000}"/>
    <cellStyle name="Comma 4 2 5 3" xfId="624" xr:uid="{00000000-0005-0000-0000-00008E000000}"/>
    <cellStyle name="Comma 4 2 5 3 2" xfId="1052" xr:uid="{00000000-0005-0000-0000-00008E000000}"/>
    <cellStyle name="Comma 4 2 5 4" xfId="838" xr:uid="{00000000-0005-0000-0000-00008E000000}"/>
    <cellStyle name="Comma 4 2 6" xfId="351" xr:uid="{00000000-0005-0000-0000-000090000000}"/>
    <cellStyle name="Comma 4 2 6 2" xfId="658" xr:uid="{00000000-0005-0000-0000-000090000000}"/>
    <cellStyle name="Comma 4 2 6 2 2" xfId="1086" xr:uid="{00000000-0005-0000-0000-000090000000}"/>
    <cellStyle name="Comma 4 2 6 3" xfId="872" xr:uid="{00000000-0005-0000-0000-000090000000}"/>
    <cellStyle name="Comma 4 2 7" xfId="388" xr:uid="{00000000-0005-0000-0000-000091000000}"/>
    <cellStyle name="Comma 4 2 7 2" xfId="694" xr:uid="{00000000-0005-0000-0000-000091000000}"/>
    <cellStyle name="Comma 4 2 7 2 2" xfId="1122" xr:uid="{00000000-0005-0000-0000-000091000000}"/>
    <cellStyle name="Comma 4 2 7 3" xfId="908" xr:uid="{00000000-0005-0000-0000-000091000000}"/>
    <cellStyle name="Comma 4 2 8" xfId="556" xr:uid="{00000000-0005-0000-0000-00007A000000}"/>
    <cellStyle name="Comma 4 2 8 2" xfId="984" xr:uid="{00000000-0005-0000-0000-00007A000000}"/>
    <cellStyle name="Comma 4 2 9" xfId="770" xr:uid="{00000000-0005-0000-0000-00007A000000}"/>
    <cellStyle name="Comma 4 3" xfId="222" xr:uid="{00000000-0005-0000-0000-000092000000}"/>
    <cellStyle name="Comma 4 3 2" xfId="272" xr:uid="{00000000-0005-0000-0000-000093000000}"/>
    <cellStyle name="Comma 4 3 2 2" xfId="306" xr:uid="{00000000-0005-0000-0000-000094000000}"/>
    <cellStyle name="Comma 4 3 2 2 2" xfId="613" xr:uid="{00000000-0005-0000-0000-000094000000}"/>
    <cellStyle name="Comma 4 3 2 2 2 2" xfId="1041" xr:uid="{00000000-0005-0000-0000-000094000000}"/>
    <cellStyle name="Comma 4 3 2 2 3" xfId="827" xr:uid="{00000000-0005-0000-0000-000094000000}"/>
    <cellStyle name="Comma 4 3 2 3" xfId="340" xr:uid="{00000000-0005-0000-0000-000095000000}"/>
    <cellStyle name="Comma 4 3 2 3 2" xfId="647" xr:uid="{00000000-0005-0000-0000-000095000000}"/>
    <cellStyle name="Comma 4 3 2 3 2 2" xfId="1075" xr:uid="{00000000-0005-0000-0000-000095000000}"/>
    <cellStyle name="Comma 4 3 2 3 3" xfId="861" xr:uid="{00000000-0005-0000-0000-000095000000}"/>
    <cellStyle name="Comma 4 3 2 4" xfId="374" xr:uid="{00000000-0005-0000-0000-000096000000}"/>
    <cellStyle name="Comma 4 3 2 4 2" xfId="681" xr:uid="{00000000-0005-0000-0000-000096000000}"/>
    <cellStyle name="Comma 4 3 2 4 2 2" xfId="1109" xr:uid="{00000000-0005-0000-0000-000096000000}"/>
    <cellStyle name="Comma 4 3 2 4 3" xfId="895" xr:uid="{00000000-0005-0000-0000-000096000000}"/>
    <cellStyle name="Comma 4 3 2 5" xfId="440" xr:uid="{00000000-0005-0000-0000-000097000000}"/>
    <cellStyle name="Comma 4 3 2 5 2" xfId="719" xr:uid="{00000000-0005-0000-0000-000097000000}"/>
    <cellStyle name="Comma 4 3 2 5 2 2" xfId="1147" xr:uid="{00000000-0005-0000-0000-000097000000}"/>
    <cellStyle name="Comma 4 3 2 5 3" xfId="933" xr:uid="{00000000-0005-0000-0000-000097000000}"/>
    <cellStyle name="Comma 4 3 2 6" xfId="579" xr:uid="{00000000-0005-0000-0000-000093000000}"/>
    <cellStyle name="Comma 4 3 2 6 2" xfId="1007" xr:uid="{00000000-0005-0000-0000-000093000000}"/>
    <cellStyle name="Comma 4 3 2 7" xfId="793" xr:uid="{00000000-0005-0000-0000-000093000000}"/>
    <cellStyle name="Comma 4 3 3" xfId="289" xr:uid="{00000000-0005-0000-0000-000098000000}"/>
    <cellStyle name="Comma 4 3 3 2" xfId="462" xr:uid="{00000000-0005-0000-0000-000099000000}"/>
    <cellStyle name="Comma 4 3 3 2 2" xfId="738" xr:uid="{00000000-0005-0000-0000-000099000000}"/>
    <cellStyle name="Comma 4 3 3 2 2 2" xfId="1166" xr:uid="{00000000-0005-0000-0000-000099000000}"/>
    <cellStyle name="Comma 4 3 3 2 3" xfId="952" xr:uid="{00000000-0005-0000-0000-000099000000}"/>
    <cellStyle name="Comma 4 3 3 3" xfId="596" xr:uid="{00000000-0005-0000-0000-000098000000}"/>
    <cellStyle name="Comma 4 3 3 3 2" xfId="1024" xr:uid="{00000000-0005-0000-0000-000098000000}"/>
    <cellStyle name="Comma 4 3 3 4" xfId="810" xr:uid="{00000000-0005-0000-0000-000098000000}"/>
    <cellStyle name="Comma 4 3 4" xfId="323" xr:uid="{00000000-0005-0000-0000-00009A000000}"/>
    <cellStyle name="Comma 4 3 4 2" xfId="481" xr:uid="{00000000-0005-0000-0000-00009B000000}"/>
    <cellStyle name="Comma 4 3 4 2 2" xfId="753" xr:uid="{00000000-0005-0000-0000-00009B000000}"/>
    <cellStyle name="Comma 4 3 4 2 2 2" xfId="1181" xr:uid="{00000000-0005-0000-0000-00009B000000}"/>
    <cellStyle name="Comma 4 3 4 2 3" xfId="967" xr:uid="{00000000-0005-0000-0000-00009B000000}"/>
    <cellStyle name="Comma 4 3 4 3" xfId="630" xr:uid="{00000000-0005-0000-0000-00009A000000}"/>
    <cellStyle name="Comma 4 3 4 3 2" xfId="1058" xr:uid="{00000000-0005-0000-0000-00009A000000}"/>
    <cellStyle name="Comma 4 3 4 4" xfId="844" xr:uid="{00000000-0005-0000-0000-00009A000000}"/>
    <cellStyle name="Comma 4 3 5" xfId="357" xr:uid="{00000000-0005-0000-0000-00009C000000}"/>
    <cellStyle name="Comma 4 3 5 2" xfId="664" xr:uid="{00000000-0005-0000-0000-00009C000000}"/>
    <cellStyle name="Comma 4 3 5 2 2" xfId="1092" xr:uid="{00000000-0005-0000-0000-00009C000000}"/>
    <cellStyle name="Comma 4 3 5 3" xfId="878" xr:uid="{00000000-0005-0000-0000-00009C000000}"/>
    <cellStyle name="Comma 4 3 6" xfId="406" xr:uid="{00000000-0005-0000-0000-00009D000000}"/>
    <cellStyle name="Comma 4 3 6 2" xfId="700" xr:uid="{00000000-0005-0000-0000-00009D000000}"/>
    <cellStyle name="Comma 4 3 6 2 2" xfId="1128" xr:uid="{00000000-0005-0000-0000-00009D000000}"/>
    <cellStyle name="Comma 4 3 6 3" xfId="914" xr:uid="{00000000-0005-0000-0000-00009D000000}"/>
    <cellStyle name="Comma 4 3 7" xfId="562" xr:uid="{00000000-0005-0000-0000-000092000000}"/>
    <cellStyle name="Comma 4 3 7 2" xfId="990" xr:uid="{00000000-0005-0000-0000-000092000000}"/>
    <cellStyle name="Comma 4 3 8" xfId="776" xr:uid="{00000000-0005-0000-0000-000092000000}"/>
    <cellStyle name="Comma 4 4" xfId="265" xr:uid="{00000000-0005-0000-0000-00009E000000}"/>
    <cellStyle name="Comma 4 4 2" xfId="299" xr:uid="{00000000-0005-0000-0000-00009F000000}"/>
    <cellStyle name="Comma 4 4 2 2" xfId="606" xr:uid="{00000000-0005-0000-0000-00009F000000}"/>
    <cellStyle name="Comma 4 4 2 2 2" xfId="1034" xr:uid="{00000000-0005-0000-0000-00009F000000}"/>
    <cellStyle name="Comma 4 4 2 3" xfId="820" xr:uid="{00000000-0005-0000-0000-00009F000000}"/>
    <cellStyle name="Comma 4 4 3" xfId="333" xr:uid="{00000000-0005-0000-0000-0000A0000000}"/>
    <cellStyle name="Comma 4 4 3 2" xfId="640" xr:uid="{00000000-0005-0000-0000-0000A0000000}"/>
    <cellStyle name="Comma 4 4 3 2 2" xfId="1068" xr:uid="{00000000-0005-0000-0000-0000A0000000}"/>
    <cellStyle name="Comma 4 4 3 3" xfId="854" xr:uid="{00000000-0005-0000-0000-0000A0000000}"/>
    <cellStyle name="Comma 4 4 4" xfId="367" xr:uid="{00000000-0005-0000-0000-0000A1000000}"/>
    <cellStyle name="Comma 4 4 4 2" xfId="674" xr:uid="{00000000-0005-0000-0000-0000A1000000}"/>
    <cellStyle name="Comma 4 4 4 2 2" xfId="1102" xr:uid="{00000000-0005-0000-0000-0000A1000000}"/>
    <cellStyle name="Comma 4 4 4 3" xfId="888" xr:uid="{00000000-0005-0000-0000-0000A1000000}"/>
    <cellStyle name="Comma 4 4 5" xfId="433" xr:uid="{00000000-0005-0000-0000-0000A2000000}"/>
    <cellStyle name="Comma 4 4 5 2" xfId="712" xr:uid="{00000000-0005-0000-0000-0000A2000000}"/>
    <cellStyle name="Comma 4 4 5 2 2" xfId="1140" xr:uid="{00000000-0005-0000-0000-0000A2000000}"/>
    <cellStyle name="Comma 4 4 5 3" xfId="926" xr:uid="{00000000-0005-0000-0000-0000A2000000}"/>
    <cellStyle name="Comma 4 4 6" xfId="572" xr:uid="{00000000-0005-0000-0000-00009E000000}"/>
    <cellStyle name="Comma 4 4 6 2" xfId="1000" xr:uid="{00000000-0005-0000-0000-00009E000000}"/>
    <cellStyle name="Comma 4 4 7" xfId="786" xr:uid="{00000000-0005-0000-0000-00009E000000}"/>
    <cellStyle name="Comma 4 5" xfId="282" xr:uid="{00000000-0005-0000-0000-0000A3000000}"/>
    <cellStyle name="Comma 4 5 2" xfId="455" xr:uid="{00000000-0005-0000-0000-0000A4000000}"/>
    <cellStyle name="Comma 4 5 2 2" xfId="731" xr:uid="{00000000-0005-0000-0000-0000A4000000}"/>
    <cellStyle name="Comma 4 5 2 2 2" xfId="1159" xr:uid="{00000000-0005-0000-0000-0000A4000000}"/>
    <cellStyle name="Comma 4 5 2 3" xfId="945" xr:uid="{00000000-0005-0000-0000-0000A4000000}"/>
    <cellStyle name="Comma 4 5 3" xfId="589" xr:uid="{00000000-0005-0000-0000-0000A3000000}"/>
    <cellStyle name="Comma 4 5 3 2" xfId="1017" xr:uid="{00000000-0005-0000-0000-0000A3000000}"/>
    <cellStyle name="Comma 4 5 4" xfId="803" xr:uid="{00000000-0005-0000-0000-0000A3000000}"/>
    <cellStyle name="Comma 4 6" xfId="316" xr:uid="{00000000-0005-0000-0000-0000A5000000}"/>
    <cellStyle name="Comma 4 6 2" xfId="478" xr:uid="{00000000-0005-0000-0000-0000A6000000}"/>
    <cellStyle name="Comma 4 6 2 2" xfId="750" xr:uid="{00000000-0005-0000-0000-0000A6000000}"/>
    <cellStyle name="Comma 4 6 2 2 2" xfId="1178" xr:uid="{00000000-0005-0000-0000-0000A6000000}"/>
    <cellStyle name="Comma 4 6 2 3" xfId="964" xr:uid="{00000000-0005-0000-0000-0000A6000000}"/>
    <cellStyle name="Comma 4 6 3" xfId="623" xr:uid="{00000000-0005-0000-0000-0000A5000000}"/>
    <cellStyle name="Comma 4 6 3 2" xfId="1051" xr:uid="{00000000-0005-0000-0000-0000A5000000}"/>
    <cellStyle name="Comma 4 6 4" xfId="837" xr:uid="{00000000-0005-0000-0000-0000A5000000}"/>
    <cellStyle name="Comma 4 7" xfId="350" xr:uid="{00000000-0005-0000-0000-0000A7000000}"/>
    <cellStyle name="Comma 4 7 2" xfId="657" xr:uid="{00000000-0005-0000-0000-0000A7000000}"/>
    <cellStyle name="Comma 4 7 2 2" xfId="1085" xr:uid="{00000000-0005-0000-0000-0000A7000000}"/>
    <cellStyle name="Comma 4 7 3" xfId="871" xr:uid="{00000000-0005-0000-0000-0000A7000000}"/>
    <cellStyle name="Comma 4 8" xfId="387" xr:uid="{00000000-0005-0000-0000-0000A8000000}"/>
    <cellStyle name="Comma 4 8 2" xfId="693" xr:uid="{00000000-0005-0000-0000-0000A8000000}"/>
    <cellStyle name="Comma 4 8 2 2" xfId="1121" xr:uid="{00000000-0005-0000-0000-0000A8000000}"/>
    <cellStyle name="Comma 4 8 3" xfId="907" xr:uid="{00000000-0005-0000-0000-0000A8000000}"/>
    <cellStyle name="Comma 4 9" xfId="555" xr:uid="{00000000-0005-0000-0000-000079000000}"/>
    <cellStyle name="Comma 4 9 2" xfId="983" xr:uid="{00000000-0005-0000-0000-000079000000}"/>
    <cellStyle name="Comma 5" xfId="117" xr:uid="{00000000-0005-0000-0000-0000A9000000}"/>
    <cellStyle name="Comma 5 10" xfId="771" xr:uid="{00000000-0005-0000-0000-0000A9000000}"/>
    <cellStyle name="Comma 5 2" xfId="118" xr:uid="{00000000-0005-0000-0000-0000AA000000}"/>
    <cellStyle name="Comma 5 2 2" xfId="225" xr:uid="{00000000-0005-0000-0000-0000AB000000}"/>
    <cellStyle name="Comma 5 2 2 2" xfId="275" xr:uid="{00000000-0005-0000-0000-0000AC000000}"/>
    <cellStyle name="Comma 5 2 2 2 2" xfId="309" xr:uid="{00000000-0005-0000-0000-0000AD000000}"/>
    <cellStyle name="Comma 5 2 2 2 2 2" xfId="616" xr:uid="{00000000-0005-0000-0000-0000AD000000}"/>
    <cellStyle name="Comma 5 2 2 2 2 2 2" xfId="1044" xr:uid="{00000000-0005-0000-0000-0000AD000000}"/>
    <cellStyle name="Comma 5 2 2 2 2 3" xfId="830" xr:uid="{00000000-0005-0000-0000-0000AD000000}"/>
    <cellStyle name="Comma 5 2 2 2 3" xfId="343" xr:uid="{00000000-0005-0000-0000-0000AE000000}"/>
    <cellStyle name="Comma 5 2 2 2 3 2" xfId="650" xr:uid="{00000000-0005-0000-0000-0000AE000000}"/>
    <cellStyle name="Comma 5 2 2 2 3 2 2" xfId="1078" xr:uid="{00000000-0005-0000-0000-0000AE000000}"/>
    <cellStyle name="Comma 5 2 2 2 3 3" xfId="864" xr:uid="{00000000-0005-0000-0000-0000AE000000}"/>
    <cellStyle name="Comma 5 2 2 2 4" xfId="377" xr:uid="{00000000-0005-0000-0000-0000AF000000}"/>
    <cellStyle name="Comma 5 2 2 2 4 2" xfId="684" xr:uid="{00000000-0005-0000-0000-0000AF000000}"/>
    <cellStyle name="Comma 5 2 2 2 4 2 2" xfId="1112" xr:uid="{00000000-0005-0000-0000-0000AF000000}"/>
    <cellStyle name="Comma 5 2 2 2 4 3" xfId="898" xr:uid="{00000000-0005-0000-0000-0000AF000000}"/>
    <cellStyle name="Comma 5 2 2 2 5" xfId="443" xr:uid="{00000000-0005-0000-0000-0000B0000000}"/>
    <cellStyle name="Comma 5 2 2 2 5 2" xfId="722" xr:uid="{00000000-0005-0000-0000-0000B0000000}"/>
    <cellStyle name="Comma 5 2 2 2 5 2 2" xfId="1150" xr:uid="{00000000-0005-0000-0000-0000B0000000}"/>
    <cellStyle name="Comma 5 2 2 2 5 3" xfId="936" xr:uid="{00000000-0005-0000-0000-0000B0000000}"/>
    <cellStyle name="Comma 5 2 2 2 6" xfId="582" xr:uid="{00000000-0005-0000-0000-0000AC000000}"/>
    <cellStyle name="Comma 5 2 2 2 6 2" xfId="1010" xr:uid="{00000000-0005-0000-0000-0000AC000000}"/>
    <cellStyle name="Comma 5 2 2 2 7" xfId="796" xr:uid="{00000000-0005-0000-0000-0000AC000000}"/>
    <cellStyle name="Comma 5 2 2 3" xfId="292" xr:uid="{00000000-0005-0000-0000-0000B1000000}"/>
    <cellStyle name="Comma 5 2 2 3 2" xfId="465" xr:uid="{00000000-0005-0000-0000-0000B2000000}"/>
    <cellStyle name="Comma 5 2 2 3 2 2" xfId="741" xr:uid="{00000000-0005-0000-0000-0000B2000000}"/>
    <cellStyle name="Comma 5 2 2 3 2 2 2" xfId="1169" xr:uid="{00000000-0005-0000-0000-0000B2000000}"/>
    <cellStyle name="Comma 5 2 2 3 2 3" xfId="955" xr:uid="{00000000-0005-0000-0000-0000B2000000}"/>
    <cellStyle name="Comma 5 2 2 3 3" xfId="599" xr:uid="{00000000-0005-0000-0000-0000B1000000}"/>
    <cellStyle name="Comma 5 2 2 3 3 2" xfId="1027" xr:uid="{00000000-0005-0000-0000-0000B1000000}"/>
    <cellStyle name="Comma 5 2 2 3 4" xfId="813" xr:uid="{00000000-0005-0000-0000-0000B1000000}"/>
    <cellStyle name="Comma 5 2 2 4" xfId="326" xr:uid="{00000000-0005-0000-0000-0000B3000000}"/>
    <cellStyle name="Comma 5 2 2 4 2" xfId="484" xr:uid="{00000000-0005-0000-0000-0000B4000000}"/>
    <cellStyle name="Comma 5 2 2 4 2 2" xfId="756" xr:uid="{00000000-0005-0000-0000-0000B4000000}"/>
    <cellStyle name="Comma 5 2 2 4 2 2 2" xfId="1184" xr:uid="{00000000-0005-0000-0000-0000B4000000}"/>
    <cellStyle name="Comma 5 2 2 4 2 3" xfId="970" xr:uid="{00000000-0005-0000-0000-0000B4000000}"/>
    <cellStyle name="Comma 5 2 2 4 3" xfId="633" xr:uid="{00000000-0005-0000-0000-0000B3000000}"/>
    <cellStyle name="Comma 5 2 2 4 3 2" xfId="1061" xr:uid="{00000000-0005-0000-0000-0000B3000000}"/>
    <cellStyle name="Comma 5 2 2 4 4" xfId="847" xr:uid="{00000000-0005-0000-0000-0000B3000000}"/>
    <cellStyle name="Comma 5 2 2 5" xfId="360" xr:uid="{00000000-0005-0000-0000-0000B5000000}"/>
    <cellStyle name="Comma 5 2 2 5 2" xfId="667" xr:uid="{00000000-0005-0000-0000-0000B5000000}"/>
    <cellStyle name="Comma 5 2 2 5 2 2" xfId="1095" xr:uid="{00000000-0005-0000-0000-0000B5000000}"/>
    <cellStyle name="Comma 5 2 2 5 3" xfId="881" xr:uid="{00000000-0005-0000-0000-0000B5000000}"/>
    <cellStyle name="Comma 5 2 2 6" xfId="409" xr:uid="{00000000-0005-0000-0000-0000B6000000}"/>
    <cellStyle name="Comma 5 2 2 6 2" xfId="703" xr:uid="{00000000-0005-0000-0000-0000B6000000}"/>
    <cellStyle name="Comma 5 2 2 6 2 2" xfId="1131" xr:uid="{00000000-0005-0000-0000-0000B6000000}"/>
    <cellStyle name="Comma 5 2 2 6 3" xfId="917" xr:uid="{00000000-0005-0000-0000-0000B6000000}"/>
    <cellStyle name="Comma 5 2 2 7" xfId="565" xr:uid="{00000000-0005-0000-0000-0000AB000000}"/>
    <cellStyle name="Comma 5 2 2 7 2" xfId="993" xr:uid="{00000000-0005-0000-0000-0000AB000000}"/>
    <cellStyle name="Comma 5 2 2 8" xfId="779" xr:uid="{00000000-0005-0000-0000-0000AB000000}"/>
    <cellStyle name="Comma 5 2 3" xfId="268" xr:uid="{00000000-0005-0000-0000-0000B7000000}"/>
    <cellStyle name="Comma 5 2 3 2" xfId="302" xr:uid="{00000000-0005-0000-0000-0000B8000000}"/>
    <cellStyle name="Comma 5 2 3 2 2" xfId="609" xr:uid="{00000000-0005-0000-0000-0000B8000000}"/>
    <cellStyle name="Comma 5 2 3 2 2 2" xfId="1037" xr:uid="{00000000-0005-0000-0000-0000B8000000}"/>
    <cellStyle name="Comma 5 2 3 2 3" xfId="823" xr:uid="{00000000-0005-0000-0000-0000B8000000}"/>
    <cellStyle name="Comma 5 2 3 3" xfId="336" xr:uid="{00000000-0005-0000-0000-0000B9000000}"/>
    <cellStyle name="Comma 5 2 3 3 2" xfId="643" xr:uid="{00000000-0005-0000-0000-0000B9000000}"/>
    <cellStyle name="Comma 5 2 3 3 2 2" xfId="1071" xr:uid="{00000000-0005-0000-0000-0000B9000000}"/>
    <cellStyle name="Comma 5 2 3 3 3" xfId="857" xr:uid="{00000000-0005-0000-0000-0000B9000000}"/>
    <cellStyle name="Comma 5 2 3 4" xfId="370" xr:uid="{00000000-0005-0000-0000-0000BA000000}"/>
    <cellStyle name="Comma 5 2 3 4 2" xfId="677" xr:uid="{00000000-0005-0000-0000-0000BA000000}"/>
    <cellStyle name="Comma 5 2 3 4 2 2" xfId="1105" xr:uid="{00000000-0005-0000-0000-0000BA000000}"/>
    <cellStyle name="Comma 5 2 3 4 3" xfId="891" xr:uid="{00000000-0005-0000-0000-0000BA000000}"/>
    <cellStyle name="Comma 5 2 3 5" xfId="436" xr:uid="{00000000-0005-0000-0000-0000BB000000}"/>
    <cellStyle name="Comma 5 2 3 5 2" xfId="715" xr:uid="{00000000-0005-0000-0000-0000BB000000}"/>
    <cellStyle name="Comma 5 2 3 5 2 2" xfId="1143" xr:uid="{00000000-0005-0000-0000-0000BB000000}"/>
    <cellStyle name="Comma 5 2 3 5 3" xfId="929" xr:uid="{00000000-0005-0000-0000-0000BB000000}"/>
    <cellStyle name="Comma 5 2 3 6" xfId="575" xr:uid="{00000000-0005-0000-0000-0000B7000000}"/>
    <cellStyle name="Comma 5 2 3 6 2" xfId="1003" xr:uid="{00000000-0005-0000-0000-0000B7000000}"/>
    <cellStyle name="Comma 5 2 3 7" xfId="789" xr:uid="{00000000-0005-0000-0000-0000B7000000}"/>
    <cellStyle name="Comma 5 2 4" xfId="285" xr:uid="{00000000-0005-0000-0000-0000BC000000}"/>
    <cellStyle name="Comma 5 2 4 2" xfId="458" xr:uid="{00000000-0005-0000-0000-0000BD000000}"/>
    <cellStyle name="Comma 5 2 4 2 2" xfId="734" xr:uid="{00000000-0005-0000-0000-0000BD000000}"/>
    <cellStyle name="Comma 5 2 4 2 2 2" xfId="1162" xr:uid="{00000000-0005-0000-0000-0000BD000000}"/>
    <cellStyle name="Comma 5 2 4 2 3" xfId="948" xr:uid="{00000000-0005-0000-0000-0000BD000000}"/>
    <cellStyle name="Comma 5 2 4 3" xfId="592" xr:uid="{00000000-0005-0000-0000-0000BC000000}"/>
    <cellStyle name="Comma 5 2 4 3 2" xfId="1020" xr:uid="{00000000-0005-0000-0000-0000BC000000}"/>
    <cellStyle name="Comma 5 2 4 4" xfId="806" xr:uid="{00000000-0005-0000-0000-0000BC000000}"/>
    <cellStyle name="Comma 5 2 5" xfId="319" xr:uid="{00000000-0005-0000-0000-0000BE000000}"/>
    <cellStyle name="Comma 5 2 5 2" xfId="483" xr:uid="{00000000-0005-0000-0000-0000BF000000}"/>
    <cellStyle name="Comma 5 2 5 2 2" xfId="755" xr:uid="{00000000-0005-0000-0000-0000BF000000}"/>
    <cellStyle name="Comma 5 2 5 2 2 2" xfId="1183" xr:uid="{00000000-0005-0000-0000-0000BF000000}"/>
    <cellStyle name="Comma 5 2 5 2 3" xfId="969" xr:uid="{00000000-0005-0000-0000-0000BF000000}"/>
    <cellStyle name="Comma 5 2 5 3" xfId="626" xr:uid="{00000000-0005-0000-0000-0000BE000000}"/>
    <cellStyle name="Comma 5 2 5 3 2" xfId="1054" xr:uid="{00000000-0005-0000-0000-0000BE000000}"/>
    <cellStyle name="Comma 5 2 5 4" xfId="840" xr:uid="{00000000-0005-0000-0000-0000BE000000}"/>
    <cellStyle name="Comma 5 2 6" xfId="353" xr:uid="{00000000-0005-0000-0000-0000C0000000}"/>
    <cellStyle name="Comma 5 2 6 2" xfId="660" xr:uid="{00000000-0005-0000-0000-0000C0000000}"/>
    <cellStyle name="Comma 5 2 6 2 2" xfId="1088" xr:uid="{00000000-0005-0000-0000-0000C0000000}"/>
    <cellStyle name="Comma 5 2 6 3" xfId="874" xr:uid="{00000000-0005-0000-0000-0000C0000000}"/>
    <cellStyle name="Comma 5 2 7" xfId="390" xr:uid="{00000000-0005-0000-0000-0000C1000000}"/>
    <cellStyle name="Comma 5 2 7 2" xfId="696" xr:uid="{00000000-0005-0000-0000-0000C1000000}"/>
    <cellStyle name="Comma 5 2 7 2 2" xfId="1124" xr:uid="{00000000-0005-0000-0000-0000C1000000}"/>
    <cellStyle name="Comma 5 2 7 3" xfId="910" xr:uid="{00000000-0005-0000-0000-0000C1000000}"/>
    <cellStyle name="Comma 5 2 8" xfId="558" xr:uid="{00000000-0005-0000-0000-0000AA000000}"/>
    <cellStyle name="Comma 5 2 8 2" xfId="986" xr:uid="{00000000-0005-0000-0000-0000AA000000}"/>
    <cellStyle name="Comma 5 2 9" xfId="772" xr:uid="{00000000-0005-0000-0000-0000AA000000}"/>
    <cellStyle name="Comma 5 3" xfId="224" xr:uid="{00000000-0005-0000-0000-0000C2000000}"/>
    <cellStyle name="Comma 5 3 2" xfId="274" xr:uid="{00000000-0005-0000-0000-0000C3000000}"/>
    <cellStyle name="Comma 5 3 2 2" xfId="308" xr:uid="{00000000-0005-0000-0000-0000C4000000}"/>
    <cellStyle name="Comma 5 3 2 2 2" xfId="615" xr:uid="{00000000-0005-0000-0000-0000C4000000}"/>
    <cellStyle name="Comma 5 3 2 2 2 2" xfId="1043" xr:uid="{00000000-0005-0000-0000-0000C4000000}"/>
    <cellStyle name="Comma 5 3 2 2 3" xfId="829" xr:uid="{00000000-0005-0000-0000-0000C4000000}"/>
    <cellStyle name="Comma 5 3 2 3" xfId="342" xr:uid="{00000000-0005-0000-0000-0000C5000000}"/>
    <cellStyle name="Comma 5 3 2 3 2" xfId="649" xr:uid="{00000000-0005-0000-0000-0000C5000000}"/>
    <cellStyle name="Comma 5 3 2 3 2 2" xfId="1077" xr:uid="{00000000-0005-0000-0000-0000C5000000}"/>
    <cellStyle name="Comma 5 3 2 3 3" xfId="863" xr:uid="{00000000-0005-0000-0000-0000C5000000}"/>
    <cellStyle name="Comma 5 3 2 4" xfId="376" xr:uid="{00000000-0005-0000-0000-0000C6000000}"/>
    <cellStyle name="Comma 5 3 2 4 2" xfId="683" xr:uid="{00000000-0005-0000-0000-0000C6000000}"/>
    <cellStyle name="Comma 5 3 2 4 2 2" xfId="1111" xr:uid="{00000000-0005-0000-0000-0000C6000000}"/>
    <cellStyle name="Comma 5 3 2 4 3" xfId="897" xr:uid="{00000000-0005-0000-0000-0000C6000000}"/>
    <cellStyle name="Comma 5 3 2 5" xfId="442" xr:uid="{00000000-0005-0000-0000-0000C7000000}"/>
    <cellStyle name="Comma 5 3 2 5 2" xfId="721" xr:uid="{00000000-0005-0000-0000-0000C7000000}"/>
    <cellStyle name="Comma 5 3 2 5 2 2" xfId="1149" xr:uid="{00000000-0005-0000-0000-0000C7000000}"/>
    <cellStyle name="Comma 5 3 2 5 3" xfId="935" xr:uid="{00000000-0005-0000-0000-0000C7000000}"/>
    <cellStyle name="Comma 5 3 2 6" xfId="581" xr:uid="{00000000-0005-0000-0000-0000C3000000}"/>
    <cellStyle name="Comma 5 3 2 6 2" xfId="1009" xr:uid="{00000000-0005-0000-0000-0000C3000000}"/>
    <cellStyle name="Comma 5 3 2 7" xfId="795" xr:uid="{00000000-0005-0000-0000-0000C3000000}"/>
    <cellStyle name="Comma 5 3 3" xfId="291" xr:uid="{00000000-0005-0000-0000-0000C8000000}"/>
    <cellStyle name="Comma 5 3 3 2" xfId="464" xr:uid="{00000000-0005-0000-0000-0000C9000000}"/>
    <cellStyle name="Comma 5 3 3 2 2" xfId="740" xr:uid="{00000000-0005-0000-0000-0000C9000000}"/>
    <cellStyle name="Comma 5 3 3 2 2 2" xfId="1168" xr:uid="{00000000-0005-0000-0000-0000C9000000}"/>
    <cellStyle name="Comma 5 3 3 2 3" xfId="954" xr:uid="{00000000-0005-0000-0000-0000C9000000}"/>
    <cellStyle name="Comma 5 3 3 3" xfId="598" xr:uid="{00000000-0005-0000-0000-0000C8000000}"/>
    <cellStyle name="Comma 5 3 3 3 2" xfId="1026" xr:uid="{00000000-0005-0000-0000-0000C8000000}"/>
    <cellStyle name="Comma 5 3 3 4" xfId="812" xr:uid="{00000000-0005-0000-0000-0000C8000000}"/>
    <cellStyle name="Comma 5 3 4" xfId="325" xr:uid="{00000000-0005-0000-0000-0000CA000000}"/>
    <cellStyle name="Comma 5 3 4 2" xfId="485" xr:uid="{00000000-0005-0000-0000-0000CB000000}"/>
    <cellStyle name="Comma 5 3 4 2 2" xfId="757" xr:uid="{00000000-0005-0000-0000-0000CB000000}"/>
    <cellStyle name="Comma 5 3 4 2 2 2" xfId="1185" xr:uid="{00000000-0005-0000-0000-0000CB000000}"/>
    <cellStyle name="Comma 5 3 4 2 3" xfId="971" xr:uid="{00000000-0005-0000-0000-0000CB000000}"/>
    <cellStyle name="Comma 5 3 4 3" xfId="632" xr:uid="{00000000-0005-0000-0000-0000CA000000}"/>
    <cellStyle name="Comma 5 3 4 3 2" xfId="1060" xr:uid="{00000000-0005-0000-0000-0000CA000000}"/>
    <cellStyle name="Comma 5 3 4 4" xfId="846" xr:uid="{00000000-0005-0000-0000-0000CA000000}"/>
    <cellStyle name="Comma 5 3 5" xfId="359" xr:uid="{00000000-0005-0000-0000-0000CC000000}"/>
    <cellStyle name="Comma 5 3 5 2" xfId="666" xr:uid="{00000000-0005-0000-0000-0000CC000000}"/>
    <cellStyle name="Comma 5 3 5 2 2" xfId="1094" xr:uid="{00000000-0005-0000-0000-0000CC000000}"/>
    <cellStyle name="Comma 5 3 5 3" xfId="880" xr:uid="{00000000-0005-0000-0000-0000CC000000}"/>
    <cellStyle name="Comma 5 3 6" xfId="408" xr:uid="{00000000-0005-0000-0000-0000CD000000}"/>
    <cellStyle name="Comma 5 3 6 2" xfId="702" xr:uid="{00000000-0005-0000-0000-0000CD000000}"/>
    <cellStyle name="Comma 5 3 6 2 2" xfId="1130" xr:uid="{00000000-0005-0000-0000-0000CD000000}"/>
    <cellStyle name="Comma 5 3 6 3" xfId="916" xr:uid="{00000000-0005-0000-0000-0000CD000000}"/>
    <cellStyle name="Comma 5 3 7" xfId="564" xr:uid="{00000000-0005-0000-0000-0000C2000000}"/>
    <cellStyle name="Comma 5 3 7 2" xfId="992" xr:uid="{00000000-0005-0000-0000-0000C2000000}"/>
    <cellStyle name="Comma 5 3 8" xfId="778" xr:uid="{00000000-0005-0000-0000-0000C2000000}"/>
    <cellStyle name="Comma 5 4" xfId="267" xr:uid="{00000000-0005-0000-0000-0000CE000000}"/>
    <cellStyle name="Comma 5 4 2" xfId="301" xr:uid="{00000000-0005-0000-0000-0000CF000000}"/>
    <cellStyle name="Comma 5 4 2 2" xfId="608" xr:uid="{00000000-0005-0000-0000-0000CF000000}"/>
    <cellStyle name="Comma 5 4 2 2 2" xfId="1036" xr:uid="{00000000-0005-0000-0000-0000CF000000}"/>
    <cellStyle name="Comma 5 4 2 3" xfId="822" xr:uid="{00000000-0005-0000-0000-0000CF000000}"/>
    <cellStyle name="Comma 5 4 3" xfId="335" xr:uid="{00000000-0005-0000-0000-0000D0000000}"/>
    <cellStyle name="Comma 5 4 3 2" xfId="642" xr:uid="{00000000-0005-0000-0000-0000D0000000}"/>
    <cellStyle name="Comma 5 4 3 2 2" xfId="1070" xr:uid="{00000000-0005-0000-0000-0000D0000000}"/>
    <cellStyle name="Comma 5 4 3 3" xfId="856" xr:uid="{00000000-0005-0000-0000-0000D0000000}"/>
    <cellStyle name="Comma 5 4 4" xfId="369" xr:uid="{00000000-0005-0000-0000-0000D1000000}"/>
    <cellStyle name="Comma 5 4 4 2" xfId="676" xr:uid="{00000000-0005-0000-0000-0000D1000000}"/>
    <cellStyle name="Comma 5 4 4 2 2" xfId="1104" xr:uid="{00000000-0005-0000-0000-0000D1000000}"/>
    <cellStyle name="Comma 5 4 4 3" xfId="890" xr:uid="{00000000-0005-0000-0000-0000D1000000}"/>
    <cellStyle name="Comma 5 4 5" xfId="435" xr:uid="{00000000-0005-0000-0000-0000D2000000}"/>
    <cellStyle name="Comma 5 4 5 2" xfId="714" xr:uid="{00000000-0005-0000-0000-0000D2000000}"/>
    <cellStyle name="Comma 5 4 5 2 2" xfId="1142" xr:uid="{00000000-0005-0000-0000-0000D2000000}"/>
    <cellStyle name="Comma 5 4 5 3" xfId="928" xr:uid="{00000000-0005-0000-0000-0000D2000000}"/>
    <cellStyle name="Comma 5 4 6" xfId="574" xr:uid="{00000000-0005-0000-0000-0000CE000000}"/>
    <cellStyle name="Comma 5 4 6 2" xfId="1002" xr:uid="{00000000-0005-0000-0000-0000CE000000}"/>
    <cellStyle name="Comma 5 4 7" xfId="788" xr:uid="{00000000-0005-0000-0000-0000CE000000}"/>
    <cellStyle name="Comma 5 5" xfId="284" xr:uid="{00000000-0005-0000-0000-0000D3000000}"/>
    <cellStyle name="Comma 5 5 2" xfId="457" xr:uid="{00000000-0005-0000-0000-0000D4000000}"/>
    <cellStyle name="Comma 5 5 2 2" xfId="733" xr:uid="{00000000-0005-0000-0000-0000D4000000}"/>
    <cellStyle name="Comma 5 5 2 2 2" xfId="1161" xr:uid="{00000000-0005-0000-0000-0000D4000000}"/>
    <cellStyle name="Comma 5 5 2 3" xfId="947" xr:uid="{00000000-0005-0000-0000-0000D4000000}"/>
    <cellStyle name="Comma 5 5 3" xfId="591" xr:uid="{00000000-0005-0000-0000-0000D3000000}"/>
    <cellStyle name="Comma 5 5 3 2" xfId="1019" xr:uid="{00000000-0005-0000-0000-0000D3000000}"/>
    <cellStyle name="Comma 5 5 4" xfId="805" xr:uid="{00000000-0005-0000-0000-0000D3000000}"/>
    <cellStyle name="Comma 5 6" xfId="318" xr:uid="{00000000-0005-0000-0000-0000D5000000}"/>
    <cellStyle name="Comma 5 6 2" xfId="482" xr:uid="{00000000-0005-0000-0000-0000D6000000}"/>
    <cellStyle name="Comma 5 6 2 2" xfId="754" xr:uid="{00000000-0005-0000-0000-0000D6000000}"/>
    <cellStyle name="Comma 5 6 2 2 2" xfId="1182" xr:uid="{00000000-0005-0000-0000-0000D6000000}"/>
    <cellStyle name="Comma 5 6 2 3" xfId="968" xr:uid="{00000000-0005-0000-0000-0000D6000000}"/>
    <cellStyle name="Comma 5 6 3" xfId="625" xr:uid="{00000000-0005-0000-0000-0000D5000000}"/>
    <cellStyle name="Comma 5 6 3 2" xfId="1053" xr:uid="{00000000-0005-0000-0000-0000D5000000}"/>
    <cellStyle name="Comma 5 6 4" xfId="839" xr:uid="{00000000-0005-0000-0000-0000D5000000}"/>
    <cellStyle name="Comma 5 7" xfId="352" xr:uid="{00000000-0005-0000-0000-0000D7000000}"/>
    <cellStyle name="Comma 5 7 2" xfId="659" xr:uid="{00000000-0005-0000-0000-0000D7000000}"/>
    <cellStyle name="Comma 5 7 2 2" xfId="1087" xr:uid="{00000000-0005-0000-0000-0000D7000000}"/>
    <cellStyle name="Comma 5 7 3" xfId="873" xr:uid="{00000000-0005-0000-0000-0000D7000000}"/>
    <cellStyle name="Comma 5 8" xfId="389" xr:uid="{00000000-0005-0000-0000-0000D8000000}"/>
    <cellStyle name="Comma 5 8 2" xfId="695" xr:uid="{00000000-0005-0000-0000-0000D8000000}"/>
    <cellStyle name="Comma 5 8 2 2" xfId="1123" xr:uid="{00000000-0005-0000-0000-0000D8000000}"/>
    <cellStyle name="Comma 5 8 3" xfId="909" xr:uid="{00000000-0005-0000-0000-0000D8000000}"/>
    <cellStyle name="Comma 5 9" xfId="557" xr:uid="{00000000-0005-0000-0000-0000A9000000}"/>
    <cellStyle name="Comma 5 9 2" xfId="985" xr:uid="{00000000-0005-0000-0000-0000A9000000}"/>
    <cellStyle name="Comma 6" xfId="119" xr:uid="{00000000-0005-0000-0000-0000D9000000}"/>
    <cellStyle name="Comma 6 2" xfId="269" xr:uid="{00000000-0005-0000-0000-0000DA000000}"/>
    <cellStyle name="Comma 6 2 2" xfId="303" xr:uid="{00000000-0005-0000-0000-0000DB000000}"/>
    <cellStyle name="Comma 6 2 2 2" xfId="519" xr:uid="{00000000-0005-0000-0000-0000DC000000}"/>
    <cellStyle name="Comma 6 2 2 2 2" xfId="763" xr:uid="{00000000-0005-0000-0000-0000DC000000}"/>
    <cellStyle name="Comma 6 2 2 2 2 2" xfId="1191" xr:uid="{00000000-0005-0000-0000-0000DC000000}"/>
    <cellStyle name="Comma 6 2 2 2 3" xfId="977" xr:uid="{00000000-0005-0000-0000-0000DC000000}"/>
    <cellStyle name="Comma 6 2 2 3" xfId="610" xr:uid="{00000000-0005-0000-0000-0000DB000000}"/>
    <cellStyle name="Comma 6 2 2 3 2" xfId="1038" xr:uid="{00000000-0005-0000-0000-0000DB000000}"/>
    <cellStyle name="Comma 6 2 2 4" xfId="824" xr:uid="{00000000-0005-0000-0000-0000DB000000}"/>
    <cellStyle name="Comma 6 2 3" xfId="337" xr:uid="{00000000-0005-0000-0000-0000DD000000}"/>
    <cellStyle name="Comma 6 2 3 2" xfId="644" xr:uid="{00000000-0005-0000-0000-0000DD000000}"/>
    <cellStyle name="Comma 6 2 3 2 2" xfId="1072" xr:uid="{00000000-0005-0000-0000-0000DD000000}"/>
    <cellStyle name="Comma 6 2 3 3" xfId="858" xr:uid="{00000000-0005-0000-0000-0000DD000000}"/>
    <cellStyle name="Comma 6 2 4" xfId="371" xr:uid="{00000000-0005-0000-0000-0000DE000000}"/>
    <cellStyle name="Comma 6 2 4 2" xfId="678" xr:uid="{00000000-0005-0000-0000-0000DE000000}"/>
    <cellStyle name="Comma 6 2 4 2 2" xfId="1106" xr:uid="{00000000-0005-0000-0000-0000DE000000}"/>
    <cellStyle name="Comma 6 2 4 3" xfId="892" xr:uid="{00000000-0005-0000-0000-0000DE000000}"/>
    <cellStyle name="Comma 6 2 5" xfId="437" xr:uid="{00000000-0005-0000-0000-0000DF000000}"/>
    <cellStyle name="Comma 6 2 5 2" xfId="716" xr:uid="{00000000-0005-0000-0000-0000DF000000}"/>
    <cellStyle name="Comma 6 2 5 2 2" xfId="1144" xr:uid="{00000000-0005-0000-0000-0000DF000000}"/>
    <cellStyle name="Comma 6 2 5 3" xfId="930" xr:uid="{00000000-0005-0000-0000-0000DF000000}"/>
    <cellStyle name="Comma 6 2 6" xfId="576" xr:uid="{00000000-0005-0000-0000-0000DA000000}"/>
    <cellStyle name="Comma 6 2 6 2" xfId="1004" xr:uid="{00000000-0005-0000-0000-0000DA000000}"/>
    <cellStyle name="Comma 6 2 7" xfId="790" xr:uid="{00000000-0005-0000-0000-0000DA000000}"/>
    <cellStyle name="Comma 6 3" xfId="286" xr:uid="{00000000-0005-0000-0000-0000E0000000}"/>
    <cellStyle name="Comma 6 3 2" xfId="459" xr:uid="{00000000-0005-0000-0000-0000E1000000}"/>
    <cellStyle name="Comma 6 3 2 2" xfId="735" xr:uid="{00000000-0005-0000-0000-0000E1000000}"/>
    <cellStyle name="Comma 6 3 2 2 2" xfId="1163" xr:uid="{00000000-0005-0000-0000-0000E1000000}"/>
    <cellStyle name="Comma 6 3 2 3" xfId="949" xr:uid="{00000000-0005-0000-0000-0000E1000000}"/>
    <cellStyle name="Comma 6 3 3" xfId="593" xr:uid="{00000000-0005-0000-0000-0000E0000000}"/>
    <cellStyle name="Comma 6 3 3 2" xfId="1021" xr:uid="{00000000-0005-0000-0000-0000E0000000}"/>
    <cellStyle name="Comma 6 3 4" xfId="807" xr:uid="{00000000-0005-0000-0000-0000E0000000}"/>
    <cellStyle name="Comma 6 4" xfId="320" xr:uid="{00000000-0005-0000-0000-0000E2000000}"/>
    <cellStyle name="Comma 6 4 2" xfId="486" xr:uid="{00000000-0005-0000-0000-0000E3000000}"/>
    <cellStyle name="Comma 6 4 2 2" xfId="758" xr:uid="{00000000-0005-0000-0000-0000E3000000}"/>
    <cellStyle name="Comma 6 4 2 2 2" xfId="1186" xr:uid="{00000000-0005-0000-0000-0000E3000000}"/>
    <cellStyle name="Comma 6 4 2 3" xfId="972" xr:uid="{00000000-0005-0000-0000-0000E3000000}"/>
    <cellStyle name="Comma 6 4 3" xfId="627" xr:uid="{00000000-0005-0000-0000-0000E2000000}"/>
    <cellStyle name="Comma 6 4 3 2" xfId="1055" xr:uid="{00000000-0005-0000-0000-0000E2000000}"/>
    <cellStyle name="Comma 6 4 4" xfId="841" xr:uid="{00000000-0005-0000-0000-0000E2000000}"/>
    <cellStyle name="Comma 6 5" xfId="354" xr:uid="{00000000-0005-0000-0000-0000E4000000}"/>
    <cellStyle name="Comma 6 5 2" xfId="661" xr:uid="{00000000-0005-0000-0000-0000E4000000}"/>
    <cellStyle name="Comma 6 5 2 2" xfId="1089" xr:uid="{00000000-0005-0000-0000-0000E4000000}"/>
    <cellStyle name="Comma 6 5 3" xfId="875" xr:uid="{00000000-0005-0000-0000-0000E4000000}"/>
    <cellStyle name="Comma 6 6" xfId="391" xr:uid="{00000000-0005-0000-0000-0000E5000000}"/>
    <cellStyle name="Comma 6 6 2" xfId="697" xr:uid="{00000000-0005-0000-0000-0000E5000000}"/>
    <cellStyle name="Comma 6 6 2 2" xfId="1125" xr:uid="{00000000-0005-0000-0000-0000E5000000}"/>
    <cellStyle name="Comma 6 6 3" xfId="911" xr:uid="{00000000-0005-0000-0000-0000E5000000}"/>
    <cellStyle name="Comma 6 7" xfId="559" xr:uid="{00000000-0005-0000-0000-0000D9000000}"/>
    <cellStyle name="Comma 6 7 2" xfId="987" xr:uid="{00000000-0005-0000-0000-0000D9000000}"/>
    <cellStyle name="Comma 6 8" xfId="773" xr:uid="{00000000-0005-0000-0000-0000D9000000}"/>
    <cellStyle name="Comma 7" xfId="112" xr:uid="{00000000-0005-0000-0000-0000E6000000}"/>
    <cellStyle name="Comma 7 2" xfId="262" xr:uid="{00000000-0005-0000-0000-0000E7000000}"/>
    <cellStyle name="Comma 7 2 2" xfId="296" xr:uid="{00000000-0005-0000-0000-0000E8000000}"/>
    <cellStyle name="Comma 7 2 2 2" xfId="603" xr:uid="{00000000-0005-0000-0000-0000E8000000}"/>
    <cellStyle name="Comma 7 2 2 2 2" xfId="1031" xr:uid="{00000000-0005-0000-0000-0000E8000000}"/>
    <cellStyle name="Comma 7 2 2 3" xfId="817" xr:uid="{00000000-0005-0000-0000-0000E8000000}"/>
    <cellStyle name="Comma 7 2 3" xfId="330" xr:uid="{00000000-0005-0000-0000-0000E9000000}"/>
    <cellStyle name="Comma 7 2 3 2" xfId="637" xr:uid="{00000000-0005-0000-0000-0000E9000000}"/>
    <cellStyle name="Comma 7 2 3 2 2" xfId="1065" xr:uid="{00000000-0005-0000-0000-0000E9000000}"/>
    <cellStyle name="Comma 7 2 3 3" xfId="851" xr:uid="{00000000-0005-0000-0000-0000E9000000}"/>
    <cellStyle name="Comma 7 2 4" xfId="364" xr:uid="{00000000-0005-0000-0000-0000EA000000}"/>
    <cellStyle name="Comma 7 2 4 2" xfId="671" xr:uid="{00000000-0005-0000-0000-0000EA000000}"/>
    <cellStyle name="Comma 7 2 4 2 2" xfId="1099" xr:uid="{00000000-0005-0000-0000-0000EA000000}"/>
    <cellStyle name="Comma 7 2 4 3" xfId="885" xr:uid="{00000000-0005-0000-0000-0000EA000000}"/>
    <cellStyle name="Comma 7 2 5" xfId="430" xr:uid="{00000000-0005-0000-0000-0000EB000000}"/>
    <cellStyle name="Comma 7 2 5 2" xfId="709" xr:uid="{00000000-0005-0000-0000-0000EB000000}"/>
    <cellStyle name="Comma 7 2 5 2 2" xfId="1137" xr:uid="{00000000-0005-0000-0000-0000EB000000}"/>
    <cellStyle name="Comma 7 2 5 3" xfId="923" xr:uid="{00000000-0005-0000-0000-0000EB000000}"/>
    <cellStyle name="Comma 7 2 6" xfId="569" xr:uid="{00000000-0005-0000-0000-0000E7000000}"/>
    <cellStyle name="Comma 7 2 6 2" xfId="997" xr:uid="{00000000-0005-0000-0000-0000E7000000}"/>
    <cellStyle name="Comma 7 2 7" xfId="783" xr:uid="{00000000-0005-0000-0000-0000E7000000}"/>
    <cellStyle name="Comma 7 3" xfId="279" xr:uid="{00000000-0005-0000-0000-0000EC000000}"/>
    <cellStyle name="Comma 7 3 2" xfId="452" xr:uid="{00000000-0005-0000-0000-0000ED000000}"/>
    <cellStyle name="Comma 7 3 2 2" xfId="728" xr:uid="{00000000-0005-0000-0000-0000ED000000}"/>
    <cellStyle name="Comma 7 3 2 2 2" xfId="1156" xr:uid="{00000000-0005-0000-0000-0000ED000000}"/>
    <cellStyle name="Comma 7 3 2 3" xfId="942" xr:uid="{00000000-0005-0000-0000-0000ED000000}"/>
    <cellStyle name="Comma 7 3 3" xfId="586" xr:uid="{00000000-0005-0000-0000-0000EC000000}"/>
    <cellStyle name="Comma 7 3 3 2" xfId="1014" xr:uid="{00000000-0005-0000-0000-0000EC000000}"/>
    <cellStyle name="Comma 7 3 4" xfId="800" xr:uid="{00000000-0005-0000-0000-0000EC000000}"/>
    <cellStyle name="Comma 7 4" xfId="313" xr:uid="{00000000-0005-0000-0000-0000EE000000}"/>
    <cellStyle name="Comma 7 4 2" xfId="487" xr:uid="{00000000-0005-0000-0000-0000EF000000}"/>
    <cellStyle name="Comma 7 4 2 2" xfId="759" xr:uid="{00000000-0005-0000-0000-0000EF000000}"/>
    <cellStyle name="Comma 7 4 2 2 2" xfId="1187" xr:uid="{00000000-0005-0000-0000-0000EF000000}"/>
    <cellStyle name="Comma 7 4 2 3" xfId="973" xr:uid="{00000000-0005-0000-0000-0000EF000000}"/>
    <cellStyle name="Comma 7 4 3" xfId="620" xr:uid="{00000000-0005-0000-0000-0000EE000000}"/>
    <cellStyle name="Comma 7 4 3 2" xfId="1048" xr:uid="{00000000-0005-0000-0000-0000EE000000}"/>
    <cellStyle name="Comma 7 4 4" xfId="834" xr:uid="{00000000-0005-0000-0000-0000EE000000}"/>
    <cellStyle name="Comma 7 5" xfId="347" xr:uid="{00000000-0005-0000-0000-0000F0000000}"/>
    <cellStyle name="Comma 7 5 2" xfId="654" xr:uid="{00000000-0005-0000-0000-0000F0000000}"/>
    <cellStyle name="Comma 7 5 2 2" xfId="1082" xr:uid="{00000000-0005-0000-0000-0000F0000000}"/>
    <cellStyle name="Comma 7 5 3" xfId="868" xr:uid="{00000000-0005-0000-0000-0000F0000000}"/>
    <cellStyle name="Comma 7 6" xfId="384" xr:uid="{00000000-0005-0000-0000-0000F1000000}"/>
    <cellStyle name="Comma 7 6 2" xfId="690" xr:uid="{00000000-0005-0000-0000-0000F1000000}"/>
    <cellStyle name="Comma 7 6 2 2" xfId="1118" xr:uid="{00000000-0005-0000-0000-0000F1000000}"/>
    <cellStyle name="Comma 7 6 3" xfId="904" xr:uid="{00000000-0005-0000-0000-0000F1000000}"/>
    <cellStyle name="Comma 7 7" xfId="552" xr:uid="{00000000-0005-0000-0000-0000E6000000}"/>
    <cellStyle name="Comma 7 7 2" xfId="980" xr:uid="{00000000-0005-0000-0000-0000E6000000}"/>
    <cellStyle name="Comma 7 8" xfId="766" xr:uid="{00000000-0005-0000-0000-0000E6000000}"/>
    <cellStyle name="Comma 8" xfId="243" xr:uid="{00000000-0005-0000-0000-0000F2000000}"/>
    <cellStyle name="Comma 8 2" xfId="276" xr:uid="{00000000-0005-0000-0000-0000F3000000}"/>
    <cellStyle name="Comma 8 2 2" xfId="310" xr:uid="{00000000-0005-0000-0000-0000F4000000}"/>
    <cellStyle name="Comma 8 2 2 2" xfId="617" xr:uid="{00000000-0005-0000-0000-0000F4000000}"/>
    <cellStyle name="Comma 8 2 2 2 2" xfId="1045" xr:uid="{00000000-0005-0000-0000-0000F4000000}"/>
    <cellStyle name="Comma 8 2 2 3" xfId="831" xr:uid="{00000000-0005-0000-0000-0000F4000000}"/>
    <cellStyle name="Comma 8 2 3" xfId="344" xr:uid="{00000000-0005-0000-0000-0000F5000000}"/>
    <cellStyle name="Comma 8 2 3 2" xfId="651" xr:uid="{00000000-0005-0000-0000-0000F5000000}"/>
    <cellStyle name="Comma 8 2 3 2 2" xfId="1079" xr:uid="{00000000-0005-0000-0000-0000F5000000}"/>
    <cellStyle name="Comma 8 2 3 3" xfId="865" xr:uid="{00000000-0005-0000-0000-0000F5000000}"/>
    <cellStyle name="Comma 8 2 4" xfId="378" xr:uid="{00000000-0005-0000-0000-0000F6000000}"/>
    <cellStyle name="Comma 8 2 4 2" xfId="685" xr:uid="{00000000-0005-0000-0000-0000F6000000}"/>
    <cellStyle name="Comma 8 2 4 2 2" xfId="1113" xr:uid="{00000000-0005-0000-0000-0000F6000000}"/>
    <cellStyle name="Comma 8 2 4 3" xfId="899" xr:uid="{00000000-0005-0000-0000-0000F6000000}"/>
    <cellStyle name="Comma 8 2 5" xfId="444" xr:uid="{00000000-0005-0000-0000-0000F7000000}"/>
    <cellStyle name="Comma 8 2 5 2" xfId="723" xr:uid="{00000000-0005-0000-0000-0000F7000000}"/>
    <cellStyle name="Comma 8 2 5 2 2" xfId="1151" xr:uid="{00000000-0005-0000-0000-0000F7000000}"/>
    <cellStyle name="Comma 8 2 5 3" xfId="937" xr:uid="{00000000-0005-0000-0000-0000F7000000}"/>
    <cellStyle name="Comma 8 2 6" xfId="583" xr:uid="{00000000-0005-0000-0000-0000F3000000}"/>
    <cellStyle name="Comma 8 2 6 2" xfId="1011" xr:uid="{00000000-0005-0000-0000-0000F3000000}"/>
    <cellStyle name="Comma 8 2 7" xfId="797" xr:uid="{00000000-0005-0000-0000-0000F3000000}"/>
    <cellStyle name="Comma 8 3" xfId="293" xr:uid="{00000000-0005-0000-0000-0000F8000000}"/>
    <cellStyle name="Comma 8 3 2" xfId="466" xr:uid="{00000000-0005-0000-0000-0000F9000000}"/>
    <cellStyle name="Comma 8 3 2 2" xfId="742" xr:uid="{00000000-0005-0000-0000-0000F9000000}"/>
    <cellStyle name="Comma 8 3 2 2 2" xfId="1170" xr:uid="{00000000-0005-0000-0000-0000F9000000}"/>
    <cellStyle name="Comma 8 3 2 3" xfId="956" xr:uid="{00000000-0005-0000-0000-0000F9000000}"/>
    <cellStyle name="Comma 8 3 3" xfId="600" xr:uid="{00000000-0005-0000-0000-0000F8000000}"/>
    <cellStyle name="Comma 8 3 3 2" xfId="1028" xr:uid="{00000000-0005-0000-0000-0000F8000000}"/>
    <cellStyle name="Comma 8 3 4" xfId="814" xr:uid="{00000000-0005-0000-0000-0000F8000000}"/>
    <cellStyle name="Comma 8 4" xfId="327" xr:uid="{00000000-0005-0000-0000-0000FA000000}"/>
    <cellStyle name="Comma 8 4 2" xfId="488" xr:uid="{00000000-0005-0000-0000-0000FB000000}"/>
    <cellStyle name="Comma 8 4 2 2" xfId="760" xr:uid="{00000000-0005-0000-0000-0000FB000000}"/>
    <cellStyle name="Comma 8 4 2 2 2" xfId="1188" xr:uid="{00000000-0005-0000-0000-0000FB000000}"/>
    <cellStyle name="Comma 8 4 2 3" xfId="974" xr:uid="{00000000-0005-0000-0000-0000FB000000}"/>
    <cellStyle name="Comma 8 4 3" xfId="634" xr:uid="{00000000-0005-0000-0000-0000FA000000}"/>
    <cellStyle name="Comma 8 4 3 2" xfId="1062" xr:uid="{00000000-0005-0000-0000-0000FA000000}"/>
    <cellStyle name="Comma 8 4 4" xfId="848" xr:uid="{00000000-0005-0000-0000-0000FA000000}"/>
    <cellStyle name="Comma 8 5" xfId="361" xr:uid="{00000000-0005-0000-0000-0000FC000000}"/>
    <cellStyle name="Comma 8 5 2" xfId="668" xr:uid="{00000000-0005-0000-0000-0000FC000000}"/>
    <cellStyle name="Comma 8 5 2 2" xfId="1096" xr:uid="{00000000-0005-0000-0000-0000FC000000}"/>
    <cellStyle name="Comma 8 5 3" xfId="882" xr:uid="{00000000-0005-0000-0000-0000FC000000}"/>
    <cellStyle name="Comma 8 6" xfId="410" xr:uid="{00000000-0005-0000-0000-0000FD000000}"/>
    <cellStyle name="Comma 8 6 2" xfId="704" xr:uid="{00000000-0005-0000-0000-0000FD000000}"/>
    <cellStyle name="Comma 8 6 2 2" xfId="1132" xr:uid="{00000000-0005-0000-0000-0000FD000000}"/>
    <cellStyle name="Comma 8 6 3" xfId="918" xr:uid="{00000000-0005-0000-0000-0000FD000000}"/>
    <cellStyle name="Comma 8 7" xfId="566" xr:uid="{00000000-0005-0000-0000-0000F2000000}"/>
    <cellStyle name="Comma 8 7 2" xfId="994" xr:uid="{00000000-0005-0000-0000-0000F2000000}"/>
    <cellStyle name="Comma 8 8" xfId="780" xr:uid="{00000000-0005-0000-0000-0000F2000000}"/>
    <cellStyle name="Comma 9" xfId="278" xr:uid="{00000000-0005-0000-0000-0000FE000000}"/>
    <cellStyle name="Comma 9 2" xfId="312" xr:uid="{00000000-0005-0000-0000-0000FF000000}"/>
    <cellStyle name="Comma 9 2 2" xfId="520" xr:uid="{00000000-0005-0000-0000-000000010000}"/>
    <cellStyle name="Comma 9 2 2 2" xfId="764" xr:uid="{00000000-0005-0000-0000-000000010000}"/>
    <cellStyle name="Comma 9 2 2 2 2" xfId="1192" xr:uid="{00000000-0005-0000-0000-000000010000}"/>
    <cellStyle name="Comma 9 2 2 3" xfId="978" xr:uid="{00000000-0005-0000-0000-000000010000}"/>
    <cellStyle name="Comma 9 2 3" xfId="445" xr:uid="{00000000-0005-0000-0000-000001010000}"/>
    <cellStyle name="Comma 9 2 3 2" xfId="724" xr:uid="{00000000-0005-0000-0000-000001010000}"/>
    <cellStyle name="Comma 9 2 3 2 2" xfId="1152" xr:uid="{00000000-0005-0000-0000-000001010000}"/>
    <cellStyle name="Comma 9 2 3 3" xfId="938" xr:uid="{00000000-0005-0000-0000-000001010000}"/>
    <cellStyle name="Comma 9 2 4" xfId="619" xr:uid="{00000000-0005-0000-0000-0000FF000000}"/>
    <cellStyle name="Comma 9 2 4 2" xfId="1047" xr:uid="{00000000-0005-0000-0000-0000FF000000}"/>
    <cellStyle name="Comma 9 2 5" xfId="833" xr:uid="{00000000-0005-0000-0000-0000FF000000}"/>
    <cellStyle name="Comma 9 3" xfId="346" xr:uid="{00000000-0005-0000-0000-000002010000}"/>
    <cellStyle name="Comma 9 3 2" xfId="467" xr:uid="{00000000-0005-0000-0000-000003010000}"/>
    <cellStyle name="Comma 9 3 2 2" xfId="743" xr:uid="{00000000-0005-0000-0000-000003010000}"/>
    <cellStyle name="Comma 9 3 2 2 2" xfId="1171" xr:uid="{00000000-0005-0000-0000-000003010000}"/>
    <cellStyle name="Comma 9 3 2 3" xfId="957" xr:uid="{00000000-0005-0000-0000-000003010000}"/>
    <cellStyle name="Comma 9 3 3" xfId="653" xr:uid="{00000000-0005-0000-0000-000002010000}"/>
    <cellStyle name="Comma 9 3 3 2" xfId="1081" xr:uid="{00000000-0005-0000-0000-000002010000}"/>
    <cellStyle name="Comma 9 3 4" xfId="867" xr:uid="{00000000-0005-0000-0000-000002010000}"/>
    <cellStyle name="Comma 9 4" xfId="380" xr:uid="{00000000-0005-0000-0000-000004010000}"/>
    <cellStyle name="Comma 9 4 2" xfId="489" xr:uid="{00000000-0005-0000-0000-000005010000}"/>
    <cellStyle name="Comma 9 4 2 2" xfId="761" xr:uid="{00000000-0005-0000-0000-000005010000}"/>
    <cellStyle name="Comma 9 4 2 2 2" xfId="1189" xr:uid="{00000000-0005-0000-0000-000005010000}"/>
    <cellStyle name="Comma 9 4 2 3" xfId="975" xr:uid="{00000000-0005-0000-0000-000005010000}"/>
    <cellStyle name="Comma 9 4 3" xfId="687" xr:uid="{00000000-0005-0000-0000-000004010000}"/>
    <cellStyle name="Comma 9 4 3 2" xfId="1115" xr:uid="{00000000-0005-0000-0000-000004010000}"/>
    <cellStyle name="Comma 9 4 4" xfId="901" xr:uid="{00000000-0005-0000-0000-000004010000}"/>
    <cellStyle name="Comma 9 5" xfId="412" xr:uid="{00000000-0005-0000-0000-000006010000}"/>
    <cellStyle name="Comma 9 5 2" xfId="705" xr:uid="{00000000-0005-0000-0000-000006010000}"/>
    <cellStyle name="Comma 9 5 2 2" xfId="1133" xr:uid="{00000000-0005-0000-0000-000006010000}"/>
    <cellStyle name="Comma 9 5 3" xfId="919" xr:uid="{00000000-0005-0000-0000-000006010000}"/>
    <cellStyle name="Comma 9 6" xfId="585" xr:uid="{00000000-0005-0000-0000-0000FE000000}"/>
    <cellStyle name="Comma 9 6 2" xfId="1013" xr:uid="{00000000-0005-0000-0000-0000FE000000}"/>
    <cellStyle name="Comma 9 7" xfId="799" xr:uid="{00000000-0005-0000-0000-0000FE000000}"/>
    <cellStyle name="Explanatory Text 2" xfId="120" xr:uid="{00000000-0005-0000-0000-000007010000}"/>
    <cellStyle name="Good 2" xfId="121" xr:uid="{00000000-0005-0000-0000-000008010000}"/>
    <cellStyle name="Heading 1 2" xfId="122" xr:uid="{00000000-0005-0000-0000-000009010000}"/>
    <cellStyle name="Heading 2 2" xfId="123" xr:uid="{00000000-0005-0000-0000-00000A010000}"/>
    <cellStyle name="Heading 3 2" xfId="124" xr:uid="{00000000-0005-0000-0000-00000B010000}"/>
    <cellStyle name="Heading 4 2" xfId="125" xr:uid="{00000000-0005-0000-0000-00000C010000}"/>
    <cellStyle name="Hyperlink" xfId="57" builtinId="8"/>
    <cellStyle name="Hyperlink 2" xfId="3" xr:uid="{00000000-0005-0000-0000-000003000000}"/>
    <cellStyle name="Hyperlink 2 2" xfId="126" xr:uid="{00000000-0005-0000-0000-00000F010000}"/>
    <cellStyle name="Hyperlink 2 3" xfId="490" xr:uid="{00000000-0005-0000-0000-000010010000}"/>
    <cellStyle name="Hyperlink 3" xfId="4" xr:uid="{00000000-0005-0000-0000-000004000000}"/>
    <cellStyle name="Hyperlink 3 2" xfId="248" xr:uid="{00000000-0005-0000-0000-000012010000}"/>
    <cellStyle name="Hyperlink 3 2 2" xfId="491" xr:uid="{00000000-0005-0000-0000-000013010000}"/>
    <cellStyle name="Hyperlink 3 2 3" xfId="392" xr:uid="{00000000-0005-0000-0000-000014010000}"/>
    <cellStyle name="Hyperlink 3 3" xfId="416" xr:uid="{00000000-0005-0000-0000-000015010000}"/>
    <cellStyle name="Hyperlink 3 4" xfId="127" xr:uid="{00000000-0005-0000-0000-000011010000}"/>
    <cellStyle name="Hyperlink 4" xfId="22" xr:uid="{00000000-0005-0000-0000-000005000000}"/>
    <cellStyle name="Hyperlink 4 2" xfId="547" xr:uid="{00000000-0005-0000-0000-000017010000}"/>
    <cellStyle name="Hyperlink 4 3" xfId="128" xr:uid="{00000000-0005-0000-0000-000016010000}"/>
    <cellStyle name="Hyperlink 5" xfId="129" xr:uid="{00000000-0005-0000-0000-000018010000}"/>
    <cellStyle name="Hyperlink 6" xfId="492" xr:uid="{00000000-0005-0000-0000-000019010000}"/>
    <cellStyle name="Input 2" xfId="130" xr:uid="{00000000-0005-0000-0000-00001A010000}"/>
    <cellStyle name="Linked Cell 2" xfId="131" xr:uid="{00000000-0005-0000-0000-00001B010000}"/>
    <cellStyle name="Neutral 2" xfId="132" xr:uid="{00000000-0005-0000-0000-00001C010000}"/>
    <cellStyle name="Normal" xfId="0" builtinId="0"/>
    <cellStyle name="Normal 10" xfId="19" xr:uid="{00000000-0005-0000-0000-000007000000}"/>
    <cellStyle name="Normal 10 2" xfId="20" xr:uid="{00000000-0005-0000-0000-000008000000}"/>
    <cellStyle name="Normal 10 2 2" xfId="545" xr:uid="{00000000-0005-0000-0000-000020010000}"/>
    <cellStyle name="Normal 10 2 3" xfId="134" xr:uid="{00000000-0005-0000-0000-00001F010000}"/>
    <cellStyle name="Normal 10 3" xfId="23" xr:uid="{00000000-0005-0000-0000-000009000000}"/>
    <cellStyle name="Normal 10 3 2" xfId="24" xr:uid="{00000000-0005-0000-0000-00000A000000}"/>
    <cellStyle name="Normal 10 3 2 2" xfId="34" xr:uid="{00000000-0005-0000-0000-00000B000000}"/>
    <cellStyle name="Normal 10 3 2 3" xfId="41" xr:uid="{CDD8C42F-A4E4-45E0-93AE-199F07BF91CB}"/>
    <cellStyle name="Normal 10 3 2 4" xfId="493" xr:uid="{00000000-0005-0000-0000-000022010000}"/>
    <cellStyle name="Normal 10 3 3" xfId="33" xr:uid="{00000000-0005-0000-0000-00000C000000}"/>
    <cellStyle name="Normal 10 3 3 2" xfId="393" xr:uid="{00000000-0005-0000-0000-000023010000}"/>
    <cellStyle name="Normal 10 3 4" xfId="249" xr:uid="{00000000-0005-0000-0000-000021010000}"/>
    <cellStyle name="Normal 10 4" xfId="31" xr:uid="{00000000-0005-0000-0000-00000D000000}"/>
    <cellStyle name="Normal 10 4 2" xfId="40" xr:uid="{1BFCAB38-8FB5-4B6B-878B-F8EB099BA6BA}"/>
    <cellStyle name="Normal 10 4 3" xfId="46" xr:uid="{C4AE678E-847B-4C29-AAC1-5D2CE9FA99BF}"/>
    <cellStyle name="Normal 10 4 3 2" xfId="47" xr:uid="{1DF810AB-3971-47B5-9DC5-EDE9120A56C2}"/>
    <cellStyle name="Normal 10 4 3 2 2" xfId="50" xr:uid="{BE8B44C9-B2BE-4EDB-9E13-46199BBB0986}"/>
    <cellStyle name="Normal 10 4 4" xfId="49" xr:uid="{E6982016-3CB0-4E8E-A495-D5EC468E1906}"/>
    <cellStyle name="Normal 10 4 5" xfId="60" xr:uid="{4369F6DA-EA9E-444B-8AA0-5AEE578382B4}"/>
    <cellStyle name="Normal 10 4 6" xfId="417" xr:uid="{00000000-0005-0000-0000-000024010000}"/>
    <cellStyle name="Normal 10 5" xfId="38" xr:uid="{B0E89674-3FBF-4B0C-A93B-FCC4C4D643B6}"/>
    <cellStyle name="Normal 10 6" xfId="42" xr:uid="{20A33D40-FEBE-43CA-8417-BD06002EC548}"/>
    <cellStyle name="Normal 10 6 2 2" xfId="48" xr:uid="{412D161B-353C-4DA7-B112-66176B0D4442}"/>
    <cellStyle name="Normal 10 7" xfId="44" xr:uid="{7716E907-EFBA-4F2B-88A5-FA81DA497002}"/>
    <cellStyle name="Normal 10 8" xfId="59" xr:uid="{64E774C4-6498-4FE3-809E-35FD9F1F13E7}"/>
    <cellStyle name="Normal 10 9" xfId="133" xr:uid="{00000000-0005-0000-0000-00001E010000}"/>
    <cellStyle name="Normal 11" xfId="37" xr:uid="{EA358A65-EAC9-4133-848E-2B286F6D3F9D}"/>
    <cellStyle name="Normal 11 2" xfId="548" xr:uid="{00000000-0005-0000-0000-000027010000}"/>
    <cellStyle name="Normal 11 3" xfId="135" xr:uid="{00000000-0005-0000-0000-000026010000}"/>
    <cellStyle name="Normal 12" xfId="45" xr:uid="{E9E3E399-93C0-4A3D-B39F-0257F34FBB03}"/>
    <cellStyle name="Normal 12 2" xfId="137" xr:uid="{00000000-0005-0000-0000-000029010000}"/>
    <cellStyle name="Normal 12 3" xfId="549" xr:uid="{00000000-0005-0000-0000-00002A010000}"/>
    <cellStyle name="Normal 12 4" xfId="136" xr:uid="{00000000-0005-0000-0000-000028010000}"/>
    <cellStyle name="Normal 128" xfId="250" xr:uid="{00000000-0005-0000-0000-00002B010000}"/>
    <cellStyle name="Normal 128 2" xfId="521" xr:uid="{00000000-0005-0000-0000-00002C010000}"/>
    <cellStyle name="Normal 128 3" xfId="494" xr:uid="{00000000-0005-0000-0000-00002D010000}"/>
    <cellStyle name="Normal 13" xfId="1" xr:uid="{00000000-0005-0000-0000-000035000000}"/>
    <cellStyle name="Normal 13 2" xfId="551" xr:uid="{00000000-0005-0000-0000-00002F010000}"/>
    <cellStyle name="Normal 13 3" xfId="138" xr:uid="{00000000-0005-0000-0000-00002E010000}"/>
    <cellStyle name="Normal 14" xfId="61" xr:uid="{00000000-0005-0000-0000-00006C000000}"/>
    <cellStyle name="Normal 14 2" xfId="140" xr:uid="{00000000-0005-0000-0000-000031010000}"/>
    <cellStyle name="Normal 14 3" xfId="139" xr:uid="{00000000-0005-0000-0000-000030010000}"/>
    <cellStyle name="Normal 15" xfId="141" xr:uid="{00000000-0005-0000-0000-000032010000}"/>
    <cellStyle name="Normal 16" xfId="142" xr:uid="{00000000-0005-0000-0000-000033010000}"/>
    <cellStyle name="Normal 17" xfId="143" xr:uid="{00000000-0005-0000-0000-000034010000}"/>
    <cellStyle name="Normal 18" xfId="144" xr:uid="{00000000-0005-0000-0000-000035010000}"/>
    <cellStyle name="Normal 19" xfId="145" xr:uid="{00000000-0005-0000-0000-000036010000}"/>
    <cellStyle name="Normal 2" xfId="5" xr:uid="{00000000-0005-0000-0000-00000E000000}"/>
    <cellStyle name="Normal 2 2" xfId="6" xr:uid="{00000000-0005-0000-0000-00000F000000}"/>
    <cellStyle name="Normal 2 2 2" xfId="26" xr:uid="{00000000-0005-0000-0000-000010000000}"/>
    <cellStyle name="Normal 2 2 2 2" xfId="147" xr:uid="{00000000-0005-0000-0000-00003A010000}"/>
    <cellStyle name="Normal 2 2 2 3" xfId="523" xr:uid="{00000000-0005-0000-0000-00003B010000}"/>
    <cellStyle name="Normal 2 2 2 4" xfId="496" xr:uid="{00000000-0005-0000-0000-00003C010000}"/>
    <cellStyle name="Normal 2 2 3" xfId="148" xr:uid="{00000000-0005-0000-0000-00003D010000}"/>
    <cellStyle name="Normal 2 2 4" xfId="522" xr:uid="{00000000-0005-0000-0000-00003E010000}"/>
    <cellStyle name="Normal 2 2 5" xfId="495" xr:uid="{00000000-0005-0000-0000-00003F010000}"/>
    <cellStyle name="Normal 2 2 6" xfId="540" xr:uid="{00000000-0005-0000-0000-000040010000}"/>
    <cellStyle name="Normal 2 3" xfId="7" xr:uid="{00000000-0005-0000-0000-000011000000}"/>
    <cellStyle name="Normal 2 3 2" xfId="251" xr:uid="{00000000-0005-0000-0000-000042010000}"/>
    <cellStyle name="Normal 2 3 2 2" xfId="497" xr:uid="{00000000-0005-0000-0000-000043010000}"/>
    <cellStyle name="Normal 2 3 2 3" xfId="394" xr:uid="{00000000-0005-0000-0000-000044010000}"/>
    <cellStyle name="Normal 2 3 3" xfId="418" xr:uid="{00000000-0005-0000-0000-000045010000}"/>
    <cellStyle name="Normal 2 3 4" xfId="149" xr:uid="{00000000-0005-0000-0000-000041010000}"/>
    <cellStyle name="Normal 2 4" xfId="150" xr:uid="{00000000-0005-0000-0000-000046010000}"/>
    <cellStyle name="Normal 2 4 2" xfId="36" xr:uid="{47478D7E-6B8A-404F-A5CD-8BD2DBE5BB9E}"/>
    <cellStyle name="Normal 2 4 2 2" xfId="498" xr:uid="{00000000-0005-0000-0000-000048010000}"/>
    <cellStyle name="Normal 2 4 2 3" xfId="395" xr:uid="{00000000-0005-0000-0000-000049010000}"/>
    <cellStyle name="Normal 2 4 2 4" xfId="253" xr:uid="{00000000-0005-0000-0000-000047010000}"/>
    <cellStyle name="Normal 2 4 3" xfId="252" xr:uid="{00000000-0005-0000-0000-00004A010000}"/>
    <cellStyle name="Normal 2 4 4" xfId="419" xr:uid="{00000000-0005-0000-0000-00004B010000}"/>
    <cellStyle name="Normal 2 5" xfId="226" xr:uid="{00000000-0005-0000-0000-00004C010000}"/>
    <cellStyle name="Normal 2 6" xfId="499" xr:uid="{00000000-0005-0000-0000-00004D010000}"/>
    <cellStyle name="Normal 2 7" xfId="146" xr:uid="{00000000-0005-0000-0000-000037010000}"/>
    <cellStyle name="Normal 2_Contents" xfId="447" xr:uid="{00000000-0005-0000-0000-00004E010000}"/>
    <cellStyle name="Normal 20" xfId="151" xr:uid="{00000000-0005-0000-0000-00004F010000}"/>
    <cellStyle name="Normal 20 2" xfId="524" xr:uid="{00000000-0005-0000-0000-000050010000}"/>
    <cellStyle name="Normal 20 3" xfId="500" xr:uid="{00000000-0005-0000-0000-000051010000}"/>
    <cellStyle name="Normal 21" xfId="35" xr:uid="{B41D9088-FB35-4792-B95B-C685A70BE7E2}"/>
    <cellStyle name="Normal 21 2" xfId="62" xr:uid="{00000000-0005-0000-0000-000052010000}"/>
    <cellStyle name="Normal 22" xfId="219" xr:uid="{00000000-0005-0000-0000-000053010000}"/>
    <cellStyle name="Normal 22 2" xfId="525" xr:uid="{00000000-0005-0000-0000-000054010000}"/>
    <cellStyle name="Normal 22 3" xfId="501" xr:uid="{00000000-0005-0000-0000-000055010000}"/>
    <cellStyle name="Normal 23" xfId="244" xr:uid="{00000000-0005-0000-0000-000056010000}"/>
    <cellStyle name="Normal 24" xfId="411" xr:uid="{00000000-0005-0000-0000-000057010000}"/>
    <cellStyle name="Normal 24 2" xfId="526" xr:uid="{00000000-0005-0000-0000-000058010000}"/>
    <cellStyle name="Normal 24 3" xfId="502" xr:uid="{00000000-0005-0000-0000-000059010000}"/>
    <cellStyle name="Normal 25" xfId="381" xr:uid="{00000000-0005-0000-0000-00005A010000}"/>
    <cellStyle name="Normal 25 2" xfId="515" xr:uid="{00000000-0005-0000-0000-00005B010000}"/>
    <cellStyle name="Normal 26" xfId="536" xr:uid="{00000000-0005-0000-0000-00005C010000}"/>
    <cellStyle name="Normal 27" xfId="537" xr:uid="{00000000-0005-0000-0000-00005D010000}"/>
    <cellStyle name="Normal 28" xfId="469" xr:uid="{00000000-0005-0000-0000-00005E010000}"/>
    <cellStyle name="Normal 29" xfId="538" xr:uid="{00000000-0005-0000-0000-00005F010000}"/>
    <cellStyle name="Normal 3" xfId="8" xr:uid="{00000000-0005-0000-0000-000012000000}"/>
    <cellStyle name="Normal 3 2" xfId="153" xr:uid="{00000000-0005-0000-0000-000061010000}"/>
    <cellStyle name="Normal 3 2 2" xfId="154" xr:uid="{00000000-0005-0000-0000-000062010000}"/>
    <cellStyle name="Normal 3 3" xfId="155" xr:uid="{00000000-0005-0000-0000-000063010000}"/>
    <cellStyle name="Normal 3 4" xfId="156" xr:uid="{00000000-0005-0000-0000-000064010000}"/>
    <cellStyle name="Normal 3 5" xfId="227" xr:uid="{00000000-0005-0000-0000-000065010000}"/>
    <cellStyle name="Normal 3 6" xfId="396" xr:uid="{00000000-0005-0000-0000-000066010000}"/>
    <cellStyle name="Normal 3 7" xfId="152" xr:uid="{00000000-0005-0000-0000-000060010000}"/>
    <cellStyle name="Normal 3_Contents" xfId="448" xr:uid="{00000000-0005-0000-0000-000067010000}"/>
    <cellStyle name="Normal 4" xfId="9" xr:uid="{00000000-0005-0000-0000-000013000000}"/>
    <cellStyle name="Normal 4 2" xfId="27" xr:uid="{00000000-0005-0000-0000-000014000000}"/>
    <cellStyle name="Normal 4 2 2" xfId="157" xr:uid="{00000000-0005-0000-0000-000069010000}"/>
    <cellStyle name="Normal 4 3" xfId="158" xr:uid="{00000000-0005-0000-0000-00006A010000}"/>
    <cellStyle name="Normal 4 4" xfId="254" xr:uid="{00000000-0005-0000-0000-00006B010000}"/>
    <cellStyle name="Normal 4 5" xfId="420" xr:uid="{00000000-0005-0000-0000-00006C010000}"/>
    <cellStyle name="Normal 4 5 2" xfId="527" xr:uid="{00000000-0005-0000-0000-00006D010000}"/>
    <cellStyle name="Normal 4 5 3" xfId="503" xr:uid="{00000000-0005-0000-0000-00006E010000}"/>
    <cellStyle name="Normal 4 6" xfId="541" xr:uid="{00000000-0005-0000-0000-00006F010000}"/>
    <cellStyle name="Normal 5" xfId="10" xr:uid="{00000000-0005-0000-0000-000015000000}"/>
    <cellStyle name="Normal 5 10" xfId="470" xr:uid="{00000000-0005-0000-0000-000071010000}"/>
    <cellStyle name="Normal 5 11" xfId="159" xr:uid="{00000000-0005-0000-0000-000070010000}"/>
    <cellStyle name="Normal 5 2" xfId="160" xr:uid="{00000000-0005-0000-0000-000072010000}"/>
    <cellStyle name="Normal 5 2 2" xfId="161" xr:uid="{00000000-0005-0000-0000-000073010000}"/>
    <cellStyle name="Normal 5 3" xfId="162" xr:uid="{00000000-0005-0000-0000-000074010000}"/>
    <cellStyle name="Normal 5 3 2" xfId="163" xr:uid="{00000000-0005-0000-0000-000075010000}"/>
    <cellStyle name="Normal 5 4" xfId="164" xr:uid="{00000000-0005-0000-0000-000076010000}"/>
    <cellStyle name="Normal 5 5" xfId="165" xr:uid="{00000000-0005-0000-0000-000077010000}"/>
    <cellStyle name="Normal 5 6" xfId="228" xr:uid="{00000000-0005-0000-0000-000078010000}"/>
    <cellStyle name="Normal 5 7" xfId="255" xr:uid="{00000000-0005-0000-0000-000079010000}"/>
    <cellStyle name="Normal 5 7 2" xfId="504" xr:uid="{00000000-0005-0000-0000-00007A010000}"/>
    <cellStyle name="Normal 5 7 3" xfId="397" xr:uid="{00000000-0005-0000-0000-00007B010000}"/>
    <cellStyle name="Normal 5 8" xfId="421" xr:uid="{00000000-0005-0000-0000-00007C010000}"/>
    <cellStyle name="Normal 5 9" xfId="516" xr:uid="{00000000-0005-0000-0000-00007D010000}"/>
    <cellStyle name="Normal 5_Contents" xfId="449" xr:uid="{00000000-0005-0000-0000-00007E010000}"/>
    <cellStyle name="Normal 6" xfId="11" xr:uid="{00000000-0005-0000-0000-000016000000}"/>
    <cellStyle name="Normal 6 2" xfId="167" xr:uid="{00000000-0005-0000-0000-000080010000}"/>
    <cellStyle name="Normal 6 3" xfId="168" xr:uid="{00000000-0005-0000-0000-000081010000}"/>
    <cellStyle name="Normal 6 3 2" xfId="169" xr:uid="{00000000-0005-0000-0000-000082010000}"/>
    <cellStyle name="Normal 6 3 3" xfId="528" xr:uid="{00000000-0005-0000-0000-000083010000}"/>
    <cellStyle name="Normal 6 3 4" xfId="505" xr:uid="{00000000-0005-0000-0000-000084010000}"/>
    <cellStyle name="Normal 6 4" xfId="170" xr:uid="{00000000-0005-0000-0000-000085010000}"/>
    <cellStyle name="Normal 6 5" xfId="229" xr:uid="{00000000-0005-0000-0000-000086010000}"/>
    <cellStyle name="Normal 6 6" xfId="256" xr:uid="{00000000-0005-0000-0000-000087010000}"/>
    <cellStyle name="Normal 6 6 2" xfId="506" xr:uid="{00000000-0005-0000-0000-000088010000}"/>
    <cellStyle name="Normal 6 6 3" xfId="398" xr:uid="{00000000-0005-0000-0000-000089010000}"/>
    <cellStyle name="Normal 6 7" xfId="422" xr:uid="{00000000-0005-0000-0000-00008A010000}"/>
    <cellStyle name="Normal 6 8" xfId="166" xr:uid="{00000000-0005-0000-0000-00007F010000}"/>
    <cellStyle name="Normal 7" xfId="12" xr:uid="{00000000-0005-0000-0000-000017000000}"/>
    <cellStyle name="Normal 7 2" xfId="28" xr:uid="{00000000-0005-0000-0000-000018000000}"/>
    <cellStyle name="Normal 7 2 2" xfId="231" xr:uid="{00000000-0005-0000-0000-00008D010000}"/>
    <cellStyle name="Normal 7 2 3" xfId="246" xr:uid="{00000000-0005-0000-0000-00008E010000}"/>
    <cellStyle name="Normal 7 2 3 2" xfId="529" xr:uid="{00000000-0005-0000-0000-00008F010000}"/>
    <cellStyle name="Normal 7 2 3 3" xfId="507" xr:uid="{00000000-0005-0000-0000-000090010000}"/>
    <cellStyle name="Normal 7 2 4" xfId="423" xr:uid="{00000000-0005-0000-0000-000091010000}"/>
    <cellStyle name="Normal 7 2 5" xfId="172" xr:uid="{00000000-0005-0000-0000-00008C010000}"/>
    <cellStyle name="Normal 7 3" xfId="39" xr:uid="{BBABACC9-7053-47CC-A67D-362B295FB8D6}"/>
    <cellStyle name="Normal 7 3 2" xfId="232" xr:uid="{00000000-0005-0000-0000-000093010000}"/>
    <cellStyle name="Normal 7 3 3" xfId="173" xr:uid="{00000000-0005-0000-0000-000092010000}"/>
    <cellStyle name="Normal 7 4" xfId="51" xr:uid="{FA27D198-6609-40B9-9E74-032A37876298}"/>
    <cellStyle name="Normal 7 4 2" xfId="230" xr:uid="{00000000-0005-0000-0000-000094010000}"/>
    <cellStyle name="Normal 7 5" xfId="257" xr:uid="{00000000-0005-0000-0000-000095010000}"/>
    <cellStyle name="Normal 7 5 2" xfId="530" xr:uid="{00000000-0005-0000-0000-000096010000}"/>
    <cellStyle name="Normal 7 5 3" xfId="508" xr:uid="{00000000-0005-0000-0000-000097010000}"/>
    <cellStyle name="Normal 7 5 4" xfId="399" xr:uid="{00000000-0005-0000-0000-000098010000}"/>
    <cellStyle name="Normal 7 6" xfId="424" xr:uid="{00000000-0005-0000-0000-000099010000}"/>
    <cellStyle name="Normal 7 7" xfId="471" xr:uid="{00000000-0005-0000-0000-00009A010000}"/>
    <cellStyle name="Normal 7 8" xfId="542" xr:uid="{00000000-0005-0000-0000-00009B010000}"/>
    <cellStyle name="Normal 7 9" xfId="171" xr:uid="{00000000-0005-0000-0000-00008B010000}"/>
    <cellStyle name="Normal 8" xfId="13" xr:uid="{00000000-0005-0000-0000-000019000000}"/>
    <cellStyle name="Normal 8 2" xfId="29" xr:uid="{00000000-0005-0000-0000-00001A000000}"/>
    <cellStyle name="Normal 8 2 2" xfId="176" xr:uid="{00000000-0005-0000-0000-00009E010000}"/>
    <cellStyle name="Normal 8 2 3" xfId="175" xr:uid="{00000000-0005-0000-0000-00009D010000}"/>
    <cellStyle name="Normal 8 3" xfId="43" xr:uid="{EE47642F-B62E-4BD4-9EC5-698E54B758F9}"/>
    <cellStyle name="Normal 8 3 2" xfId="234" xr:uid="{00000000-0005-0000-0000-0000A0010000}"/>
    <cellStyle name="Normal 8 3 3" xfId="177" xr:uid="{00000000-0005-0000-0000-00009F010000}"/>
    <cellStyle name="Normal 8 4" xfId="233" xr:uid="{00000000-0005-0000-0000-0000A1010000}"/>
    <cellStyle name="Normal 8 5" xfId="258" xr:uid="{00000000-0005-0000-0000-0000A2010000}"/>
    <cellStyle name="Normal 8 5 2" xfId="531" xr:uid="{00000000-0005-0000-0000-0000A3010000}"/>
    <cellStyle name="Normal 8 5 3" xfId="509" xr:uid="{00000000-0005-0000-0000-0000A4010000}"/>
    <cellStyle name="Normal 8 5 4" xfId="400" xr:uid="{00000000-0005-0000-0000-0000A5010000}"/>
    <cellStyle name="Normal 8 6" xfId="425" xr:uid="{00000000-0005-0000-0000-0000A6010000}"/>
    <cellStyle name="Normal 8 7" xfId="543" xr:uid="{00000000-0005-0000-0000-0000A7010000}"/>
    <cellStyle name="Normal 8 8" xfId="174" xr:uid="{00000000-0005-0000-0000-00009C010000}"/>
    <cellStyle name="Normal 9" xfId="14" xr:uid="{00000000-0005-0000-0000-00001B000000}"/>
    <cellStyle name="Normal 9 2" xfId="30" xr:uid="{00000000-0005-0000-0000-00001C000000}"/>
    <cellStyle name="Normal 9 2 2" xfId="179" xr:uid="{00000000-0005-0000-0000-0000A9010000}"/>
    <cellStyle name="Normal 9 3" xfId="235" xr:uid="{00000000-0005-0000-0000-0000AA010000}"/>
    <cellStyle name="Normal 9 4" xfId="259" xr:uid="{00000000-0005-0000-0000-0000AB010000}"/>
    <cellStyle name="Normal 9 4 2" xfId="532" xr:uid="{00000000-0005-0000-0000-0000AC010000}"/>
    <cellStyle name="Normal 9 4 3" xfId="510" xr:uid="{00000000-0005-0000-0000-0000AD010000}"/>
    <cellStyle name="Normal 9 4 4" xfId="401" xr:uid="{00000000-0005-0000-0000-0000AE010000}"/>
    <cellStyle name="Normal 9 5" xfId="426" xr:uid="{00000000-0005-0000-0000-0000AF010000}"/>
    <cellStyle name="Normal 9 6" xfId="544" xr:uid="{00000000-0005-0000-0000-0000B0010000}"/>
    <cellStyle name="Normal 9 7" xfId="178" xr:uid="{00000000-0005-0000-0000-0000A8010000}"/>
    <cellStyle name="Normal_Table17_LATablesWeb" xfId="218" xr:uid="{00000000-0005-0000-0000-0000B1010000}"/>
    <cellStyle name="Note 2" xfId="15" xr:uid="{00000000-0005-0000-0000-00001F000000}"/>
    <cellStyle name="Note 2 2" xfId="180" xr:uid="{00000000-0005-0000-0000-0000B3010000}"/>
    <cellStyle name="Note 2 2 2" xfId="181" xr:uid="{00000000-0005-0000-0000-0000B4010000}"/>
    <cellStyle name="Note 2 3" xfId="182" xr:uid="{00000000-0005-0000-0000-0000B5010000}"/>
    <cellStyle name="Note 2 3 2" xfId="183" xr:uid="{00000000-0005-0000-0000-0000B6010000}"/>
    <cellStyle name="Note 2 4" xfId="184" xr:uid="{00000000-0005-0000-0000-0000B7010000}"/>
    <cellStyle name="Note 2 4 2" xfId="185" xr:uid="{00000000-0005-0000-0000-0000B8010000}"/>
    <cellStyle name="Note 2 5" xfId="186" xr:uid="{00000000-0005-0000-0000-0000B9010000}"/>
    <cellStyle name="Note 2 5 2" xfId="187" xr:uid="{00000000-0005-0000-0000-0000BA010000}"/>
    <cellStyle name="Note 2 6" xfId="188" xr:uid="{00000000-0005-0000-0000-0000BB010000}"/>
    <cellStyle name="Note 2 6 2" xfId="189" xr:uid="{00000000-0005-0000-0000-0000BC010000}"/>
    <cellStyle name="Note 3" xfId="190" xr:uid="{00000000-0005-0000-0000-0000BD010000}"/>
    <cellStyle name="Note 3 2" xfId="191" xr:uid="{00000000-0005-0000-0000-0000BE010000}"/>
    <cellStyle name="Note 3 2 2" xfId="192" xr:uid="{00000000-0005-0000-0000-0000BF010000}"/>
    <cellStyle name="Note 3 3" xfId="193" xr:uid="{00000000-0005-0000-0000-0000C0010000}"/>
    <cellStyle name="Note 3 3 2" xfId="194" xr:uid="{00000000-0005-0000-0000-0000C1010000}"/>
    <cellStyle name="Note 3 4" xfId="195" xr:uid="{00000000-0005-0000-0000-0000C2010000}"/>
    <cellStyle name="Note 4" xfId="196" xr:uid="{00000000-0005-0000-0000-0000C3010000}"/>
    <cellStyle name="Note 4 2" xfId="197" xr:uid="{00000000-0005-0000-0000-0000C4010000}"/>
    <cellStyle name="Note 5" xfId="198" xr:uid="{00000000-0005-0000-0000-0000C5010000}"/>
    <cellStyle name="Note 5 2" xfId="199" xr:uid="{00000000-0005-0000-0000-0000C6010000}"/>
    <cellStyle name="Note 6" xfId="200" xr:uid="{00000000-0005-0000-0000-0000C7010000}"/>
    <cellStyle name="Note 6 2" xfId="201" xr:uid="{00000000-0005-0000-0000-0000C8010000}"/>
    <cellStyle name="Note 7" xfId="202" xr:uid="{00000000-0005-0000-0000-0000C9010000}"/>
    <cellStyle name="Note 7 2" xfId="203" xr:uid="{00000000-0005-0000-0000-0000CA010000}"/>
    <cellStyle name="Note 8" xfId="204" xr:uid="{00000000-0005-0000-0000-0000CB010000}"/>
    <cellStyle name="Note 8 2" xfId="205" xr:uid="{00000000-0005-0000-0000-0000CC010000}"/>
    <cellStyle name="Output 2" xfId="206" xr:uid="{00000000-0005-0000-0000-0000CD010000}"/>
    <cellStyle name="Percent 10" xfId="245" xr:uid="{00000000-0005-0000-0000-0000CF010000}"/>
    <cellStyle name="Percent 11" xfId="413" xr:uid="{00000000-0005-0000-0000-0000D0010000}"/>
    <cellStyle name="Percent 11 2" xfId="533" xr:uid="{00000000-0005-0000-0000-0000D1010000}"/>
    <cellStyle name="Percent 11 3" xfId="511" xr:uid="{00000000-0005-0000-0000-0000D2010000}"/>
    <cellStyle name="Percent 12" xfId="414" xr:uid="{00000000-0005-0000-0000-0000D3010000}"/>
    <cellStyle name="Percent 12 2" xfId="517" xr:uid="{00000000-0005-0000-0000-0000D4010000}"/>
    <cellStyle name="Percent 2" xfId="17" xr:uid="{00000000-0005-0000-0000-000021000000}"/>
    <cellStyle name="Percent 2 2" xfId="236" xr:uid="{00000000-0005-0000-0000-0000D6010000}"/>
    <cellStyle name="Percent 2 3" xfId="260" xr:uid="{00000000-0005-0000-0000-0000D7010000}"/>
    <cellStyle name="Percent 2 3 2" xfId="512" xr:uid="{00000000-0005-0000-0000-0000D8010000}"/>
    <cellStyle name="Percent 2 3 3" xfId="402" xr:uid="{00000000-0005-0000-0000-0000D9010000}"/>
    <cellStyle name="Percent 2 4" xfId="427" xr:uid="{00000000-0005-0000-0000-0000DA010000}"/>
    <cellStyle name="Percent 2 5" xfId="208" xr:uid="{00000000-0005-0000-0000-0000D5010000}"/>
    <cellStyle name="Percent 3" xfId="18" xr:uid="{00000000-0005-0000-0000-000022000000}"/>
    <cellStyle name="Percent 4" xfId="21" xr:uid="{00000000-0005-0000-0000-000023000000}"/>
    <cellStyle name="Percent 4 2" xfId="32" xr:uid="{00000000-0005-0000-0000-000024000000}"/>
    <cellStyle name="Percent 4 2 2" xfId="237" xr:uid="{00000000-0005-0000-0000-0000DD010000}"/>
    <cellStyle name="Percent 4 3" xfId="403" xr:uid="{00000000-0005-0000-0000-0000DE010000}"/>
    <cellStyle name="Percent 4 4" xfId="546" xr:uid="{00000000-0005-0000-0000-0000DF010000}"/>
    <cellStyle name="Percent 4 5" xfId="209" xr:uid="{00000000-0005-0000-0000-0000DC010000}"/>
    <cellStyle name="Percent 5" xfId="16" xr:uid="{00000000-0005-0000-0000-000060000000}"/>
    <cellStyle name="Percent 5 2" xfId="211" xr:uid="{00000000-0005-0000-0000-0000E1010000}"/>
    <cellStyle name="Percent 5 2 2" xfId="239" xr:uid="{00000000-0005-0000-0000-0000E2010000}"/>
    <cellStyle name="Percent 5 3" xfId="238" xr:uid="{00000000-0005-0000-0000-0000E3010000}"/>
    <cellStyle name="Percent 5 4" xfId="550" xr:uid="{00000000-0005-0000-0000-0000E4010000}"/>
    <cellStyle name="Percent 5 5" xfId="210" xr:uid="{00000000-0005-0000-0000-0000E0010000}"/>
    <cellStyle name="Percent 6" xfId="212" xr:uid="{00000000-0005-0000-0000-0000E5010000}"/>
    <cellStyle name="Percent 6 2" xfId="213" xr:uid="{00000000-0005-0000-0000-0000E6010000}"/>
    <cellStyle name="Percent 6 2 2" xfId="241" xr:uid="{00000000-0005-0000-0000-0000E7010000}"/>
    <cellStyle name="Percent 6 3" xfId="240" xr:uid="{00000000-0005-0000-0000-0000E8010000}"/>
    <cellStyle name="Percent 7" xfId="214" xr:uid="{00000000-0005-0000-0000-0000E9010000}"/>
    <cellStyle name="Percent 7 2" xfId="534" xr:uid="{00000000-0005-0000-0000-0000EA010000}"/>
    <cellStyle name="Percent 7 3" xfId="513" xr:uid="{00000000-0005-0000-0000-0000EB010000}"/>
    <cellStyle name="Percent 8" xfId="207" xr:uid="{00000000-0005-0000-0000-0000EC010000}"/>
    <cellStyle name="Percent 9" xfId="242" xr:uid="{00000000-0005-0000-0000-0000ED010000}"/>
    <cellStyle name="Percent 9 2" xfId="535" xr:uid="{00000000-0005-0000-0000-0000EE010000}"/>
    <cellStyle name="Percent 9 3" xfId="514" xr:uid="{00000000-0005-0000-0000-0000EF010000}"/>
    <cellStyle name="Title 2" xfId="215" xr:uid="{00000000-0005-0000-0000-0000F0010000}"/>
    <cellStyle name="Total 2" xfId="216" xr:uid="{00000000-0005-0000-0000-0000F1010000}"/>
    <cellStyle name="Tracking" xfId="472" xr:uid="{00000000-0005-0000-0000-0000F2010000}"/>
    <cellStyle name="Warning Text 2" xfId="217" xr:uid="{00000000-0005-0000-0000-0000F3010000}"/>
  </cellStyles>
  <dxfs count="1">
    <dxf>
      <fill>
        <patternFill>
          <bgColor rgb="FFFFC000"/>
        </patternFill>
      </fill>
    </dxf>
  </dxfs>
  <tableStyles count="1" defaultTableStyle="TableStyleMedium2" defaultPivotStyle="PivotStyleLight16">
    <tableStyle name="Dataset_1" pivot="0" count="0" xr9:uid="{00000000-0011-0000-FFFF-FFFF00000000}"/>
  </tableStyles>
  <colors>
    <mruColors>
      <color rgb="FF51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6276975</xdr:colOff>
      <xdr:row>1</xdr:row>
      <xdr:rowOff>47625</xdr:rowOff>
    </xdr:from>
    <xdr:to>
      <xdr:col>2</xdr:col>
      <xdr:colOff>7553325</xdr:colOff>
      <xdr:row>1</xdr:row>
      <xdr:rowOff>1095375</xdr:rowOff>
    </xdr:to>
    <xdr:pic>
      <xdr:nvPicPr>
        <xdr:cNvPr id="2" name="Picture 1" descr="ofsted_logo">
          <a:extLst>
            <a:ext uri="{FF2B5EF4-FFF2-40B4-BE49-F238E27FC236}">
              <a16:creationId xmlns:a16="http://schemas.microsoft.com/office/drawing/2014/main" id="{E26BCF6E-310C-4167-A7CC-0DF9168F5A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125" y="209550"/>
          <a:ext cx="12763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psi@nationalarchives.gsi.gov.uk"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statistics/announcements?utf8=%E2%9C%93&amp;organisations%5B%5D=ofsted" TargetMode="External"/><Relationship Id="rId1" Type="http://schemas.openxmlformats.org/officeDocument/2006/relationships/hyperlink" Target="mailto:pressenquiries@ofsted.gov.uk?subject=Schools%20Data%20and%20Analysis%20Transparency%20Data" TargetMode="External"/><Relationship Id="rId6" Type="http://schemas.openxmlformats.org/officeDocument/2006/relationships/hyperlink" Target="https://www.gov.uk/government/collections/maintained-schools-and-academies-inspections-and-outcomes-official-statistics" TargetMode="External"/><Relationship Id="rId5" Type="http://schemas.openxmlformats.org/officeDocument/2006/relationships/hyperlink" Target="https://www.gov.uk/government/statistical-data-sets/monthly-management-information-ofsteds-school-inspections-outcomes" TargetMode="External"/><Relationship Id="rId4" Type="http://schemas.openxmlformats.org/officeDocument/2006/relationships/hyperlink" Target="mailto:inspectioninsight@ofsted.gov.uk?subject=Schools%20Data%20and%20Analysis%20Transparency%20Dat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collections/ofsted-covid-19-series" TargetMode="External"/><Relationship Id="rId1" Type="http://schemas.openxmlformats.org/officeDocument/2006/relationships/hyperlink" Target="https://www.gov.uk/guidance/interim-phase-maintained-schools-and-academ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4225F-78C1-44C1-BF35-C89E1EE38FEB}">
  <dimension ref="A2:K23"/>
  <sheetViews>
    <sheetView showGridLines="0" tabSelected="1" workbookViewId="0"/>
  </sheetViews>
  <sheetFormatPr defaultRowHeight="12.75" x14ac:dyDescent="0.2"/>
  <cols>
    <col min="2" max="2" width="31.7109375" style="1" customWidth="1"/>
    <col min="3" max="3" width="114.7109375" style="1" customWidth="1"/>
  </cols>
  <sheetData>
    <row r="2" spans="2:11" s="86" customFormat="1" ht="93" customHeight="1" x14ac:dyDescent="0.2">
      <c r="B2" s="94"/>
      <c r="C2" s="87"/>
      <c r="D2" s="93"/>
    </row>
    <row r="3" spans="2:11" s="108" customFormat="1" ht="61.5" customHeight="1" x14ac:dyDescent="0.2">
      <c r="B3" s="114" t="s">
        <v>0</v>
      </c>
      <c r="C3" s="115"/>
    </row>
    <row r="4" spans="2:11" s="121" customFormat="1" ht="34.15" customHeight="1" x14ac:dyDescent="0.2">
      <c r="B4" s="116" t="s">
        <v>1</v>
      </c>
      <c r="C4" s="116" t="s">
        <v>2</v>
      </c>
      <c r="F4" s="122"/>
      <c r="G4" s="122"/>
      <c r="H4" s="122"/>
      <c r="I4" s="122"/>
      <c r="J4" s="122"/>
      <c r="K4" s="122"/>
    </row>
    <row r="5" spans="2:11" ht="30.6" customHeight="1" x14ac:dyDescent="0.2">
      <c r="B5" s="116" t="s">
        <v>3</v>
      </c>
      <c r="C5" s="116" t="s">
        <v>4</v>
      </c>
      <c r="D5" s="85"/>
      <c r="E5" s="85"/>
      <c r="F5" s="85"/>
      <c r="G5" s="85"/>
      <c r="H5" s="85"/>
      <c r="I5" s="85"/>
      <c r="J5" s="85"/>
      <c r="K5" s="85"/>
    </row>
    <row r="6" spans="2:11" ht="30.6" customHeight="1" x14ac:dyDescent="0.2">
      <c r="B6" s="116" t="s">
        <v>5</v>
      </c>
      <c r="C6" s="117">
        <v>44183</v>
      </c>
      <c r="D6" s="85"/>
      <c r="E6" s="85"/>
      <c r="F6" s="85"/>
      <c r="G6" s="85"/>
      <c r="H6" s="85"/>
      <c r="I6" s="85"/>
      <c r="J6" s="85"/>
      <c r="K6" s="85"/>
    </row>
    <row r="7" spans="2:11" ht="30.6" customHeight="1" x14ac:dyDescent="0.2">
      <c r="B7" s="116" t="s">
        <v>6</v>
      </c>
      <c r="C7" s="116" t="s">
        <v>7</v>
      </c>
      <c r="D7" s="85"/>
      <c r="E7" s="85"/>
      <c r="F7" s="85"/>
      <c r="G7" s="85"/>
      <c r="H7" s="85"/>
      <c r="I7" s="85"/>
      <c r="J7" s="85"/>
      <c r="K7" s="85"/>
    </row>
    <row r="8" spans="2:11" ht="30.6" customHeight="1" x14ac:dyDescent="0.2">
      <c r="B8" s="116" t="s">
        <v>8</v>
      </c>
      <c r="C8" s="116" t="s">
        <v>2038</v>
      </c>
      <c r="D8" s="85"/>
      <c r="E8" s="85"/>
      <c r="F8" s="85"/>
      <c r="G8" s="85"/>
      <c r="H8" s="85"/>
      <c r="I8" s="85"/>
      <c r="J8" s="85"/>
      <c r="K8" s="85"/>
    </row>
    <row r="9" spans="2:11" ht="30.6" customHeight="1" x14ac:dyDescent="0.2">
      <c r="B9" s="118" t="s">
        <v>9</v>
      </c>
      <c r="C9" s="120" t="s">
        <v>0</v>
      </c>
      <c r="D9" s="85"/>
      <c r="E9" s="85"/>
      <c r="F9" s="85"/>
      <c r="G9" s="85"/>
      <c r="H9" s="85"/>
      <c r="I9" s="85"/>
      <c r="J9" s="85"/>
      <c r="K9" s="85"/>
    </row>
    <row r="10" spans="2:11" s="52" customFormat="1" ht="90" x14ac:dyDescent="0.2">
      <c r="B10" s="90" t="s">
        <v>10</v>
      </c>
      <c r="C10" s="91" t="s">
        <v>11</v>
      </c>
      <c r="D10" s="85"/>
      <c r="E10" s="85"/>
      <c r="F10" s="85"/>
      <c r="G10" s="85"/>
      <c r="H10" s="85"/>
      <c r="I10" s="85"/>
      <c r="J10" s="85"/>
      <c r="K10" s="85"/>
    </row>
    <row r="11" spans="2:11" s="83" customFormat="1" ht="30.6" customHeight="1" x14ac:dyDescent="0.2">
      <c r="B11" s="90" t="s">
        <v>12</v>
      </c>
      <c r="C11" s="90" t="s">
        <v>13</v>
      </c>
      <c r="D11" s="85"/>
      <c r="E11" s="85"/>
      <c r="F11" s="85"/>
      <c r="G11" s="85"/>
      <c r="H11" s="85"/>
      <c r="I11" s="85"/>
      <c r="J11" s="85"/>
      <c r="K11" s="85"/>
    </row>
    <row r="12" spans="2:11" ht="30.6" customHeight="1" x14ac:dyDescent="0.2">
      <c r="B12" s="90" t="s">
        <v>14</v>
      </c>
      <c r="C12" s="91" t="s">
        <v>15</v>
      </c>
      <c r="D12" s="85"/>
      <c r="E12" s="85"/>
      <c r="F12" s="85"/>
      <c r="G12" s="85"/>
      <c r="H12" s="85"/>
      <c r="I12" s="85"/>
      <c r="J12" s="85"/>
      <c r="K12" s="85"/>
    </row>
    <row r="13" spans="2:11" s="84" customFormat="1" ht="30.6" customHeight="1" x14ac:dyDescent="0.2">
      <c r="B13" s="99" t="s">
        <v>2043</v>
      </c>
      <c r="C13" s="125" t="s">
        <v>16</v>
      </c>
      <c r="D13" s="85"/>
      <c r="E13" s="85"/>
      <c r="F13" s="85"/>
      <c r="G13" s="85"/>
      <c r="H13" s="85"/>
      <c r="I13" s="85"/>
      <c r="J13" s="85"/>
      <c r="K13" s="85"/>
    </row>
    <row r="14" spans="2:11" ht="24" customHeight="1" x14ac:dyDescent="0.2">
      <c r="B14" s="100"/>
      <c r="C14" s="124" t="s">
        <v>17</v>
      </c>
      <c r="D14" s="85"/>
      <c r="E14" s="85"/>
      <c r="F14" s="85"/>
      <c r="G14" s="85"/>
      <c r="H14" s="85"/>
      <c r="I14" s="85"/>
      <c r="J14" s="85"/>
      <c r="K14" s="85"/>
    </row>
    <row r="15" spans="2:11" ht="30.6" customHeight="1" x14ac:dyDescent="0.2">
      <c r="B15" s="90" t="s">
        <v>18</v>
      </c>
      <c r="C15" s="92" t="s">
        <v>19</v>
      </c>
      <c r="D15" s="85"/>
      <c r="E15" s="85"/>
      <c r="F15" s="85"/>
      <c r="G15" s="85"/>
      <c r="H15" s="85"/>
      <c r="I15" s="85"/>
      <c r="J15" s="85"/>
      <c r="K15" s="85"/>
    </row>
    <row r="16" spans="2:11" s="85" customFormat="1" ht="30.6" customHeight="1" x14ac:dyDescent="0.2">
      <c r="B16" s="90" t="s">
        <v>20</v>
      </c>
      <c r="C16" s="90" t="s">
        <v>21</v>
      </c>
    </row>
    <row r="17" spans="1:4" s="85" customFormat="1" ht="30.6" customHeight="1" x14ac:dyDescent="0.2">
      <c r="B17" s="101" t="s">
        <v>22</v>
      </c>
      <c r="C17" s="102" t="s">
        <v>23</v>
      </c>
    </row>
    <row r="18" spans="1:4" ht="60" customHeight="1" x14ac:dyDescent="0.2">
      <c r="A18" s="85"/>
      <c r="B18" s="105" t="s">
        <v>24</v>
      </c>
      <c r="C18" s="112" t="s">
        <v>25</v>
      </c>
      <c r="D18" s="48"/>
    </row>
    <row r="19" spans="1:4" ht="39" customHeight="1" x14ac:dyDescent="0.2">
      <c r="A19" s="85"/>
      <c r="B19" s="105" t="s">
        <v>26</v>
      </c>
      <c r="C19" s="113" t="s">
        <v>27</v>
      </c>
      <c r="D19" s="85"/>
    </row>
    <row r="20" spans="1:4" s="89" customFormat="1" ht="23.25" customHeight="1" x14ac:dyDescent="0.2">
      <c r="A20" s="88"/>
      <c r="B20" s="103"/>
      <c r="C20" s="104"/>
    </row>
    <row r="21" spans="1:4" s="89" customFormat="1" ht="69" customHeight="1" x14ac:dyDescent="0.2">
      <c r="A21" s="88"/>
      <c r="B21" s="106" t="s">
        <v>28</v>
      </c>
      <c r="C21" s="107"/>
    </row>
    <row r="22" spans="1:4" s="89" customFormat="1" ht="23.25" customHeight="1" x14ac:dyDescent="0.2">
      <c r="A22" s="88"/>
      <c r="B22" s="97" t="s">
        <v>29</v>
      </c>
      <c r="C22" s="98"/>
    </row>
    <row r="23" spans="1:4" s="89" customFormat="1" ht="23.25" customHeight="1" x14ac:dyDescent="0.2">
      <c r="A23" s="88"/>
      <c r="B23" s="95" t="s">
        <v>30</v>
      </c>
      <c r="C23" s="96" t="s">
        <v>31</v>
      </c>
    </row>
  </sheetData>
  <sheetProtection sheet="1" objects="1" scenarios="1"/>
  <hyperlinks>
    <hyperlink ref="C15" r:id="rId1" xr:uid="{00000000-0004-0000-0000-000001000000}"/>
    <hyperlink ref="C17" r:id="rId2" xr:uid="{810D316B-88CB-49A8-B6F8-0C7C8BF45BD0}"/>
    <hyperlink ref="C23" r:id="rId3" xr:uid="{564B992D-F94B-45AD-98AF-667C91FF16AB}"/>
    <hyperlink ref="C14" r:id="rId4" xr:uid="{7FADE777-1BC1-44BE-87D6-DB0A1A15D606}"/>
    <hyperlink ref="C18" r:id="rId5" xr:uid="{9C887B4E-036E-4945-A5E9-64BE27407568}"/>
    <hyperlink ref="C19" r:id="rId6" xr:uid="{C2D378BE-8A29-4C46-96E3-3013A29E6F96}"/>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9A848-9FA8-4D42-A3C6-E6D8FE32CEE7}">
  <dimension ref="A1:U124"/>
  <sheetViews>
    <sheetView showGridLines="0" workbookViewId="0"/>
  </sheetViews>
  <sheetFormatPr defaultRowHeight="12.75" x14ac:dyDescent="0.2"/>
  <cols>
    <col min="1" max="1" width="9.140625" style="85"/>
    <col min="2" max="2" width="65" customWidth="1"/>
    <col min="3" max="3" width="112.7109375" customWidth="1"/>
  </cols>
  <sheetData>
    <row r="1" spans="1:21" s="37" customFormat="1" ht="13.15" customHeight="1" x14ac:dyDescent="0.2">
      <c r="A1" s="85"/>
      <c r="B1" s="78"/>
    </row>
    <row r="2" spans="1:21" s="37" customFormat="1" ht="23.25" customHeight="1" x14ac:dyDescent="0.2">
      <c r="A2" s="86"/>
      <c r="B2" s="66" t="s">
        <v>2041</v>
      </c>
      <c r="C2" s="44"/>
      <c r="D2" s="44"/>
      <c r="E2" s="44"/>
      <c r="F2" s="44"/>
      <c r="G2" s="44"/>
      <c r="H2" s="44"/>
      <c r="I2" s="44"/>
      <c r="J2" s="44"/>
      <c r="K2" s="44"/>
      <c r="L2" s="44"/>
      <c r="M2" s="44"/>
      <c r="N2" s="44"/>
      <c r="O2" s="44"/>
      <c r="P2" s="34"/>
      <c r="Q2" s="34"/>
      <c r="R2" s="34"/>
      <c r="S2" s="34"/>
      <c r="T2" s="34"/>
      <c r="U2" s="34"/>
    </row>
    <row r="3" spans="1:21" s="37" customFormat="1" ht="17.45" customHeight="1" x14ac:dyDescent="0.2">
      <c r="A3" s="86"/>
      <c r="B3" s="53" t="s">
        <v>2037</v>
      </c>
      <c r="C3" s="44"/>
      <c r="D3" s="44"/>
      <c r="E3" s="44"/>
      <c r="F3" s="44"/>
      <c r="G3" s="44"/>
      <c r="H3" s="44"/>
      <c r="I3" s="44"/>
      <c r="J3" s="44"/>
      <c r="K3" s="44"/>
      <c r="L3" s="44"/>
      <c r="M3" s="44"/>
      <c r="N3" s="44"/>
      <c r="O3" s="44"/>
      <c r="P3" s="34"/>
      <c r="Q3" s="34"/>
      <c r="R3" s="34"/>
      <c r="S3" s="34"/>
      <c r="T3" s="34"/>
      <c r="U3" s="34"/>
    </row>
    <row r="4" spans="1:21" s="37" customFormat="1" ht="21" customHeight="1" x14ac:dyDescent="0.2">
      <c r="A4" s="109"/>
      <c r="B4" s="119" t="s">
        <v>32</v>
      </c>
      <c r="C4" s="44"/>
      <c r="D4" s="44"/>
      <c r="E4" s="44"/>
      <c r="F4" s="44"/>
      <c r="G4" s="44"/>
      <c r="H4" s="44"/>
      <c r="I4" s="44"/>
      <c r="J4" s="44"/>
      <c r="K4" s="44"/>
      <c r="L4" s="44"/>
      <c r="M4" s="44"/>
      <c r="N4" s="44"/>
      <c r="O4" s="44"/>
      <c r="P4" s="34"/>
      <c r="Q4" s="34"/>
      <c r="R4" s="34"/>
      <c r="S4" s="34"/>
      <c r="T4" s="34"/>
      <c r="U4" s="34"/>
    </row>
    <row r="5" spans="1:21" s="37" customFormat="1" ht="21.6" customHeight="1" x14ac:dyDescent="0.2">
      <c r="A5" s="86"/>
      <c r="B5" s="53" t="s">
        <v>33</v>
      </c>
      <c r="C5" s="44"/>
      <c r="D5" s="44"/>
      <c r="E5" s="44"/>
      <c r="F5" s="44"/>
      <c r="G5" s="44"/>
      <c r="H5" s="44"/>
      <c r="I5" s="44"/>
      <c r="J5" s="44"/>
      <c r="K5" s="44"/>
      <c r="L5" s="44"/>
      <c r="M5" s="44"/>
      <c r="N5" s="44"/>
      <c r="O5" s="44"/>
      <c r="P5" s="34"/>
      <c r="Q5" s="34"/>
      <c r="R5" s="34"/>
      <c r="S5" s="34"/>
      <c r="T5" s="34"/>
      <c r="U5" s="34"/>
    </row>
    <row r="6" spans="1:21" s="37" customFormat="1" ht="21.6" customHeight="1" x14ac:dyDescent="0.2">
      <c r="A6" s="86"/>
      <c r="B6" s="53"/>
      <c r="C6" s="44"/>
      <c r="D6" s="44"/>
      <c r="E6" s="44"/>
      <c r="F6" s="44"/>
      <c r="G6" s="44"/>
      <c r="H6" s="44"/>
      <c r="I6" s="44"/>
      <c r="J6" s="44"/>
      <c r="K6" s="44"/>
      <c r="L6" s="44"/>
      <c r="M6" s="44"/>
      <c r="N6" s="44"/>
      <c r="O6" s="44"/>
      <c r="P6" s="34"/>
      <c r="Q6" s="34"/>
      <c r="R6" s="34"/>
      <c r="S6" s="34"/>
      <c r="T6" s="34"/>
      <c r="U6" s="34"/>
    </row>
    <row r="7" spans="1:21" s="37" customFormat="1" ht="19.899999999999999" customHeight="1" x14ac:dyDescent="0.2">
      <c r="A7" s="86"/>
      <c r="B7" s="53" t="s">
        <v>2039</v>
      </c>
      <c r="C7" s="44"/>
      <c r="D7" s="44"/>
      <c r="E7" s="44"/>
      <c r="F7" s="44"/>
      <c r="G7" s="44"/>
      <c r="H7" s="44"/>
      <c r="I7" s="44"/>
      <c r="J7" s="44"/>
      <c r="K7" s="44"/>
      <c r="L7" s="44"/>
      <c r="M7" s="44"/>
      <c r="N7" s="44"/>
      <c r="O7" s="44"/>
    </row>
    <row r="8" spans="1:21" s="37" customFormat="1" ht="21" customHeight="1" x14ac:dyDescent="0.2">
      <c r="A8" s="109"/>
      <c r="B8" s="119" t="s">
        <v>2044</v>
      </c>
      <c r="C8" s="44"/>
      <c r="D8" s="44"/>
      <c r="E8" s="44"/>
      <c r="F8" s="44"/>
      <c r="G8" s="44"/>
      <c r="H8" s="44"/>
      <c r="I8" s="44"/>
      <c r="J8" s="44"/>
      <c r="K8" s="44"/>
      <c r="L8" s="44"/>
      <c r="M8" s="44"/>
      <c r="N8" s="44"/>
      <c r="O8" s="44"/>
      <c r="P8" s="34"/>
      <c r="Q8" s="34"/>
      <c r="R8" s="34"/>
      <c r="S8" s="34"/>
      <c r="T8" s="34"/>
      <c r="U8" s="34"/>
    </row>
    <row r="9" spans="1:21" s="37" customFormat="1" ht="18.75" customHeight="1" x14ac:dyDescent="0.2">
      <c r="A9" s="109"/>
      <c r="B9" s="53" t="s">
        <v>2040</v>
      </c>
      <c r="C9" s="44"/>
      <c r="D9" s="44"/>
      <c r="E9" s="44"/>
      <c r="F9" s="44"/>
      <c r="G9" s="44"/>
      <c r="H9" s="44"/>
      <c r="I9" s="44"/>
      <c r="J9" s="44"/>
      <c r="K9" s="44"/>
      <c r="L9" s="44"/>
      <c r="M9" s="44"/>
      <c r="N9" s="44"/>
      <c r="O9" s="44"/>
    </row>
    <row r="10" spans="1:21" s="37" customFormat="1" ht="15" customHeight="1" x14ac:dyDescent="0.2">
      <c r="A10" s="109"/>
      <c r="B10" s="119"/>
      <c r="C10" s="44"/>
      <c r="D10" s="44"/>
      <c r="E10" s="44"/>
      <c r="F10" s="44"/>
      <c r="G10" s="44"/>
      <c r="H10" s="44"/>
      <c r="I10" s="44"/>
      <c r="J10" s="44"/>
      <c r="K10" s="44"/>
      <c r="L10" s="44"/>
      <c r="M10" s="44"/>
      <c r="N10" s="44"/>
      <c r="O10" s="44"/>
    </row>
    <row r="11" spans="1:21" s="37" customFormat="1" ht="23.25" customHeight="1" x14ac:dyDescent="0.2">
      <c r="A11" s="86"/>
      <c r="B11" s="66" t="s">
        <v>2042</v>
      </c>
      <c r="C11" s="44"/>
      <c r="D11" s="44"/>
      <c r="E11" s="44"/>
      <c r="F11" s="44"/>
      <c r="G11" s="44"/>
      <c r="H11" s="44"/>
      <c r="I11" s="44"/>
      <c r="J11" s="44"/>
      <c r="K11" s="44"/>
      <c r="L11" s="44"/>
      <c r="M11" s="44"/>
      <c r="N11" s="44"/>
      <c r="O11" s="44"/>
      <c r="P11" s="34"/>
      <c r="Q11" s="34"/>
      <c r="R11" s="34"/>
      <c r="S11" s="34"/>
      <c r="T11" s="34"/>
      <c r="U11" s="34"/>
    </row>
    <row r="12" spans="1:21" s="37" customFormat="1" ht="35.25" customHeight="1" x14ac:dyDescent="0.2">
      <c r="A12" s="86"/>
      <c r="B12" s="53" t="s">
        <v>34</v>
      </c>
      <c r="C12" s="44"/>
      <c r="D12" s="44"/>
      <c r="E12" s="44"/>
      <c r="F12" s="44"/>
      <c r="G12" s="44"/>
      <c r="H12" s="44"/>
      <c r="I12" s="44"/>
      <c r="J12" s="44"/>
      <c r="K12" s="44"/>
      <c r="L12" s="44"/>
      <c r="M12" s="44"/>
      <c r="N12" s="44"/>
      <c r="O12" s="44"/>
    </row>
    <row r="13" spans="1:21" s="37" customFormat="1" ht="19.5" customHeight="1" x14ac:dyDescent="0.2">
      <c r="A13" s="86"/>
      <c r="B13" s="53" t="s">
        <v>35</v>
      </c>
      <c r="C13" s="44"/>
      <c r="D13" s="44"/>
      <c r="E13" s="44"/>
      <c r="F13" s="32"/>
      <c r="G13" s="32"/>
      <c r="H13" s="32"/>
      <c r="I13" s="32"/>
      <c r="J13" s="32"/>
      <c r="K13" s="32"/>
      <c r="L13" s="32"/>
      <c r="M13" s="32"/>
      <c r="N13" s="32"/>
      <c r="O13" s="54"/>
      <c r="P13" s="54"/>
    </row>
    <row r="14" spans="1:21" s="37" customFormat="1" ht="25.5" customHeight="1" x14ac:dyDescent="0.2">
      <c r="A14" s="85"/>
      <c r="B14" s="46" t="s">
        <v>36</v>
      </c>
      <c r="C14" s="46" t="s">
        <v>37</v>
      </c>
      <c r="D14" s="32"/>
      <c r="E14" s="32"/>
      <c r="F14" s="32"/>
      <c r="G14" s="32"/>
      <c r="H14" s="32"/>
      <c r="I14" s="32"/>
      <c r="J14" s="32"/>
      <c r="K14" s="32"/>
      <c r="L14" s="32"/>
      <c r="M14" s="32"/>
      <c r="N14" s="32"/>
      <c r="O14" s="54"/>
      <c r="P14" s="54"/>
      <c r="R14" s="82"/>
    </row>
    <row r="15" spans="1:21" s="37" customFormat="1" ht="27" customHeight="1" x14ac:dyDescent="0.2">
      <c r="A15" s="85"/>
      <c r="B15" s="46"/>
      <c r="C15" s="46"/>
      <c r="D15" s="32"/>
      <c r="E15" s="32"/>
      <c r="F15" s="41"/>
      <c r="G15" s="41"/>
      <c r="H15" s="41"/>
      <c r="I15" s="41"/>
      <c r="J15" s="41"/>
      <c r="K15" s="41"/>
      <c r="L15" s="41"/>
      <c r="M15" s="41"/>
      <c r="N15" s="41"/>
      <c r="O15" s="51"/>
      <c r="P15" s="54"/>
      <c r="R15" s="79"/>
    </row>
    <row r="16" spans="1:21" s="37" customFormat="1" ht="27" customHeight="1" x14ac:dyDescent="0.2">
      <c r="A16" s="85"/>
      <c r="B16" s="59" t="s">
        <v>38</v>
      </c>
      <c r="C16" s="55" t="s">
        <v>39</v>
      </c>
      <c r="D16" s="41"/>
      <c r="E16" s="41"/>
      <c r="F16" s="41"/>
      <c r="G16" s="41"/>
      <c r="H16" s="41"/>
      <c r="I16" s="41"/>
      <c r="J16" s="41"/>
      <c r="K16" s="41"/>
      <c r="L16" s="41"/>
      <c r="M16" s="41"/>
      <c r="N16" s="41"/>
      <c r="O16" s="51"/>
      <c r="P16" s="54"/>
      <c r="R16" s="79"/>
    </row>
    <row r="17" spans="1:18" s="37" customFormat="1" ht="27" customHeight="1" x14ac:dyDescent="0.2">
      <c r="A17" s="85"/>
      <c r="B17" s="59" t="s">
        <v>40</v>
      </c>
      <c r="C17" s="41" t="s">
        <v>41</v>
      </c>
      <c r="D17" s="41"/>
      <c r="E17" s="41"/>
      <c r="F17" s="41"/>
      <c r="G17" s="41"/>
      <c r="H17" s="41"/>
      <c r="I17" s="41"/>
      <c r="J17" s="41"/>
      <c r="K17" s="41"/>
      <c r="L17" s="41"/>
      <c r="M17" s="41"/>
      <c r="N17" s="41"/>
      <c r="O17" s="51"/>
      <c r="P17" s="54"/>
      <c r="R17" s="79"/>
    </row>
    <row r="18" spans="1:18" s="37" customFormat="1" ht="27" customHeight="1" x14ac:dyDescent="0.2">
      <c r="A18" s="85"/>
      <c r="B18" s="59" t="s">
        <v>42</v>
      </c>
      <c r="C18" s="41" t="s">
        <v>43</v>
      </c>
      <c r="D18" s="41"/>
      <c r="E18" s="41"/>
      <c r="F18" s="41"/>
      <c r="G18" s="41"/>
      <c r="H18" s="41"/>
      <c r="I18" s="41"/>
      <c r="J18" s="41"/>
      <c r="K18" s="41"/>
      <c r="L18" s="41"/>
      <c r="M18" s="41"/>
      <c r="N18" s="41"/>
      <c r="O18" s="51"/>
      <c r="P18" s="54"/>
      <c r="R18" s="79"/>
    </row>
    <row r="19" spans="1:18" s="37" customFormat="1" ht="27" customHeight="1" x14ac:dyDescent="0.2">
      <c r="A19" s="85"/>
      <c r="B19" s="59" t="s">
        <v>44</v>
      </c>
      <c r="C19" s="41" t="s">
        <v>45</v>
      </c>
      <c r="D19" s="41"/>
      <c r="E19" s="41"/>
      <c r="F19" s="41"/>
      <c r="G19" s="41"/>
      <c r="H19" s="41"/>
      <c r="I19" s="41"/>
      <c r="J19" s="41"/>
      <c r="K19" s="41"/>
      <c r="L19" s="41"/>
      <c r="M19" s="41"/>
      <c r="N19" s="41"/>
      <c r="O19" s="51"/>
      <c r="P19" s="54"/>
      <c r="R19" s="79"/>
    </row>
    <row r="20" spans="1:18" s="37" customFormat="1" ht="27" customHeight="1" x14ac:dyDescent="0.2">
      <c r="A20" s="85"/>
      <c r="B20" s="59" t="s">
        <v>46</v>
      </c>
      <c r="C20" s="41" t="s">
        <v>47</v>
      </c>
      <c r="D20" s="41"/>
      <c r="E20" s="41"/>
      <c r="F20" s="41"/>
      <c r="G20" s="41"/>
      <c r="H20" s="41"/>
      <c r="I20" s="41"/>
      <c r="J20" s="41"/>
      <c r="K20" s="41"/>
      <c r="L20" s="41"/>
      <c r="M20" s="41"/>
      <c r="N20" s="41"/>
      <c r="O20" s="51"/>
      <c r="P20" s="72"/>
      <c r="R20" s="79"/>
    </row>
    <row r="21" spans="1:18" s="37" customFormat="1" ht="27" customHeight="1" x14ac:dyDescent="0.2">
      <c r="A21" s="85"/>
      <c r="B21" s="59" t="s">
        <v>48</v>
      </c>
      <c r="C21" s="55" t="s">
        <v>49</v>
      </c>
      <c r="D21" s="41"/>
      <c r="E21" s="41"/>
      <c r="F21" s="41"/>
      <c r="G21" s="41"/>
      <c r="H21" s="41"/>
      <c r="I21" s="41"/>
      <c r="J21" s="41"/>
      <c r="K21" s="41"/>
      <c r="L21" s="41"/>
      <c r="M21" s="41"/>
      <c r="N21" s="41"/>
      <c r="O21" s="51"/>
      <c r="P21" s="72"/>
      <c r="R21" s="67"/>
    </row>
    <row r="22" spans="1:18" s="37" customFormat="1" ht="27" customHeight="1" x14ac:dyDescent="0.2">
      <c r="A22" s="85"/>
      <c r="B22" s="73" t="s">
        <v>50</v>
      </c>
      <c r="C22" s="55" t="s">
        <v>51</v>
      </c>
      <c r="D22" s="41"/>
      <c r="E22" s="41"/>
      <c r="F22" s="41"/>
      <c r="G22" s="41"/>
      <c r="H22" s="41"/>
      <c r="I22" s="41"/>
      <c r="J22" s="41"/>
      <c r="K22" s="41"/>
      <c r="L22" s="41"/>
      <c r="M22" s="41"/>
      <c r="N22" s="41"/>
      <c r="O22" s="51"/>
      <c r="P22" s="54"/>
      <c r="R22" s="79"/>
    </row>
    <row r="23" spans="1:18" s="37" customFormat="1" ht="27" customHeight="1" x14ac:dyDescent="0.2">
      <c r="A23" s="85"/>
      <c r="B23" s="59" t="s">
        <v>52</v>
      </c>
      <c r="C23" s="30" t="s">
        <v>53</v>
      </c>
      <c r="D23" s="41"/>
      <c r="E23" s="41"/>
      <c r="F23" s="41"/>
      <c r="G23" s="41"/>
      <c r="H23" s="41"/>
      <c r="I23" s="41"/>
      <c r="J23" s="41"/>
      <c r="K23" s="41"/>
      <c r="L23" s="41"/>
      <c r="M23" s="41"/>
      <c r="N23" s="41"/>
      <c r="O23" s="51"/>
      <c r="P23" s="54"/>
      <c r="R23" s="79"/>
    </row>
    <row r="24" spans="1:18" s="37" customFormat="1" ht="40.5" customHeight="1" x14ac:dyDescent="0.2">
      <c r="A24" s="85"/>
      <c r="B24" s="59" t="s">
        <v>54</v>
      </c>
      <c r="C24" s="30" t="s">
        <v>55</v>
      </c>
      <c r="D24" s="41"/>
      <c r="E24" s="41"/>
      <c r="F24" s="41"/>
      <c r="G24" s="41"/>
      <c r="H24" s="41"/>
      <c r="I24" s="41"/>
      <c r="J24" s="41"/>
      <c r="K24" s="41"/>
      <c r="L24" s="41"/>
      <c r="M24" s="41"/>
      <c r="N24" s="41"/>
      <c r="O24" s="51"/>
      <c r="P24" s="54"/>
      <c r="R24" s="74"/>
    </row>
    <row r="25" spans="1:18" s="37" customFormat="1" ht="40.5" customHeight="1" x14ac:dyDescent="0.2">
      <c r="A25" s="85"/>
      <c r="B25" s="59" t="s">
        <v>56</v>
      </c>
      <c r="C25" s="64" t="s">
        <v>57</v>
      </c>
      <c r="D25" s="41"/>
      <c r="E25" s="41"/>
      <c r="F25" s="55"/>
      <c r="G25" s="55"/>
      <c r="H25" s="55"/>
      <c r="I25" s="55"/>
      <c r="J25" s="55"/>
      <c r="K25" s="55"/>
      <c r="L25" s="55"/>
      <c r="M25" s="55"/>
      <c r="N25" s="55"/>
      <c r="O25" s="51"/>
      <c r="P25" s="54"/>
      <c r="R25" s="74"/>
    </row>
    <row r="26" spans="1:18" s="49" customFormat="1" ht="40.5" customHeight="1" x14ac:dyDescent="0.2">
      <c r="A26" s="85"/>
      <c r="B26" s="77" t="s">
        <v>58</v>
      </c>
      <c r="C26" s="68" t="s">
        <v>59</v>
      </c>
      <c r="D26" s="55"/>
      <c r="E26" s="55"/>
      <c r="F26" s="38"/>
      <c r="G26" s="38"/>
      <c r="H26" s="38"/>
      <c r="I26" s="38"/>
      <c r="J26" s="38"/>
      <c r="K26" s="38"/>
      <c r="L26" s="38"/>
      <c r="M26" s="38"/>
      <c r="N26" s="38"/>
      <c r="O26" s="35"/>
      <c r="P26" s="42"/>
      <c r="R26" s="50"/>
    </row>
    <row r="27" spans="1:18" s="37" customFormat="1" ht="64.150000000000006" customHeight="1" x14ac:dyDescent="0.2">
      <c r="A27" s="88"/>
      <c r="B27" s="69" t="s">
        <v>60</v>
      </c>
      <c r="C27" s="31" t="s">
        <v>61</v>
      </c>
      <c r="D27" s="38"/>
      <c r="E27" s="38"/>
      <c r="F27" s="41"/>
      <c r="G27" s="41"/>
      <c r="H27" s="41"/>
      <c r="I27" s="41"/>
      <c r="J27" s="41"/>
      <c r="K27" s="41"/>
      <c r="L27" s="41"/>
      <c r="M27" s="41"/>
      <c r="N27" s="41"/>
      <c r="O27" s="51"/>
      <c r="P27" s="54"/>
      <c r="R27" s="81"/>
    </row>
    <row r="28" spans="1:18" s="37" customFormat="1" ht="27" customHeight="1" x14ac:dyDescent="0.2">
      <c r="A28" s="88"/>
      <c r="B28" s="59" t="s">
        <v>62</v>
      </c>
      <c r="C28" s="41" t="s">
        <v>63</v>
      </c>
      <c r="D28" s="41"/>
      <c r="E28" s="41"/>
      <c r="F28" s="41"/>
      <c r="G28" s="41"/>
      <c r="H28" s="41"/>
      <c r="I28" s="41"/>
      <c r="J28" s="41"/>
      <c r="K28" s="41"/>
      <c r="L28" s="41"/>
      <c r="M28" s="41"/>
      <c r="N28" s="41"/>
      <c r="O28" s="51"/>
      <c r="P28" s="54"/>
      <c r="R28" s="81"/>
    </row>
    <row r="29" spans="1:18" s="37" customFormat="1" ht="34.5" customHeight="1" x14ac:dyDescent="0.2">
      <c r="A29" s="88"/>
      <c r="B29" s="59" t="s">
        <v>64</v>
      </c>
      <c r="C29" s="41" t="s">
        <v>65</v>
      </c>
      <c r="D29" s="41"/>
      <c r="E29" s="41"/>
      <c r="F29" s="41"/>
      <c r="G29" s="41"/>
      <c r="H29" s="41"/>
      <c r="I29" s="41"/>
      <c r="J29" s="41"/>
      <c r="K29" s="41"/>
      <c r="L29" s="41"/>
      <c r="M29" s="41"/>
      <c r="N29" s="41"/>
      <c r="O29" s="51"/>
      <c r="P29" s="54"/>
      <c r="R29" s="81"/>
    </row>
    <row r="30" spans="1:18" s="37" customFormat="1" ht="34.5" customHeight="1" x14ac:dyDescent="0.2">
      <c r="A30" s="88"/>
      <c r="B30" s="59" t="s">
        <v>66</v>
      </c>
      <c r="C30" s="41" t="s">
        <v>67</v>
      </c>
      <c r="D30" s="41"/>
      <c r="E30" s="41"/>
      <c r="F30" s="59"/>
      <c r="G30" s="59"/>
      <c r="H30" s="59"/>
      <c r="I30" s="59"/>
      <c r="J30" s="59"/>
      <c r="K30" s="59"/>
      <c r="L30" s="59"/>
      <c r="M30" s="59"/>
      <c r="N30" s="59"/>
      <c r="O30" s="51"/>
      <c r="P30" s="54"/>
      <c r="R30" s="81"/>
    </row>
    <row r="31" spans="1:18" s="37" customFormat="1" ht="48.6" customHeight="1" x14ac:dyDescent="0.2">
      <c r="A31" s="85"/>
      <c r="B31" s="59" t="s">
        <v>68</v>
      </c>
      <c r="C31" s="59" t="s">
        <v>69</v>
      </c>
      <c r="D31" s="59"/>
      <c r="E31" s="59"/>
      <c r="F31" s="59"/>
      <c r="G31" s="59"/>
      <c r="H31" s="59"/>
      <c r="I31" s="59"/>
      <c r="J31" s="59"/>
      <c r="K31" s="59"/>
      <c r="L31" s="59"/>
      <c r="M31" s="59"/>
      <c r="N31" s="59"/>
      <c r="O31" s="51"/>
      <c r="P31" s="54"/>
      <c r="R31" s="81"/>
    </row>
    <row r="32" spans="1:18" s="37" customFormat="1" ht="25.15" customHeight="1" x14ac:dyDescent="0.2">
      <c r="A32" s="85"/>
      <c r="B32" s="59" t="s">
        <v>70</v>
      </c>
      <c r="C32" s="41" t="s">
        <v>71</v>
      </c>
      <c r="D32" s="59"/>
      <c r="E32" s="59"/>
      <c r="F32" s="59"/>
      <c r="G32" s="59"/>
      <c r="H32" s="59"/>
      <c r="I32" s="59"/>
      <c r="J32" s="59"/>
      <c r="K32" s="59"/>
      <c r="L32" s="59"/>
      <c r="M32" s="59"/>
      <c r="N32" s="59"/>
      <c r="O32" s="57"/>
      <c r="P32" s="54"/>
      <c r="R32" s="81"/>
    </row>
    <row r="33" spans="1:18" s="37" customFormat="1" ht="73.900000000000006" customHeight="1" x14ac:dyDescent="0.2">
      <c r="A33" s="85"/>
      <c r="B33" s="59" t="s">
        <v>72</v>
      </c>
      <c r="C33" s="77" t="s">
        <v>73</v>
      </c>
      <c r="D33" s="59"/>
      <c r="E33" s="59"/>
      <c r="F33" s="77"/>
      <c r="G33" s="77"/>
      <c r="H33" s="77"/>
      <c r="I33" s="77"/>
      <c r="J33" s="77"/>
      <c r="K33" s="77"/>
      <c r="L33" s="77"/>
      <c r="M33" s="77"/>
      <c r="N33" s="77"/>
      <c r="O33" s="51"/>
      <c r="P33" s="54"/>
      <c r="R33" s="65"/>
    </row>
    <row r="34" spans="1:18" s="49" customFormat="1" ht="61.5" customHeight="1" x14ac:dyDescent="0.2">
      <c r="A34" s="85"/>
      <c r="B34" s="77" t="s">
        <v>74</v>
      </c>
      <c r="C34" s="68" t="s">
        <v>75</v>
      </c>
      <c r="D34" s="77"/>
      <c r="E34" s="77"/>
      <c r="F34" s="69"/>
      <c r="G34" s="69"/>
      <c r="H34" s="69"/>
      <c r="I34" s="69"/>
      <c r="J34" s="69"/>
      <c r="K34" s="69"/>
      <c r="L34" s="69"/>
      <c r="M34" s="69"/>
      <c r="N34" s="69"/>
      <c r="O34" s="35"/>
      <c r="P34" s="42"/>
      <c r="R34" s="61"/>
    </row>
    <row r="35" spans="1:18" s="49" customFormat="1" ht="27" customHeight="1" x14ac:dyDescent="0.2">
      <c r="A35" s="85"/>
      <c r="B35" s="77" t="s">
        <v>76</v>
      </c>
      <c r="C35" s="68" t="s">
        <v>77</v>
      </c>
      <c r="D35" s="69"/>
      <c r="E35" s="69"/>
      <c r="F35" s="70"/>
      <c r="G35" s="70"/>
      <c r="H35" s="70"/>
      <c r="I35" s="70"/>
      <c r="J35" s="70"/>
      <c r="K35" s="70"/>
      <c r="L35" s="70"/>
      <c r="M35" s="70"/>
      <c r="N35" s="70"/>
      <c r="O35" s="35"/>
      <c r="P35" s="42"/>
      <c r="R35" s="81"/>
    </row>
    <row r="36" spans="1:18" s="49" customFormat="1" ht="27" customHeight="1" x14ac:dyDescent="0.2">
      <c r="A36" s="85"/>
      <c r="B36" s="77" t="s">
        <v>78</v>
      </c>
      <c r="C36" s="68" t="s">
        <v>79</v>
      </c>
      <c r="D36" s="70"/>
      <c r="E36" s="70"/>
      <c r="F36" s="70"/>
      <c r="G36" s="70"/>
      <c r="H36" s="70"/>
      <c r="I36" s="70"/>
      <c r="J36" s="70"/>
      <c r="K36" s="70"/>
      <c r="L36" s="70"/>
      <c r="M36" s="70"/>
      <c r="N36" s="70"/>
      <c r="O36" s="35"/>
      <c r="P36" s="42"/>
      <c r="R36" s="81"/>
    </row>
    <row r="37" spans="1:18" s="49" customFormat="1" ht="27" customHeight="1" x14ac:dyDescent="0.2">
      <c r="A37" s="85"/>
      <c r="B37" s="56"/>
      <c r="C37" s="68"/>
      <c r="D37" s="70"/>
      <c r="E37" s="70"/>
      <c r="F37" s="70"/>
      <c r="G37" s="70"/>
      <c r="H37" s="70"/>
      <c r="I37" s="70"/>
      <c r="J37" s="70"/>
      <c r="K37" s="70"/>
      <c r="L37" s="70"/>
      <c r="M37" s="70"/>
      <c r="N37" s="56"/>
      <c r="O37" s="35"/>
      <c r="P37" s="33"/>
      <c r="R37" s="81"/>
    </row>
    <row r="38" spans="1:18" s="49" customFormat="1" ht="27" customHeight="1" x14ac:dyDescent="0.2">
      <c r="A38" s="85"/>
      <c r="B38" s="56"/>
      <c r="C38" s="70"/>
      <c r="D38" s="70"/>
      <c r="E38" s="70"/>
      <c r="F38" s="70"/>
      <c r="G38" s="70"/>
      <c r="H38" s="70"/>
      <c r="I38" s="70"/>
      <c r="J38" s="70"/>
      <c r="K38" s="70"/>
      <c r="L38" s="70"/>
      <c r="M38" s="70"/>
      <c r="N38" s="70"/>
      <c r="O38" s="35"/>
      <c r="P38" s="33"/>
      <c r="R38" s="81"/>
    </row>
    <row r="39" spans="1:18" s="49" customFormat="1" ht="27" customHeight="1" x14ac:dyDescent="0.2">
      <c r="A39" s="85"/>
      <c r="B39" s="56"/>
      <c r="C39" s="70"/>
      <c r="D39" s="70"/>
      <c r="E39" s="70"/>
      <c r="F39" s="70"/>
      <c r="G39" s="70"/>
      <c r="H39" s="70"/>
      <c r="I39" s="70"/>
      <c r="J39" s="70"/>
      <c r="K39" s="70"/>
      <c r="L39" s="70"/>
      <c r="M39" s="70"/>
      <c r="N39" s="70"/>
      <c r="O39" s="35"/>
      <c r="P39" s="42"/>
      <c r="R39" s="81"/>
    </row>
    <row r="40" spans="1:18" s="49" customFormat="1" ht="27" customHeight="1" x14ac:dyDescent="0.2">
      <c r="A40" s="85"/>
      <c r="B40" s="56"/>
      <c r="C40" s="70"/>
      <c r="D40" s="70"/>
      <c r="E40" s="70"/>
      <c r="F40" s="70"/>
      <c r="G40" s="70"/>
      <c r="H40" s="70"/>
      <c r="I40" s="70"/>
      <c r="J40" s="70"/>
      <c r="K40" s="70"/>
      <c r="L40" s="70"/>
      <c r="M40" s="70"/>
      <c r="N40" s="70"/>
      <c r="O40" s="35"/>
      <c r="P40" s="42"/>
      <c r="R40" s="81"/>
    </row>
    <row r="41" spans="1:18" s="49" customFormat="1" ht="27" customHeight="1" x14ac:dyDescent="0.2">
      <c r="A41" s="85"/>
      <c r="B41" s="69"/>
      <c r="C41" s="38"/>
      <c r="D41" s="38"/>
      <c r="E41" s="38"/>
      <c r="F41" s="38"/>
      <c r="G41" s="38"/>
      <c r="H41" s="38"/>
      <c r="I41" s="38"/>
      <c r="J41" s="38"/>
      <c r="K41" s="38"/>
      <c r="L41" s="38"/>
      <c r="M41" s="38"/>
      <c r="N41" s="38"/>
      <c r="O41" s="62"/>
      <c r="P41" s="42"/>
      <c r="R41" s="81"/>
    </row>
    <row r="42" spans="1:18" s="49" customFormat="1" ht="27" customHeight="1" x14ac:dyDescent="0.2">
      <c r="A42" s="85"/>
      <c r="B42" s="69"/>
      <c r="C42" s="38"/>
      <c r="D42" s="38"/>
      <c r="E42" s="38"/>
      <c r="F42" s="38"/>
      <c r="G42" s="38"/>
      <c r="H42" s="38"/>
      <c r="I42" s="38"/>
      <c r="J42" s="38"/>
      <c r="K42" s="38"/>
      <c r="L42" s="38"/>
      <c r="M42" s="38"/>
      <c r="N42" s="38"/>
      <c r="O42" s="62"/>
      <c r="P42" s="42"/>
      <c r="R42" s="81"/>
    </row>
    <row r="43" spans="1:18" s="49" customFormat="1" ht="27" customHeight="1" x14ac:dyDescent="0.2">
      <c r="A43" s="85"/>
      <c r="B43" s="69"/>
      <c r="C43" s="38"/>
      <c r="D43" s="38"/>
      <c r="E43" s="38"/>
      <c r="F43" s="38"/>
      <c r="G43" s="38"/>
      <c r="H43" s="38"/>
      <c r="I43" s="38"/>
      <c r="J43" s="38"/>
      <c r="K43" s="38"/>
      <c r="L43" s="38"/>
      <c r="M43" s="38"/>
      <c r="N43" s="38"/>
      <c r="O43" s="62"/>
      <c r="P43" s="42"/>
      <c r="R43" s="81"/>
    </row>
    <row r="44" spans="1:18" s="49" customFormat="1" ht="27" customHeight="1" x14ac:dyDescent="0.2">
      <c r="A44" s="85"/>
      <c r="B44" s="69"/>
      <c r="C44" s="38"/>
      <c r="D44" s="38"/>
      <c r="E44" s="38"/>
      <c r="F44" s="38"/>
      <c r="G44" s="38"/>
      <c r="H44" s="38"/>
      <c r="I44" s="38"/>
      <c r="J44" s="38"/>
      <c r="K44" s="38"/>
      <c r="L44" s="38"/>
      <c r="M44" s="38"/>
      <c r="N44" s="38"/>
      <c r="O44" s="62"/>
      <c r="P44" s="42"/>
      <c r="R44" s="81"/>
    </row>
    <row r="45" spans="1:18" s="58" customFormat="1" ht="27" customHeight="1" x14ac:dyDescent="0.2">
      <c r="A45" s="85"/>
      <c r="B45" s="69"/>
      <c r="C45" s="38"/>
      <c r="D45" s="75"/>
      <c r="E45" s="75"/>
      <c r="F45" s="75"/>
      <c r="G45" s="75"/>
      <c r="H45" s="75"/>
      <c r="I45" s="75"/>
      <c r="J45" s="75"/>
      <c r="K45" s="75"/>
      <c r="L45" s="75"/>
      <c r="M45" s="75"/>
      <c r="N45" s="75"/>
      <c r="O45" s="75"/>
    </row>
    <row r="46" spans="1:18" s="49" customFormat="1" ht="27" customHeight="1" x14ac:dyDescent="0.2">
      <c r="A46" s="85"/>
      <c r="B46" s="69"/>
      <c r="C46" s="38"/>
      <c r="D46" s="38"/>
      <c r="E46" s="38"/>
      <c r="F46" s="38"/>
      <c r="G46" s="38"/>
      <c r="H46" s="38"/>
      <c r="I46" s="38"/>
      <c r="J46" s="38"/>
      <c r="K46" s="38"/>
      <c r="L46" s="38"/>
      <c r="M46" s="38"/>
      <c r="N46" s="38"/>
      <c r="O46" s="62"/>
      <c r="P46" s="42"/>
      <c r="R46" s="81"/>
    </row>
    <row r="47" spans="1:18" s="49" customFormat="1" ht="27" customHeight="1" x14ac:dyDescent="0.2">
      <c r="A47" s="85"/>
      <c r="B47" s="69"/>
      <c r="C47" s="38"/>
      <c r="D47" s="38"/>
      <c r="E47" s="38"/>
      <c r="F47" s="38"/>
      <c r="G47" s="38"/>
      <c r="H47" s="38"/>
      <c r="I47" s="38"/>
      <c r="J47" s="38"/>
      <c r="K47" s="38"/>
      <c r="L47" s="38"/>
      <c r="M47" s="38"/>
      <c r="N47" s="38"/>
      <c r="O47" s="62"/>
      <c r="P47" s="42"/>
      <c r="R47" s="58"/>
    </row>
    <row r="48" spans="1:18" s="49" customFormat="1" ht="27" customHeight="1" x14ac:dyDescent="0.2">
      <c r="A48" s="85"/>
      <c r="B48" s="69"/>
      <c r="C48" s="38"/>
      <c r="D48" s="69"/>
      <c r="E48" s="69"/>
      <c r="F48" s="69"/>
      <c r="G48" s="69"/>
      <c r="H48" s="69"/>
      <c r="I48" s="69"/>
      <c r="J48" s="69"/>
      <c r="K48" s="69"/>
      <c r="L48" s="69"/>
      <c r="M48" s="69"/>
      <c r="N48" s="38"/>
      <c r="O48" s="62"/>
      <c r="R48" s="81"/>
    </row>
    <row r="49" spans="1:18" s="33" customFormat="1" ht="15" x14ac:dyDescent="0.2">
      <c r="A49" s="85"/>
      <c r="B49" s="69"/>
      <c r="C49" s="70"/>
      <c r="D49" s="38"/>
      <c r="E49" s="38"/>
      <c r="F49" s="38"/>
      <c r="G49" s="38"/>
      <c r="H49" s="38"/>
      <c r="I49" s="38"/>
      <c r="J49" s="38"/>
      <c r="K49" s="38"/>
      <c r="L49" s="38"/>
      <c r="M49" s="38"/>
      <c r="N49" s="38"/>
      <c r="O49" s="38"/>
      <c r="P49" s="39"/>
      <c r="R49" s="39"/>
    </row>
    <row r="50" spans="1:18" s="33" customFormat="1" ht="15.75" customHeight="1" x14ac:dyDescent="0.2">
      <c r="A50" s="85"/>
      <c r="B50" s="69"/>
      <c r="C50" s="70"/>
      <c r="D50" s="38"/>
      <c r="E50" s="38"/>
      <c r="F50" s="38"/>
      <c r="G50" s="38"/>
      <c r="H50" s="38"/>
      <c r="I50" s="38"/>
      <c r="J50" s="38"/>
      <c r="K50" s="38"/>
      <c r="L50" s="38"/>
      <c r="M50" s="38"/>
      <c r="N50" s="38"/>
      <c r="O50" s="38"/>
      <c r="P50" s="39"/>
      <c r="R50" s="39"/>
    </row>
    <row r="51" spans="1:18" s="33" customFormat="1" ht="15.75" customHeight="1" x14ac:dyDescent="0.2">
      <c r="A51" s="85"/>
      <c r="B51" s="69"/>
      <c r="C51" s="70"/>
      <c r="D51" s="38"/>
      <c r="E51" s="38"/>
      <c r="F51" s="38"/>
      <c r="G51" s="38"/>
      <c r="H51" s="38"/>
      <c r="I51" s="38"/>
      <c r="J51" s="38"/>
      <c r="K51" s="38"/>
      <c r="L51" s="38"/>
      <c r="M51" s="38"/>
      <c r="N51" s="38"/>
      <c r="O51" s="38"/>
      <c r="P51" s="39"/>
      <c r="R51" s="39"/>
    </row>
    <row r="52" spans="1:18" s="33" customFormat="1" ht="15.75" customHeight="1" x14ac:dyDescent="0.2">
      <c r="A52" s="85"/>
      <c r="B52" s="69"/>
      <c r="C52" s="70"/>
      <c r="D52" s="38"/>
      <c r="E52" s="38"/>
      <c r="F52" s="38"/>
      <c r="G52" s="38"/>
      <c r="H52" s="38"/>
      <c r="I52" s="38"/>
      <c r="J52" s="38"/>
      <c r="K52" s="38"/>
      <c r="L52" s="38"/>
      <c r="M52" s="38"/>
      <c r="N52" s="38"/>
      <c r="O52" s="38"/>
      <c r="P52" s="36"/>
      <c r="R52" s="39"/>
    </row>
    <row r="53" spans="1:18" s="33" customFormat="1" ht="15.75" customHeight="1" x14ac:dyDescent="0.2">
      <c r="A53" s="85"/>
      <c r="B53" s="69"/>
      <c r="C53" s="70"/>
      <c r="D53" s="38"/>
      <c r="E53" s="38"/>
      <c r="F53" s="38"/>
      <c r="G53" s="38"/>
      <c r="H53" s="38"/>
      <c r="I53" s="38"/>
      <c r="J53" s="38"/>
      <c r="K53" s="38"/>
      <c r="L53" s="38"/>
      <c r="M53" s="38"/>
      <c r="N53" s="38"/>
      <c r="O53" s="38"/>
      <c r="P53" s="36"/>
      <c r="R53" s="39"/>
    </row>
    <row r="54" spans="1:18" s="33" customFormat="1" ht="15.75" customHeight="1" x14ac:dyDescent="0.2">
      <c r="A54" s="85"/>
      <c r="B54" s="69"/>
      <c r="C54" s="70"/>
      <c r="D54" s="38"/>
      <c r="E54" s="38"/>
      <c r="F54" s="38"/>
      <c r="G54" s="38"/>
      <c r="H54" s="38"/>
      <c r="I54" s="38"/>
      <c r="J54" s="38"/>
      <c r="K54" s="38"/>
      <c r="L54" s="38"/>
      <c r="M54" s="38"/>
      <c r="N54" s="38"/>
      <c r="O54" s="38"/>
      <c r="P54" s="39"/>
      <c r="R54" s="39"/>
    </row>
    <row r="55" spans="1:18" s="33" customFormat="1" ht="15.75" customHeight="1" x14ac:dyDescent="0.2">
      <c r="A55" s="85"/>
      <c r="B55" s="69"/>
      <c r="C55" s="70"/>
      <c r="D55" s="38"/>
      <c r="E55" s="38"/>
      <c r="F55" s="38"/>
      <c r="G55" s="38"/>
      <c r="H55" s="38"/>
      <c r="I55" s="38"/>
      <c r="J55" s="38"/>
      <c r="K55" s="38"/>
      <c r="L55" s="38"/>
      <c r="M55" s="38"/>
      <c r="N55" s="38"/>
      <c r="O55" s="38"/>
      <c r="P55" s="36"/>
      <c r="R55" s="39"/>
    </row>
    <row r="56" spans="1:18" s="33" customFormat="1" ht="15.75" customHeight="1" x14ac:dyDescent="0.2">
      <c r="A56" s="85"/>
      <c r="B56" s="69"/>
      <c r="C56" s="70"/>
      <c r="D56" s="38"/>
      <c r="E56" s="38"/>
      <c r="F56" s="38"/>
      <c r="G56" s="38"/>
      <c r="H56" s="38"/>
      <c r="I56" s="38"/>
      <c r="J56" s="38"/>
      <c r="K56" s="38"/>
      <c r="L56" s="38"/>
      <c r="M56" s="38"/>
      <c r="N56" s="38"/>
      <c r="O56" s="38"/>
      <c r="P56" s="36"/>
      <c r="R56" s="39"/>
    </row>
    <row r="57" spans="1:18" s="33" customFormat="1" ht="15.75" customHeight="1" x14ac:dyDescent="0.2">
      <c r="A57" s="85"/>
      <c r="B57" s="69"/>
      <c r="C57" s="70"/>
      <c r="D57" s="38"/>
      <c r="E57" s="38"/>
      <c r="F57" s="38"/>
      <c r="G57" s="38"/>
      <c r="H57" s="38"/>
      <c r="I57" s="38"/>
      <c r="J57" s="38"/>
      <c r="K57" s="38"/>
      <c r="L57" s="38"/>
      <c r="M57" s="38"/>
      <c r="N57" s="38"/>
      <c r="O57" s="38"/>
      <c r="P57" s="36"/>
      <c r="R57" s="39"/>
    </row>
    <row r="58" spans="1:18" s="33" customFormat="1" ht="15.75" customHeight="1" x14ac:dyDescent="0.2">
      <c r="A58" s="85"/>
      <c r="B58" s="69"/>
      <c r="C58" s="70"/>
      <c r="D58" s="38"/>
      <c r="E58" s="38"/>
      <c r="F58" s="38"/>
      <c r="G58" s="38"/>
      <c r="H58" s="38"/>
      <c r="I58" s="38"/>
      <c r="J58" s="38"/>
      <c r="K58" s="38"/>
      <c r="L58" s="38"/>
      <c r="M58" s="38"/>
      <c r="N58" s="38"/>
      <c r="O58" s="38"/>
      <c r="P58" s="36"/>
      <c r="R58" s="39"/>
    </row>
    <row r="59" spans="1:18" s="33" customFormat="1" ht="15.75" customHeight="1" x14ac:dyDescent="0.2">
      <c r="A59" s="85"/>
      <c r="B59" s="69"/>
      <c r="C59" s="70"/>
      <c r="D59" s="38"/>
      <c r="E59" s="38"/>
      <c r="F59" s="38"/>
      <c r="G59" s="38"/>
      <c r="H59" s="38"/>
      <c r="I59" s="38"/>
      <c r="J59" s="38"/>
      <c r="K59" s="38"/>
      <c r="L59" s="38"/>
      <c r="M59" s="38"/>
      <c r="N59" s="38"/>
      <c r="O59" s="38"/>
      <c r="P59" s="36"/>
      <c r="R59" s="39"/>
    </row>
    <row r="60" spans="1:18" s="33" customFormat="1" ht="15" x14ac:dyDescent="0.2">
      <c r="A60" s="85"/>
      <c r="B60" s="69"/>
      <c r="C60" s="70"/>
      <c r="D60" s="38"/>
      <c r="E60" s="38"/>
      <c r="F60" s="38"/>
      <c r="G60" s="38"/>
      <c r="H60" s="38"/>
      <c r="I60" s="38"/>
      <c r="J60" s="38"/>
      <c r="K60" s="38"/>
      <c r="L60" s="38"/>
      <c r="M60" s="38"/>
      <c r="N60" s="38"/>
      <c r="O60" s="38"/>
      <c r="P60" s="39"/>
      <c r="R60" s="39"/>
    </row>
    <row r="61" spans="1:18" s="33" customFormat="1" ht="15.75" customHeight="1" x14ac:dyDescent="0.2">
      <c r="A61" s="85"/>
      <c r="B61" s="69"/>
      <c r="C61" s="70"/>
      <c r="D61" s="38"/>
      <c r="E61" s="38"/>
      <c r="F61" s="38"/>
      <c r="G61" s="38"/>
      <c r="H61" s="38"/>
      <c r="I61" s="38"/>
      <c r="J61" s="38"/>
      <c r="K61" s="38"/>
      <c r="L61" s="38"/>
      <c r="M61" s="38"/>
      <c r="N61" s="38"/>
      <c r="O61" s="38"/>
      <c r="P61" s="39"/>
      <c r="R61" s="39"/>
    </row>
    <row r="62" spans="1:18" s="33" customFormat="1" ht="15.75" customHeight="1" x14ac:dyDescent="0.2">
      <c r="A62" s="85"/>
      <c r="B62" s="69"/>
      <c r="C62" s="70"/>
      <c r="D62" s="38"/>
      <c r="E62" s="38"/>
      <c r="F62" s="38"/>
      <c r="G62" s="38"/>
      <c r="H62" s="38"/>
      <c r="I62" s="38"/>
      <c r="J62" s="38"/>
      <c r="K62" s="38"/>
      <c r="L62" s="38"/>
      <c r="M62" s="38"/>
      <c r="N62" s="38"/>
      <c r="O62" s="38"/>
      <c r="P62" s="36"/>
      <c r="R62" s="39"/>
    </row>
    <row r="63" spans="1:18" s="33" customFormat="1" ht="15" x14ac:dyDescent="0.2">
      <c r="A63" s="85"/>
      <c r="B63" s="69"/>
      <c r="C63" s="70"/>
      <c r="D63" s="38"/>
      <c r="E63" s="38"/>
      <c r="F63" s="38"/>
      <c r="G63" s="38"/>
      <c r="H63" s="38"/>
      <c r="I63" s="38"/>
      <c r="J63" s="38"/>
      <c r="K63" s="38"/>
      <c r="L63" s="38"/>
      <c r="M63" s="38"/>
      <c r="N63" s="38"/>
      <c r="O63" s="38"/>
      <c r="P63" s="39"/>
      <c r="R63" s="39"/>
    </row>
    <row r="64" spans="1:18" s="33" customFormat="1" ht="15.75" customHeight="1" x14ac:dyDescent="0.2">
      <c r="A64" s="85"/>
      <c r="B64" s="69"/>
      <c r="C64" s="45"/>
      <c r="D64" s="38"/>
      <c r="E64" s="38"/>
      <c r="F64" s="38"/>
      <c r="G64" s="38"/>
      <c r="H64" s="38"/>
      <c r="I64" s="38"/>
      <c r="J64" s="38"/>
      <c r="K64" s="38"/>
      <c r="L64" s="38"/>
      <c r="M64" s="38"/>
      <c r="N64" s="38"/>
      <c r="O64" s="38"/>
      <c r="P64" s="39"/>
      <c r="R64" s="39"/>
    </row>
    <row r="65" spans="1:18" s="33" customFormat="1" ht="15" x14ac:dyDescent="0.2">
      <c r="A65" s="85"/>
      <c r="B65" s="69"/>
      <c r="C65" s="70"/>
      <c r="D65" s="38"/>
      <c r="E65" s="38"/>
      <c r="F65" s="38"/>
      <c r="G65" s="38"/>
      <c r="H65" s="38"/>
      <c r="I65" s="38"/>
      <c r="J65" s="38"/>
      <c r="K65" s="38"/>
      <c r="L65" s="38"/>
      <c r="M65" s="38"/>
      <c r="N65" s="38"/>
      <c r="O65" s="38"/>
      <c r="P65" s="39"/>
      <c r="R65" s="39"/>
    </row>
    <row r="66" spans="1:18" s="33" customFormat="1" ht="15" x14ac:dyDescent="0.2">
      <c r="A66" s="85"/>
      <c r="B66" s="69"/>
      <c r="C66" s="70"/>
      <c r="D66" s="38"/>
      <c r="E66" s="38"/>
      <c r="F66" s="38"/>
      <c r="G66" s="38"/>
      <c r="H66" s="38"/>
      <c r="I66" s="38"/>
      <c r="J66" s="38"/>
      <c r="K66" s="38"/>
      <c r="L66" s="38"/>
      <c r="M66" s="38"/>
      <c r="N66" s="38"/>
      <c r="O66" s="38"/>
      <c r="P66" s="39"/>
      <c r="R66" s="39"/>
    </row>
    <row r="67" spans="1:18" s="33" customFormat="1" ht="15.75" customHeight="1" x14ac:dyDescent="0.2">
      <c r="A67" s="85"/>
      <c r="B67" s="69"/>
      <c r="C67" s="70"/>
      <c r="D67" s="38"/>
      <c r="E67" s="38"/>
      <c r="F67" s="38"/>
      <c r="G67" s="38"/>
      <c r="H67" s="38"/>
      <c r="I67" s="38"/>
      <c r="J67" s="38"/>
      <c r="K67" s="38"/>
      <c r="L67" s="38"/>
      <c r="M67" s="38"/>
      <c r="N67" s="38"/>
      <c r="O67" s="38"/>
      <c r="P67" s="39"/>
      <c r="R67" s="39"/>
    </row>
    <row r="68" spans="1:18" s="33" customFormat="1" ht="15.75" customHeight="1" x14ac:dyDescent="0.2">
      <c r="A68" s="85"/>
      <c r="B68" s="69"/>
      <c r="C68" s="70"/>
      <c r="D68" s="38"/>
      <c r="E68" s="38"/>
      <c r="F68" s="38"/>
      <c r="G68" s="38"/>
      <c r="H68" s="38"/>
      <c r="I68" s="38"/>
      <c r="J68" s="38"/>
      <c r="K68" s="38"/>
      <c r="L68" s="38"/>
      <c r="M68" s="38"/>
      <c r="N68" s="38"/>
      <c r="O68" s="38"/>
      <c r="P68" s="36"/>
      <c r="R68" s="39"/>
    </row>
    <row r="69" spans="1:18" s="33" customFormat="1" ht="15.75" customHeight="1" x14ac:dyDescent="0.2">
      <c r="A69" s="85"/>
      <c r="B69" s="69"/>
      <c r="C69" s="70"/>
      <c r="D69" s="38"/>
      <c r="E69" s="38"/>
      <c r="F69" s="38"/>
      <c r="G69" s="38"/>
      <c r="H69" s="38"/>
      <c r="I69" s="38"/>
      <c r="J69" s="38"/>
      <c r="K69" s="38"/>
      <c r="L69" s="38"/>
      <c r="M69" s="38"/>
      <c r="N69" s="38"/>
      <c r="O69" s="38"/>
      <c r="P69" s="36"/>
      <c r="R69" s="39"/>
    </row>
    <row r="70" spans="1:18" s="33" customFormat="1" ht="15.75" customHeight="1" x14ac:dyDescent="0.2">
      <c r="A70" s="85"/>
      <c r="B70" s="69"/>
      <c r="C70" s="38"/>
      <c r="D70" s="38"/>
      <c r="E70" s="38"/>
      <c r="F70" s="38"/>
      <c r="G70" s="38"/>
      <c r="H70" s="38"/>
      <c r="I70" s="38"/>
      <c r="J70" s="38"/>
      <c r="K70" s="38"/>
      <c r="L70" s="38"/>
      <c r="M70" s="38"/>
      <c r="N70" s="38"/>
      <c r="O70" s="38"/>
      <c r="P70" s="36"/>
      <c r="R70" s="39"/>
    </row>
    <row r="71" spans="1:18" s="49" customFormat="1" ht="27" customHeight="1" x14ac:dyDescent="0.2">
      <c r="A71" s="85"/>
      <c r="B71" s="69"/>
      <c r="C71" s="38"/>
      <c r="D71" s="69"/>
      <c r="E71" s="69"/>
      <c r="F71" s="69"/>
      <c r="G71" s="69"/>
      <c r="H71" s="69"/>
      <c r="I71" s="69"/>
      <c r="J71" s="69"/>
      <c r="K71" s="69"/>
      <c r="L71" s="69"/>
      <c r="M71" s="69"/>
      <c r="N71" s="38"/>
      <c r="O71" s="62"/>
      <c r="R71" s="39"/>
    </row>
    <row r="72" spans="1:18" s="49" customFormat="1" ht="27" customHeight="1" x14ac:dyDescent="0.2">
      <c r="A72" s="85"/>
      <c r="B72" s="69"/>
      <c r="C72" s="38"/>
      <c r="D72" s="69"/>
      <c r="E72" s="69"/>
      <c r="F72" s="69"/>
      <c r="G72" s="69"/>
      <c r="H72" s="69"/>
      <c r="I72" s="69"/>
      <c r="J72" s="69"/>
      <c r="K72" s="69"/>
      <c r="L72" s="69"/>
      <c r="M72" s="69"/>
      <c r="N72" s="38"/>
      <c r="O72" s="62"/>
      <c r="R72" s="39"/>
    </row>
    <row r="73" spans="1:18" s="49" customFormat="1" ht="27" customHeight="1" x14ac:dyDescent="0.2">
      <c r="A73" s="85"/>
      <c r="B73" s="69"/>
      <c r="C73" s="38"/>
      <c r="D73" s="38"/>
      <c r="E73" s="38"/>
      <c r="F73" s="38"/>
      <c r="G73" s="38"/>
      <c r="H73" s="38"/>
      <c r="I73" s="38"/>
      <c r="J73" s="38"/>
      <c r="K73" s="38"/>
      <c r="L73" s="38"/>
      <c r="M73" s="38"/>
      <c r="N73" s="38"/>
      <c r="O73" s="62"/>
      <c r="R73" s="39"/>
    </row>
    <row r="74" spans="1:18" s="49" customFormat="1" ht="27" customHeight="1" x14ac:dyDescent="0.2">
      <c r="A74" s="85"/>
      <c r="B74" s="69"/>
      <c r="C74" s="38"/>
      <c r="D74" s="69"/>
      <c r="E74" s="38"/>
      <c r="F74" s="38"/>
      <c r="G74" s="38"/>
      <c r="H74" s="38"/>
      <c r="I74" s="38"/>
      <c r="J74" s="38"/>
      <c r="K74" s="38"/>
      <c r="L74" s="38"/>
      <c r="M74" s="38"/>
      <c r="N74" s="38"/>
      <c r="O74" s="62"/>
      <c r="R74" s="81"/>
    </row>
    <row r="75" spans="1:18" s="49" customFormat="1" ht="27" customHeight="1" x14ac:dyDescent="0.2">
      <c r="A75" s="85"/>
      <c r="B75" s="69"/>
      <c r="C75" s="38"/>
      <c r="D75" s="38"/>
      <c r="E75" s="38"/>
      <c r="F75" s="38"/>
      <c r="G75" s="38"/>
      <c r="H75" s="38"/>
      <c r="I75" s="38"/>
      <c r="J75" s="38"/>
      <c r="K75" s="38"/>
      <c r="L75" s="38"/>
      <c r="M75" s="38"/>
      <c r="N75" s="38"/>
      <c r="O75" s="62"/>
      <c r="R75" s="81"/>
    </row>
    <row r="76" spans="1:18" s="49" customFormat="1" ht="27" customHeight="1" x14ac:dyDescent="0.2">
      <c r="A76" s="85"/>
      <c r="B76" s="69"/>
      <c r="C76" s="38"/>
      <c r="D76" s="38"/>
      <c r="E76" s="38"/>
      <c r="F76" s="38"/>
      <c r="G76" s="38"/>
      <c r="H76" s="38"/>
      <c r="I76" s="38"/>
      <c r="J76" s="38"/>
      <c r="K76" s="38"/>
      <c r="L76" s="38"/>
      <c r="M76" s="38"/>
      <c r="N76" s="38"/>
      <c r="O76" s="62"/>
      <c r="R76" s="81"/>
    </row>
    <row r="77" spans="1:18" s="49" customFormat="1" ht="27" customHeight="1" x14ac:dyDescent="0.2">
      <c r="A77" s="85"/>
      <c r="B77" s="69"/>
      <c r="C77" s="38"/>
      <c r="D77" s="38"/>
      <c r="E77" s="38"/>
      <c r="F77" s="38"/>
      <c r="G77" s="38"/>
      <c r="H77" s="38"/>
      <c r="I77" s="38"/>
      <c r="J77" s="38"/>
      <c r="K77" s="38"/>
      <c r="L77" s="38"/>
      <c r="M77" s="38"/>
      <c r="N77" s="38"/>
      <c r="O77" s="62"/>
      <c r="R77" s="81"/>
    </row>
    <row r="78" spans="1:18" s="49" customFormat="1" ht="27" customHeight="1" x14ac:dyDescent="0.2">
      <c r="A78" s="85"/>
      <c r="B78" s="56"/>
      <c r="C78" s="70"/>
      <c r="D78" s="70"/>
      <c r="E78" s="70"/>
      <c r="F78" s="70"/>
      <c r="G78" s="70"/>
      <c r="H78" s="70"/>
      <c r="I78" s="70"/>
      <c r="J78" s="70"/>
      <c r="K78" s="70"/>
      <c r="L78" s="70"/>
      <c r="M78" s="70"/>
      <c r="N78" s="70"/>
      <c r="O78" s="35"/>
      <c r="R78" s="81"/>
    </row>
    <row r="79" spans="1:18" s="49" customFormat="1" ht="15" x14ac:dyDescent="0.2">
      <c r="A79" s="85"/>
      <c r="B79" s="56"/>
      <c r="C79" s="70"/>
      <c r="D79" s="70"/>
      <c r="E79" s="70"/>
      <c r="F79" s="70"/>
      <c r="G79" s="70"/>
      <c r="H79" s="70"/>
      <c r="I79" s="70"/>
      <c r="J79" s="70"/>
      <c r="K79" s="70"/>
      <c r="L79" s="70"/>
      <c r="M79" s="70"/>
      <c r="N79" s="70"/>
      <c r="O79" s="35"/>
      <c r="R79" s="81"/>
    </row>
    <row r="80" spans="1:18" s="49" customFormat="1" ht="15.75" customHeight="1" x14ac:dyDescent="0.2">
      <c r="A80" s="85"/>
      <c r="B80" s="56"/>
      <c r="C80" s="70"/>
      <c r="D80" s="56"/>
      <c r="E80" s="56"/>
      <c r="F80" s="56"/>
      <c r="G80" s="56"/>
      <c r="H80" s="56"/>
      <c r="I80" s="56"/>
      <c r="J80" s="56"/>
      <c r="K80" s="56"/>
      <c r="L80" s="56"/>
      <c r="M80" s="56"/>
      <c r="N80" s="70"/>
      <c r="O80" s="35"/>
      <c r="R80" s="81"/>
    </row>
    <row r="81" spans="1:18" s="49" customFormat="1" ht="15.75" customHeight="1" x14ac:dyDescent="0.2">
      <c r="A81" s="85"/>
      <c r="B81" s="56"/>
      <c r="C81" s="70"/>
      <c r="D81" s="70"/>
      <c r="E81" s="70"/>
      <c r="F81" s="70"/>
      <c r="G81" s="70"/>
      <c r="H81" s="70"/>
      <c r="I81" s="70"/>
      <c r="J81" s="70"/>
      <c r="K81" s="70"/>
      <c r="L81" s="70"/>
      <c r="M81" s="70"/>
      <c r="N81" s="70"/>
      <c r="O81" s="35"/>
      <c r="R81" s="39"/>
    </row>
    <row r="82" spans="1:18" s="49" customFormat="1" ht="15.75" customHeight="1" x14ac:dyDescent="0.2">
      <c r="A82" s="85"/>
      <c r="B82" s="56"/>
      <c r="C82" s="70"/>
      <c r="D82" s="70"/>
      <c r="E82" s="70"/>
      <c r="F82" s="70"/>
      <c r="G82" s="70"/>
      <c r="H82" s="70"/>
      <c r="I82" s="70"/>
      <c r="J82" s="70"/>
      <c r="K82" s="70"/>
      <c r="L82" s="70"/>
      <c r="M82" s="70"/>
      <c r="N82" s="70"/>
      <c r="O82" s="35"/>
      <c r="R82" s="81"/>
    </row>
    <row r="83" spans="1:18" s="49" customFormat="1" ht="15.75" customHeight="1" x14ac:dyDescent="0.2">
      <c r="A83" s="85"/>
      <c r="B83" s="56"/>
      <c r="C83" s="70"/>
      <c r="D83" s="70"/>
      <c r="E83" s="70"/>
      <c r="F83" s="70"/>
      <c r="G83" s="70"/>
      <c r="H83" s="70"/>
      <c r="I83" s="70"/>
      <c r="J83" s="70"/>
      <c r="K83" s="70"/>
      <c r="L83" s="70"/>
      <c r="M83" s="70"/>
      <c r="N83" s="70"/>
      <c r="O83" s="35"/>
      <c r="R83" s="81"/>
    </row>
    <row r="84" spans="1:18" s="49" customFormat="1" ht="15.75" customHeight="1" x14ac:dyDescent="0.2">
      <c r="A84" s="85"/>
      <c r="B84" s="47"/>
      <c r="C84" s="42"/>
      <c r="D84" s="42"/>
      <c r="E84" s="42"/>
      <c r="F84" s="42"/>
      <c r="G84" s="42"/>
      <c r="H84" s="42"/>
      <c r="I84" s="42"/>
      <c r="J84" s="42"/>
      <c r="K84" s="42"/>
      <c r="L84" s="42"/>
      <c r="M84" s="42"/>
      <c r="N84" s="70"/>
      <c r="O84" s="70"/>
      <c r="R84" s="50"/>
    </row>
    <row r="85" spans="1:18" s="49" customFormat="1" ht="15.75" customHeight="1" x14ac:dyDescent="0.2">
      <c r="A85" s="85"/>
      <c r="B85" s="56"/>
      <c r="C85" s="70"/>
      <c r="D85" s="70"/>
      <c r="E85" s="70"/>
      <c r="F85" s="70"/>
      <c r="G85" s="70"/>
      <c r="H85" s="70"/>
      <c r="I85" s="70"/>
      <c r="J85" s="70"/>
      <c r="K85" s="70"/>
      <c r="L85" s="70"/>
      <c r="M85" s="70"/>
      <c r="N85" s="70"/>
      <c r="O85" s="70"/>
      <c r="R85" s="81"/>
    </row>
    <row r="86" spans="1:18" s="49" customFormat="1" ht="15.75" customHeight="1" x14ac:dyDescent="0.2">
      <c r="A86" s="85"/>
      <c r="B86" s="56"/>
      <c r="C86" s="70"/>
      <c r="D86" s="70"/>
      <c r="E86" s="70"/>
      <c r="F86" s="70"/>
      <c r="G86" s="70"/>
      <c r="H86" s="70"/>
      <c r="I86" s="70"/>
      <c r="J86" s="70"/>
      <c r="K86" s="70"/>
      <c r="L86" s="70"/>
      <c r="M86" s="70"/>
      <c r="N86" s="70"/>
      <c r="O86" s="70"/>
      <c r="P86" s="42"/>
      <c r="R86" s="81"/>
    </row>
    <row r="87" spans="1:18" s="49" customFormat="1" ht="15.75" customHeight="1" x14ac:dyDescent="0.2">
      <c r="A87" s="85"/>
      <c r="B87" s="56"/>
      <c r="C87" s="70"/>
      <c r="D87" s="70"/>
      <c r="E87" s="70"/>
      <c r="F87" s="70"/>
      <c r="G87" s="70"/>
      <c r="H87" s="70"/>
      <c r="I87" s="70"/>
      <c r="J87" s="70"/>
      <c r="K87" s="70"/>
      <c r="L87" s="70"/>
      <c r="M87" s="70"/>
      <c r="N87" s="70"/>
      <c r="O87" s="70"/>
      <c r="P87" s="42"/>
      <c r="R87" s="81"/>
    </row>
    <row r="88" spans="1:18" s="49" customFormat="1" ht="15.75" customHeight="1" x14ac:dyDescent="0.2">
      <c r="A88" s="85"/>
      <c r="B88" s="56"/>
      <c r="C88" s="70"/>
      <c r="D88" s="70"/>
      <c r="E88" s="70"/>
      <c r="F88" s="70"/>
      <c r="G88" s="70"/>
      <c r="H88" s="70"/>
      <c r="I88" s="70"/>
      <c r="J88" s="70"/>
      <c r="K88" s="70"/>
      <c r="L88" s="70"/>
      <c r="M88" s="70"/>
      <c r="N88" s="70"/>
      <c r="O88" s="70"/>
      <c r="P88" s="42"/>
      <c r="R88" s="74"/>
    </row>
    <row r="89" spans="1:18" s="49" customFormat="1" ht="15.75" customHeight="1" x14ac:dyDescent="0.2">
      <c r="A89" s="85"/>
      <c r="B89" s="56"/>
      <c r="C89" s="70"/>
      <c r="D89" s="71"/>
      <c r="E89" s="70"/>
      <c r="F89" s="70"/>
      <c r="G89" s="70"/>
      <c r="H89" s="70"/>
      <c r="I89" s="60"/>
      <c r="J89" s="70"/>
      <c r="K89" s="70"/>
      <c r="L89" s="70"/>
      <c r="M89" s="70"/>
      <c r="N89" s="70"/>
      <c r="O89" s="70"/>
      <c r="P89" s="42"/>
      <c r="R89" s="81"/>
    </row>
    <row r="90" spans="1:18" s="49" customFormat="1" ht="15.75" customHeight="1" x14ac:dyDescent="0.2">
      <c r="A90" s="85"/>
      <c r="B90" s="56"/>
      <c r="C90" s="70"/>
      <c r="D90" s="71"/>
      <c r="E90" s="70"/>
      <c r="F90" s="70"/>
      <c r="G90" s="70"/>
      <c r="H90" s="70"/>
      <c r="I90" s="70"/>
      <c r="J90" s="70"/>
      <c r="K90" s="70"/>
      <c r="L90" s="70"/>
      <c r="M90" s="70"/>
      <c r="N90" s="70"/>
      <c r="O90" s="70"/>
      <c r="P90" s="42"/>
      <c r="R90" s="39"/>
    </row>
    <row r="91" spans="1:18" s="49" customFormat="1" ht="15" x14ac:dyDescent="0.2">
      <c r="A91" s="85"/>
      <c r="B91" s="56"/>
      <c r="C91" s="70"/>
      <c r="D91" s="70"/>
      <c r="E91" s="70"/>
      <c r="F91" s="70"/>
      <c r="G91" s="70"/>
      <c r="H91" s="70"/>
      <c r="I91" s="70"/>
      <c r="J91" s="70"/>
      <c r="K91" s="70"/>
      <c r="L91" s="70"/>
      <c r="M91" s="70"/>
      <c r="N91" s="70"/>
      <c r="O91" s="70"/>
      <c r="P91" s="42"/>
      <c r="R91" s="39"/>
    </row>
    <row r="92" spans="1:18" s="49" customFormat="1" ht="15" x14ac:dyDescent="0.2">
      <c r="A92" s="85"/>
      <c r="B92" s="56"/>
      <c r="C92" s="70"/>
      <c r="D92" s="70"/>
      <c r="E92" s="70"/>
      <c r="F92" s="70"/>
      <c r="G92" s="70"/>
      <c r="H92" s="70"/>
      <c r="I92" s="70"/>
      <c r="J92" s="70"/>
      <c r="K92" s="70"/>
      <c r="L92" s="70"/>
      <c r="M92" s="70"/>
      <c r="N92" s="70"/>
      <c r="O92" s="70"/>
      <c r="P92" s="39"/>
      <c r="R92" s="39"/>
    </row>
    <row r="93" spans="1:18" s="49" customFormat="1" ht="15.75" customHeight="1" x14ac:dyDescent="0.2">
      <c r="A93" s="85"/>
      <c r="B93" s="56"/>
      <c r="C93" s="70"/>
      <c r="D93" s="70"/>
      <c r="E93" s="70"/>
      <c r="F93" s="70"/>
      <c r="G93" s="70"/>
      <c r="H93" s="70"/>
      <c r="I93" s="70"/>
      <c r="J93" s="70"/>
      <c r="K93" s="70"/>
      <c r="L93" s="70"/>
      <c r="M93" s="70"/>
      <c r="N93" s="70"/>
      <c r="O93" s="70"/>
      <c r="P93" s="39"/>
      <c r="R93" s="81"/>
    </row>
    <row r="94" spans="1:18" s="49" customFormat="1" ht="15.75" customHeight="1" x14ac:dyDescent="0.2">
      <c r="A94" s="85"/>
      <c r="B94" s="56"/>
      <c r="C94" s="71"/>
      <c r="D94" s="70"/>
      <c r="E94" s="70"/>
      <c r="F94" s="70"/>
      <c r="G94" s="70"/>
      <c r="H94" s="70"/>
      <c r="I94" s="70"/>
      <c r="J94" s="70"/>
      <c r="K94" s="70"/>
      <c r="L94" s="70"/>
      <c r="M94" s="70"/>
      <c r="N94" s="70"/>
      <c r="O94" s="70"/>
      <c r="P94" s="39"/>
      <c r="R94" s="81"/>
    </row>
    <row r="95" spans="1:18" s="49" customFormat="1" ht="26.65" customHeight="1" x14ac:dyDescent="0.2">
      <c r="A95" s="85"/>
      <c r="B95" s="56"/>
      <c r="C95" s="71"/>
      <c r="D95" s="70"/>
      <c r="E95" s="70"/>
      <c r="F95" s="70"/>
      <c r="G95" s="70"/>
      <c r="H95" s="70"/>
      <c r="I95" s="70"/>
      <c r="J95" s="70"/>
      <c r="K95" s="70"/>
      <c r="L95" s="70"/>
      <c r="M95" s="70"/>
      <c r="N95" s="70"/>
      <c r="O95" s="70"/>
      <c r="P95" s="39"/>
      <c r="R95" s="81"/>
    </row>
    <row r="96" spans="1:18" s="49" customFormat="1" ht="15.75" customHeight="1" x14ac:dyDescent="0.2">
      <c r="A96" s="85"/>
      <c r="B96" s="56"/>
      <c r="C96" s="71"/>
      <c r="D96" s="70"/>
      <c r="E96" s="70"/>
      <c r="F96" s="70"/>
      <c r="G96" s="70"/>
      <c r="H96" s="70"/>
      <c r="I96" s="70"/>
      <c r="J96" s="70"/>
      <c r="K96" s="70"/>
      <c r="L96" s="70"/>
      <c r="M96" s="70"/>
      <c r="N96" s="70"/>
      <c r="O96" s="70"/>
      <c r="P96" s="39"/>
      <c r="R96" s="81"/>
    </row>
    <row r="97" spans="1:18" s="49" customFormat="1" ht="15.75" customHeight="1" x14ac:dyDescent="0.2">
      <c r="A97" s="85"/>
      <c r="B97" s="56"/>
      <c r="C97" s="71"/>
      <c r="D97" s="70"/>
      <c r="E97" s="70"/>
      <c r="F97" s="70"/>
      <c r="G97" s="70"/>
      <c r="H97" s="70"/>
      <c r="I97" s="70"/>
      <c r="J97" s="70"/>
      <c r="K97" s="70"/>
      <c r="L97" s="70"/>
      <c r="M97" s="70"/>
      <c r="N97" s="70"/>
      <c r="O97" s="70"/>
      <c r="P97" s="39"/>
      <c r="R97" s="81"/>
    </row>
    <row r="98" spans="1:18" s="49" customFormat="1" ht="15.75" customHeight="1" x14ac:dyDescent="0.2">
      <c r="A98" s="85"/>
      <c r="B98" s="56"/>
      <c r="C98" s="71"/>
      <c r="D98" s="70"/>
      <c r="E98" s="70"/>
      <c r="F98" s="70"/>
      <c r="G98" s="70"/>
      <c r="H98" s="70"/>
      <c r="I98" s="70"/>
      <c r="J98" s="70"/>
      <c r="K98" s="70"/>
      <c r="L98" s="70"/>
      <c r="M98" s="70"/>
      <c r="N98" s="70"/>
      <c r="O98" s="70"/>
      <c r="P98" s="42"/>
      <c r="R98" s="81"/>
    </row>
    <row r="99" spans="1:18" s="49" customFormat="1" ht="15.75" customHeight="1" x14ac:dyDescent="0.2">
      <c r="A99" s="85"/>
      <c r="B99" s="56"/>
      <c r="C99" s="71"/>
      <c r="D99" s="70"/>
      <c r="E99" s="70"/>
      <c r="F99" s="70"/>
      <c r="G99" s="70"/>
      <c r="H99" s="70"/>
      <c r="I99" s="70"/>
      <c r="J99" s="70"/>
      <c r="K99" s="70"/>
      <c r="L99" s="70"/>
      <c r="M99" s="70"/>
      <c r="N99" s="70"/>
      <c r="O99" s="70"/>
      <c r="P99" s="42"/>
      <c r="R99" s="39"/>
    </row>
    <row r="100" spans="1:18" s="49" customFormat="1" ht="15.75" customHeight="1" x14ac:dyDescent="0.2">
      <c r="A100" s="85"/>
      <c r="B100" s="56"/>
      <c r="C100" s="71"/>
      <c r="D100" s="70"/>
      <c r="E100" s="70"/>
      <c r="F100" s="70"/>
      <c r="G100" s="70"/>
      <c r="H100" s="70"/>
      <c r="I100" s="70"/>
      <c r="J100" s="70"/>
      <c r="K100" s="70"/>
      <c r="L100" s="70"/>
      <c r="M100" s="70"/>
      <c r="N100" s="70"/>
      <c r="O100" s="70"/>
      <c r="P100" s="42"/>
      <c r="R100" s="81"/>
    </row>
    <row r="101" spans="1:18" s="49" customFormat="1" ht="15.75" customHeight="1" x14ac:dyDescent="0.2">
      <c r="A101" s="85"/>
      <c r="B101" s="56"/>
      <c r="C101" s="71"/>
      <c r="D101" s="70"/>
      <c r="E101" s="70"/>
      <c r="F101" s="70"/>
      <c r="G101" s="70"/>
      <c r="H101" s="70"/>
      <c r="I101" s="70"/>
      <c r="J101" s="70"/>
      <c r="K101" s="70"/>
      <c r="L101" s="70"/>
      <c r="M101" s="70"/>
      <c r="N101" s="70"/>
      <c r="O101" s="70"/>
      <c r="P101" s="42"/>
      <c r="R101" s="81"/>
    </row>
    <row r="102" spans="1:18" s="49" customFormat="1" ht="15.75" customHeight="1" x14ac:dyDescent="0.2">
      <c r="A102" s="85"/>
      <c r="B102" s="56"/>
      <c r="C102" s="71"/>
      <c r="D102" s="70"/>
      <c r="E102" s="70"/>
      <c r="F102" s="70"/>
      <c r="G102" s="70"/>
      <c r="H102" s="70"/>
      <c r="I102" s="70"/>
      <c r="J102" s="70"/>
      <c r="K102" s="70"/>
      <c r="L102" s="70"/>
      <c r="M102" s="70"/>
      <c r="N102" s="70"/>
      <c r="O102" s="70"/>
      <c r="P102" s="42"/>
      <c r="R102" s="81"/>
    </row>
    <row r="103" spans="1:18" s="49" customFormat="1" ht="15.75" customHeight="1" x14ac:dyDescent="0.2">
      <c r="A103" s="85"/>
      <c r="B103" s="56"/>
      <c r="C103" s="71"/>
      <c r="D103" s="70"/>
      <c r="E103" s="70"/>
      <c r="F103" s="70"/>
      <c r="G103" s="70"/>
      <c r="H103" s="70"/>
      <c r="I103" s="70"/>
      <c r="J103" s="70"/>
      <c r="K103" s="70"/>
      <c r="L103" s="70"/>
      <c r="M103" s="70"/>
      <c r="N103" s="70"/>
      <c r="O103" s="70"/>
      <c r="P103" s="42"/>
      <c r="R103" s="81"/>
    </row>
    <row r="104" spans="1:18" s="49" customFormat="1" ht="15.75" customHeight="1" x14ac:dyDescent="0.2">
      <c r="A104" s="85"/>
      <c r="B104" s="56"/>
      <c r="C104" s="71"/>
      <c r="D104" s="70"/>
      <c r="E104" s="70"/>
      <c r="F104" s="70"/>
      <c r="G104" s="70"/>
      <c r="H104" s="70"/>
      <c r="I104" s="70"/>
      <c r="J104" s="70"/>
      <c r="K104" s="70"/>
      <c r="L104" s="70"/>
      <c r="M104" s="70"/>
      <c r="N104" s="70"/>
      <c r="O104" s="70"/>
      <c r="P104" s="42"/>
      <c r="R104" s="81"/>
    </row>
    <row r="105" spans="1:18" s="49" customFormat="1" ht="15.75" customHeight="1" x14ac:dyDescent="0.2">
      <c r="A105" s="85"/>
      <c r="B105" s="56"/>
      <c r="C105" s="71"/>
      <c r="D105" s="70"/>
      <c r="E105" s="70"/>
      <c r="F105" s="70"/>
      <c r="G105" s="70"/>
      <c r="H105" s="70"/>
      <c r="I105" s="70"/>
      <c r="J105" s="70"/>
      <c r="K105" s="70"/>
      <c r="L105" s="70"/>
      <c r="M105" s="70"/>
      <c r="N105" s="70"/>
      <c r="O105" s="70"/>
      <c r="P105" s="42"/>
      <c r="R105" s="81"/>
    </row>
    <row r="106" spans="1:18" s="49" customFormat="1" ht="15.75" customHeight="1" x14ac:dyDescent="0.2">
      <c r="A106" s="85"/>
      <c r="B106" s="56"/>
      <c r="C106" s="71"/>
      <c r="D106" s="70"/>
      <c r="E106" s="70"/>
      <c r="F106" s="70"/>
      <c r="G106" s="70"/>
      <c r="H106" s="70"/>
      <c r="I106" s="70"/>
      <c r="J106" s="70"/>
      <c r="K106" s="70"/>
      <c r="L106" s="70"/>
      <c r="M106" s="70"/>
      <c r="N106" s="70"/>
      <c r="O106" s="70"/>
      <c r="P106" s="42"/>
      <c r="R106" s="81"/>
    </row>
    <row r="107" spans="1:18" s="49" customFormat="1" ht="15.75" customHeight="1" x14ac:dyDescent="0.2">
      <c r="A107" s="85"/>
      <c r="B107" s="56"/>
      <c r="C107" s="71"/>
      <c r="D107" s="70"/>
      <c r="E107" s="70"/>
      <c r="F107" s="70"/>
      <c r="G107" s="70"/>
      <c r="H107" s="70"/>
      <c r="I107" s="70"/>
      <c r="J107" s="70"/>
      <c r="K107" s="70"/>
      <c r="L107" s="70"/>
      <c r="M107" s="70"/>
      <c r="N107" s="70"/>
      <c r="O107" s="70"/>
      <c r="P107" s="42"/>
      <c r="R107" s="81"/>
    </row>
    <row r="108" spans="1:18" s="49" customFormat="1" ht="99.75" customHeight="1" x14ac:dyDescent="0.2">
      <c r="A108" s="85"/>
      <c r="B108" s="56"/>
      <c r="C108" s="69"/>
      <c r="D108" s="69"/>
      <c r="E108" s="69"/>
      <c r="F108" s="69"/>
      <c r="G108" s="69"/>
      <c r="H108" s="69"/>
      <c r="I108" s="69"/>
      <c r="J108" s="69"/>
      <c r="K108" s="69"/>
      <c r="L108" s="69"/>
      <c r="M108" s="69"/>
      <c r="N108" s="69"/>
      <c r="O108" s="56"/>
      <c r="P108" s="42"/>
      <c r="R108" s="50"/>
    </row>
    <row r="109" spans="1:18" s="49" customFormat="1" ht="47.25" customHeight="1" x14ac:dyDescent="0.2">
      <c r="A109" s="85"/>
      <c r="B109" s="56"/>
      <c r="C109" s="56"/>
      <c r="D109" s="56"/>
      <c r="E109" s="56"/>
      <c r="F109" s="56"/>
      <c r="G109" s="56"/>
      <c r="H109" s="56"/>
      <c r="I109" s="56"/>
      <c r="J109" s="56"/>
      <c r="K109" s="56"/>
      <c r="L109" s="56"/>
      <c r="M109" s="56"/>
      <c r="N109" s="56"/>
      <c r="O109" s="80"/>
      <c r="P109" s="80"/>
      <c r="R109" s="81"/>
    </row>
    <row r="110" spans="1:18" s="37" customFormat="1" ht="15" x14ac:dyDescent="0.2">
      <c r="A110" s="85"/>
    </row>
    <row r="111" spans="1:18" s="37" customFormat="1" ht="15" x14ac:dyDescent="0.2">
      <c r="A111" s="85"/>
    </row>
    <row r="112" spans="1:18" s="37" customFormat="1" ht="15" x14ac:dyDescent="0.2">
      <c r="A112" s="85"/>
    </row>
    <row r="113" spans="1:1" s="37" customFormat="1" ht="15" x14ac:dyDescent="0.2">
      <c r="A113" s="85"/>
    </row>
    <row r="114" spans="1:1" s="37" customFormat="1" ht="15" x14ac:dyDescent="0.2">
      <c r="A114" s="85"/>
    </row>
    <row r="115" spans="1:1" s="37" customFormat="1" ht="15" x14ac:dyDescent="0.2">
      <c r="A115" s="85"/>
    </row>
    <row r="116" spans="1:1" s="37" customFormat="1" ht="15" x14ac:dyDescent="0.2">
      <c r="A116" s="85"/>
    </row>
    <row r="117" spans="1:1" s="37" customFormat="1" ht="15" x14ac:dyDescent="0.2">
      <c r="A117" s="85"/>
    </row>
    <row r="118" spans="1:1" s="37" customFormat="1" ht="15" x14ac:dyDescent="0.2">
      <c r="A118" s="85"/>
    </row>
    <row r="119" spans="1:1" s="37" customFormat="1" ht="15" x14ac:dyDescent="0.2">
      <c r="A119" s="85"/>
    </row>
    <row r="120" spans="1:1" s="37" customFormat="1" ht="15" x14ac:dyDescent="0.2">
      <c r="A120" s="85"/>
    </row>
    <row r="121" spans="1:1" s="37" customFormat="1" ht="15" x14ac:dyDescent="0.2">
      <c r="A121" s="85"/>
    </row>
    <row r="122" spans="1:1" s="37" customFormat="1" ht="15" x14ac:dyDescent="0.2">
      <c r="A122" s="85"/>
    </row>
    <row r="123" spans="1:1" s="37" customFormat="1" ht="15" x14ac:dyDescent="0.2">
      <c r="A123" s="85"/>
    </row>
    <row r="124" spans="1:1" s="37" customFormat="1" ht="15" x14ac:dyDescent="0.2">
      <c r="A124" s="85"/>
    </row>
  </sheetData>
  <sheetProtection sheet="1" objects="1" scenarios="1"/>
  <hyperlinks>
    <hyperlink ref="B4" r:id="rId1" xr:uid="{34F33343-EC94-4D40-8197-FE100CDEB6AB}"/>
    <hyperlink ref="B8" r:id="rId2" xr:uid="{ED08806A-BC34-47F3-85C2-C0D126BF10B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53E4-CD04-4B1D-8ED0-142C48742839}">
  <dimension ref="A1:J172"/>
  <sheetViews>
    <sheetView showGridLines="0" workbookViewId="0">
      <pane ySplit="6" topLeftCell="A7" activePane="bottomLeft" state="frozen"/>
      <selection pane="bottomLeft"/>
    </sheetView>
  </sheetViews>
  <sheetFormatPr defaultRowHeight="12.75" x14ac:dyDescent="0.2"/>
  <cols>
    <col min="1" max="1" width="9.140625" customWidth="1"/>
    <col min="2" max="2" width="37.140625" customWidth="1"/>
    <col min="3" max="3" width="10.7109375" bestFit="1" customWidth="1"/>
    <col min="4" max="9" width="12" style="5" customWidth="1"/>
  </cols>
  <sheetData>
    <row r="1" spans="1:10" x14ac:dyDescent="0.2">
      <c r="A1" s="85" t="s">
        <v>232</v>
      </c>
      <c r="B1" s="85"/>
      <c r="C1" s="85"/>
      <c r="D1" s="85"/>
      <c r="E1" s="85"/>
      <c r="F1" s="85"/>
      <c r="G1" s="85"/>
      <c r="H1" s="85"/>
      <c r="I1" s="85"/>
    </row>
    <row r="2" spans="1:10" ht="14.25" x14ac:dyDescent="0.2">
      <c r="A2" s="85"/>
      <c r="B2" s="7" t="s">
        <v>233</v>
      </c>
      <c r="C2" s="6"/>
      <c r="D2" s="85"/>
      <c r="E2" s="85"/>
      <c r="F2" s="85"/>
      <c r="G2" s="85"/>
      <c r="H2" s="85"/>
      <c r="I2" s="85"/>
    </row>
    <row r="3" spans="1:10" x14ac:dyDescent="0.2">
      <c r="A3" s="85"/>
      <c r="B3" s="13" t="s">
        <v>2036</v>
      </c>
      <c r="C3" s="6"/>
      <c r="D3" s="85"/>
      <c r="E3" s="85"/>
      <c r="F3" s="85"/>
      <c r="G3" s="85"/>
      <c r="H3" s="85"/>
      <c r="I3" s="85"/>
    </row>
    <row r="4" spans="1:10" x14ac:dyDescent="0.2">
      <c r="A4" s="85"/>
      <c r="B4" s="13"/>
      <c r="C4" s="6"/>
      <c r="D4" s="85"/>
      <c r="E4" s="85"/>
      <c r="F4" s="85"/>
      <c r="G4" s="85"/>
      <c r="H4" s="85"/>
      <c r="I4" s="85"/>
    </row>
    <row r="5" spans="1:10" s="26" customFormat="1" x14ac:dyDescent="0.2">
      <c r="B5" s="27"/>
      <c r="C5" s="28"/>
      <c r="D5" s="29"/>
      <c r="E5" s="29"/>
      <c r="F5" s="29"/>
      <c r="G5" s="29"/>
      <c r="H5" s="29"/>
      <c r="I5" s="29"/>
    </row>
    <row r="6" spans="1:10" x14ac:dyDescent="0.2">
      <c r="A6" s="85"/>
      <c r="B6" s="14" t="s">
        <v>234</v>
      </c>
      <c r="C6" s="15"/>
      <c r="D6" s="4" t="s">
        <v>80</v>
      </c>
      <c r="E6" s="4" t="s">
        <v>81</v>
      </c>
      <c r="F6" s="4" t="s">
        <v>82</v>
      </c>
      <c r="G6" s="4" t="s">
        <v>83</v>
      </c>
      <c r="H6" s="4" t="s">
        <v>84</v>
      </c>
      <c r="I6" s="4" t="s">
        <v>235</v>
      </c>
    </row>
    <row r="7" spans="1:10" x14ac:dyDescent="0.2">
      <c r="A7" s="85"/>
      <c r="B7" s="16"/>
      <c r="C7" s="9"/>
      <c r="D7" s="17"/>
      <c r="E7" s="17"/>
      <c r="F7" s="17"/>
      <c r="G7" s="17"/>
      <c r="H7" s="17"/>
      <c r="I7" s="17"/>
    </row>
    <row r="8" spans="1:10" x14ac:dyDescent="0.2">
      <c r="A8" s="85"/>
      <c r="B8" s="10" t="s">
        <v>7</v>
      </c>
      <c r="C8" s="10"/>
      <c r="D8" s="18">
        <v>5</v>
      </c>
      <c r="E8" s="18">
        <v>519</v>
      </c>
      <c r="F8" s="18">
        <v>134</v>
      </c>
      <c r="G8" s="18">
        <v>32</v>
      </c>
      <c r="H8" s="18">
        <v>9</v>
      </c>
      <c r="I8" s="18">
        <v>699</v>
      </c>
    </row>
    <row r="9" spans="1:10" x14ac:dyDescent="0.2">
      <c r="A9" s="85"/>
      <c r="B9" s="10" t="s">
        <v>236</v>
      </c>
      <c r="C9" s="10"/>
      <c r="D9" s="18">
        <v>0</v>
      </c>
      <c r="E9" s="18">
        <v>74</v>
      </c>
      <c r="F9" s="18">
        <v>18</v>
      </c>
      <c r="G9" s="18">
        <v>4</v>
      </c>
      <c r="H9" s="18">
        <v>3</v>
      </c>
      <c r="I9" s="18">
        <v>99</v>
      </c>
    </row>
    <row r="10" spans="1:10" x14ac:dyDescent="0.2">
      <c r="A10" s="85"/>
      <c r="B10" s="10" t="s">
        <v>135</v>
      </c>
      <c r="C10" s="10"/>
      <c r="D10" s="18">
        <v>0</v>
      </c>
      <c r="E10" s="18">
        <v>27</v>
      </c>
      <c r="F10" s="18">
        <v>9</v>
      </c>
      <c r="G10" s="18">
        <v>4</v>
      </c>
      <c r="H10" s="18">
        <v>0</v>
      </c>
      <c r="I10" s="18">
        <v>40</v>
      </c>
      <c r="J10" s="123"/>
    </row>
    <row r="11" spans="1:10" x14ac:dyDescent="0.2">
      <c r="A11" s="85"/>
      <c r="B11" s="19" t="s">
        <v>140</v>
      </c>
      <c r="C11" s="19"/>
      <c r="D11" s="20">
        <v>0</v>
      </c>
      <c r="E11" s="20">
        <v>2</v>
      </c>
      <c r="F11" s="20">
        <v>0</v>
      </c>
      <c r="G11" s="20">
        <v>1</v>
      </c>
      <c r="H11" s="20">
        <v>0</v>
      </c>
      <c r="I11" s="20">
        <v>3</v>
      </c>
      <c r="J11" s="123"/>
    </row>
    <row r="12" spans="1:10" x14ac:dyDescent="0.2">
      <c r="A12" s="85"/>
      <c r="B12" s="21" t="s">
        <v>143</v>
      </c>
      <c r="C12" s="21"/>
      <c r="D12" s="20">
        <v>0</v>
      </c>
      <c r="E12" s="20">
        <v>4</v>
      </c>
      <c r="F12" s="20">
        <v>0</v>
      </c>
      <c r="G12" s="20">
        <v>0</v>
      </c>
      <c r="H12" s="20">
        <v>0</v>
      </c>
      <c r="I12" s="20">
        <v>4</v>
      </c>
      <c r="J12" s="123"/>
    </row>
    <row r="13" spans="1:10" x14ac:dyDescent="0.2">
      <c r="A13" s="85"/>
      <c r="B13" s="21" t="s">
        <v>146</v>
      </c>
      <c r="C13" s="21"/>
      <c r="D13" s="20">
        <v>0</v>
      </c>
      <c r="E13" s="20">
        <v>1</v>
      </c>
      <c r="F13" s="20">
        <v>1</v>
      </c>
      <c r="G13" s="20">
        <v>1</v>
      </c>
      <c r="H13" s="20">
        <v>0</v>
      </c>
      <c r="I13" s="20">
        <v>3</v>
      </c>
      <c r="J13" s="123"/>
    </row>
    <row r="14" spans="1:10" x14ac:dyDescent="0.2">
      <c r="A14" s="85"/>
      <c r="B14" s="21" t="s">
        <v>147</v>
      </c>
      <c r="C14" s="21"/>
      <c r="D14" s="20">
        <v>0</v>
      </c>
      <c r="E14" s="20">
        <v>2</v>
      </c>
      <c r="F14" s="20">
        <v>1</v>
      </c>
      <c r="G14" s="20">
        <v>0</v>
      </c>
      <c r="H14" s="20">
        <v>0</v>
      </c>
      <c r="I14" s="20">
        <v>3</v>
      </c>
      <c r="J14" s="123"/>
    </row>
    <row r="15" spans="1:10" x14ac:dyDescent="0.2">
      <c r="A15" s="85"/>
      <c r="B15" s="21" t="s">
        <v>142</v>
      </c>
      <c r="C15" s="21"/>
      <c r="D15" s="20">
        <v>0</v>
      </c>
      <c r="E15" s="20">
        <v>2</v>
      </c>
      <c r="F15" s="20">
        <v>2</v>
      </c>
      <c r="G15" s="20">
        <v>0</v>
      </c>
      <c r="H15" s="20">
        <v>0</v>
      </c>
      <c r="I15" s="20">
        <v>4</v>
      </c>
      <c r="J15" s="123"/>
    </row>
    <row r="16" spans="1:10" x14ac:dyDescent="0.2">
      <c r="A16" s="85"/>
      <c r="B16" s="21" t="s">
        <v>136</v>
      </c>
      <c r="C16" s="21"/>
      <c r="D16" s="20">
        <v>0</v>
      </c>
      <c r="E16" s="20">
        <v>2</v>
      </c>
      <c r="F16" s="20">
        <v>0</v>
      </c>
      <c r="G16" s="20">
        <v>0</v>
      </c>
      <c r="H16" s="20">
        <v>0</v>
      </c>
      <c r="I16" s="20">
        <v>2</v>
      </c>
      <c r="J16" s="123"/>
    </row>
    <row r="17" spans="2:10" x14ac:dyDescent="0.2">
      <c r="B17" s="21" t="s">
        <v>145</v>
      </c>
      <c r="C17" s="21"/>
      <c r="D17" s="20">
        <v>0</v>
      </c>
      <c r="E17" s="20">
        <v>0</v>
      </c>
      <c r="F17" s="20">
        <v>0</v>
      </c>
      <c r="G17" s="20">
        <v>1</v>
      </c>
      <c r="H17" s="20">
        <v>0</v>
      </c>
      <c r="I17" s="20">
        <v>1</v>
      </c>
      <c r="J17" s="123"/>
    </row>
    <row r="18" spans="2:10" x14ac:dyDescent="0.2">
      <c r="B18" s="21" t="s">
        <v>138</v>
      </c>
      <c r="C18" s="21"/>
      <c r="D18" s="20">
        <v>0</v>
      </c>
      <c r="E18" s="20">
        <v>6</v>
      </c>
      <c r="F18" s="20">
        <v>3</v>
      </c>
      <c r="G18" s="20">
        <v>1</v>
      </c>
      <c r="H18" s="20">
        <v>0</v>
      </c>
      <c r="I18" s="20">
        <v>10</v>
      </c>
      <c r="J18" s="123"/>
    </row>
    <row r="19" spans="2:10" x14ac:dyDescent="0.2">
      <c r="B19" s="21" t="s">
        <v>141</v>
      </c>
      <c r="C19" s="21"/>
      <c r="D19" s="20">
        <v>0</v>
      </c>
      <c r="E19" s="20">
        <v>5</v>
      </c>
      <c r="F19" s="20">
        <v>0</v>
      </c>
      <c r="G19" s="20">
        <v>0</v>
      </c>
      <c r="H19" s="20">
        <v>0</v>
      </c>
      <c r="I19" s="20">
        <v>5</v>
      </c>
      <c r="J19" s="123"/>
    </row>
    <row r="20" spans="2:10" x14ac:dyDescent="0.2">
      <c r="B20" s="21" t="s">
        <v>137</v>
      </c>
      <c r="C20" s="21"/>
      <c r="D20" s="20">
        <v>0</v>
      </c>
      <c r="E20" s="20">
        <v>1</v>
      </c>
      <c r="F20" s="20">
        <v>0</v>
      </c>
      <c r="G20" s="20">
        <v>0</v>
      </c>
      <c r="H20" s="20">
        <v>0</v>
      </c>
      <c r="I20" s="20">
        <v>1</v>
      </c>
      <c r="J20" s="123"/>
    </row>
    <row r="21" spans="2:10" x14ac:dyDescent="0.2">
      <c r="B21" s="21" t="s">
        <v>139</v>
      </c>
      <c r="C21" s="21"/>
      <c r="D21" s="20">
        <v>0</v>
      </c>
      <c r="E21" s="20">
        <v>2</v>
      </c>
      <c r="F21" s="20">
        <v>1</v>
      </c>
      <c r="G21" s="20">
        <v>0</v>
      </c>
      <c r="H21" s="20">
        <v>0</v>
      </c>
      <c r="I21" s="20">
        <v>3</v>
      </c>
      <c r="J21" s="123"/>
    </row>
    <row r="22" spans="2:10" x14ac:dyDescent="0.2">
      <c r="B22" s="21" t="s">
        <v>144</v>
      </c>
      <c r="C22" s="21"/>
      <c r="D22" s="20">
        <v>0</v>
      </c>
      <c r="E22" s="20">
        <v>0</v>
      </c>
      <c r="F22" s="20">
        <v>1</v>
      </c>
      <c r="G22" s="20">
        <v>0</v>
      </c>
      <c r="H22" s="20">
        <v>0</v>
      </c>
      <c r="I22" s="20">
        <v>1</v>
      </c>
      <c r="J22" s="123"/>
    </row>
    <row r="23" spans="2:10" x14ac:dyDescent="0.2">
      <c r="B23" s="10" t="s">
        <v>218</v>
      </c>
      <c r="C23" s="10"/>
      <c r="D23" s="18">
        <v>0</v>
      </c>
      <c r="E23" s="18">
        <v>47</v>
      </c>
      <c r="F23" s="18">
        <v>9</v>
      </c>
      <c r="G23" s="18">
        <v>0</v>
      </c>
      <c r="H23" s="18">
        <v>3</v>
      </c>
      <c r="I23" s="18">
        <v>59</v>
      </c>
      <c r="J23" s="123"/>
    </row>
    <row r="24" spans="2:10" x14ac:dyDescent="0.2">
      <c r="B24" s="22" t="s">
        <v>237</v>
      </c>
      <c r="C24" s="22"/>
      <c r="D24" s="20">
        <v>0</v>
      </c>
      <c r="E24" s="20">
        <v>0</v>
      </c>
      <c r="F24" s="20">
        <v>0</v>
      </c>
      <c r="G24" s="20">
        <v>0</v>
      </c>
      <c r="H24" s="20">
        <v>0</v>
      </c>
      <c r="I24" s="20">
        <v>0</v>
      </c>
      <c r="J24" s="123"/>
    </row>
    <row r="25" spans="2:10" x14ac:dyDescent="0.2">
      <c r="B25" s="22" t="s">
        <v>227</v>
      </c>
      <c r="C25" s="22"/>
      <c r="D25" s="20">
        <v>0</v>
      </c>
      <c r="E25" s="20">
        <v>6</v>
      </c>
      <c r="F25" s="20">
        <v>2</v>
      </c>
      <c r="G25" s="20">
        <v>0</v>
      </c>
      <c r="H25" s="20">
        <v>0</v>
      </c>
      <c r="I25" s="20">
        <v>8</v>
      </c>
      <c r="J25" s="123"/>
    </row>
    <row r="26" spans="2:10" x14ac:dyDescent="0.2">
      <c r="B26" s="22" t="s">
        <v>238</v>
      </c>
      <c r="C26" s="22"/>
      <c r="D26" s="20">
        <v>0</v>
      </c>
      <c r="E26" s="20">
        <v>0</v>
      </c>
      <c r="F26" s="20">
        <v>0</v>
      </c>
      <c r="G26" s="20">
        <v>0</v>
      </c>
      <c r="H26" s="20">
        <v>0</v>
      </c>
      <c r="I26" s="20">
        <v>0</v>
      </c>
      <c r="J26" s="123"/>
    </row>
    <row r="27" spans="2:10" x14ac:dyDescent="0.2">
      <c r="B27" s="22" t="s">
        <v>225</v>
      </c>
      <c r="C27" s="22"/>
      <c r="D27" s="20">
        <v>0</v>
      </c>
      <c r="E27" s="20">
        <v>3</v>
      </c>
      <c r="F27" s="20">
        <v>1</v>
      </c>
      <c r="G27" s="20">
        <v>0</v>
      </c>
      <c r="H27" s="20">
        <v>0</v>
      </c>
      <c r="I27" s="20">
        <v>4</v>
      </c>
      <c r="J27" s="123"/>
    </row>
    <row r="28" spans="2:10" x14ac:dyDescent="0.2">
      <c r="B28" s="22" t="s">
        <v>220</v>
      </c>
      <c r="C28" s="22"/>
      <c r="D28" s="20">
        <v>0</v>
      </c>
      <c r="E28" s="20">
        <v>5</v>
      </c>
      <c r="F28" s="20">
        <v>1</v>
      </c>
      <c r="G28" s="20">
        <v>0</v>
      </c>
      <c r="H28" s="20">
        <v>0</v>
      </c>
      <c r="I28" s="20">
        <v>6</v>
      </c>
      <c r="J28" s="123"/>
    </row>
    <row r="29" spans="2:10" x14ac:dyDescent="0.2">
      <c r="B29" s="22" t="s">
        <v>230</v>
      </c>
      <c r="C29" s="22"/>
      <c r="D29" s="20">
        <v>0</v>
      </c>
      <c r="E29" s="20">
        <v>2</v>
      </c>
      <c r="F29" s="20">
        <v>0</v>
      </c>
      <c r="G29" s="20">
        <v>0</v>
      </c>
      <c r="H29" s="20">
        <v>1</v>
      </c>
      <c r="I29" s="20">
        <v>3</v>
      </c>
      <c r="J29" s="123"/>
    </row>
    <row r="30" spans="2:10" x14ac:dyDescent="0.2">
      <c r="B30" s="22" t="s">
        <v>228</v>
      </c>
      <c r="C30" s="22"/>
      <c r="D30" s="20">
        <v>0</v>
      </c>
      <c r="E30" s="20">
        <v>1</v>
      </c>
      <c r="F30" s="20">
        <v>1</v>
      </c>
      <c r="G30" s="20">
        <v>0</v>
      </c>
      <c r="H30" s="20">
        <v>0</v>
      </c>
      <c r="I30" s="20">
        <v>2</v>
      </c>
      <c r="J30" s="123"/>
    </row>
    <row r="31" spans="2:10" x14ac:dyDescent="0.2">
      <c r="B31" s="22" t="s">
        <v>221</v>
      </c>
      <c r="C31" s="22"/>
      <c r="D31" s="20">
        <v>0</v>
      </c>
      <c r="E31" s="20">
        <v>5</v>
      </c>
      <c r="F31" s="20">
        <v>1</v>
      </c>
      <c r="G31" s="20">
        <v>0</v>
      </c>
      <c r="H31" s="20">
        <v>0</v>
      </c>
      <c r="I31" s="20">
        <v>6</v>
      </c>
      <c r="J31" s="123"/>
    </row>
    <row r="32" spans="2:10" x14ac:dyDescent="0.2">
      <c r="B32" s="22" t="s">
        <v>231</v>
      </c>
      <c r="C32" s="22"/>
      <c r="D32" s="20">
        <v>0</v>
      </c>
      <c r="E32" s="20">
        <v>1</v>
      </c>
      <c r="F32" s="20">
        <v>0</v>
      </c>
      <c r="G32" s="20">
        <v>0</v>
      </c>
      <c r="H32" s="20">
        <v>0</v>
      </c>
      <c r="I32" s="20">
        <v>1</v>
      </c>
      <c r="J32" s="123"/>
    </row>
    <row r="33" spans="2:10" x14ac:dyDescent="0.2">
      <c r="B33" s="22" t="s">
        <v>229</v>
      </c>
      <c r="C33" s="22"/>
      <c r="D33" s="20">
        <v>0</v>
      </c>
      <c r="E33" s="20">
        <v>2</v>
      </c>
      <c r="F33" s="20">
        <v>0</v>
      </c>
      <c r="G33" s="20">
        <v>0</v>
      </c>
      <c r="H33" s="20">
        <v>0</v>
      </c>
      <c r="I33" s="20">
        <v>2</v>
      </c>
      <c r="J33" s="123"/>
    </row>
    <row r="34" spans="2:10" x14ac:dyDescent="0.2">
      <c r="B34" s="22" t="s">
        <v>224</v>
      </c>
      <c r="C34" s="22"/>
      <c r="D34" s="20">
        <v>0</v>
      </c>
      <c r="E34" s="20">
        <v>9</v>
      </c>
      <c r="F34" s="20">
        <v>0</v>
      </c>
      <c r="G34" s="20">
        <v>0</v>
      </c>
      <c r="H34" s="20">
        <v>0</v>
      </c>
      <c r="I34" s="20">
        <v>9</v>
      </c>
      <c r="J34" s="123"/>
    </row>
    <row r="35" spans="2:10" x14ac:dyDescent="0.2">
      <c r="B35" s="22" t="s">
        <v>219</v>
      </c>
      <c r="C35" s="22"/>
      <c r="D35" s="20">
        <v>0</v>
      </c>
      <c r="E35" s="20">
        <v>6</v>
      </c>
      <c r="F35" s="20">
        <v>1</v>
      </c>
      <c r="G35" s="20">
        <v>0</v>
      </c>
      <c r="H35" s="20">
        <v>0</v>
      </c>
      <c r="I35" s="20">
        <v>7</v>
      </c>
      <c r="J35" s="123"/>
    </row>
    <row r="36" spans="2:10" x14ac:dyDescent="0.2">
      <c r="B36" s="22" t="s">
        <v>226</v>
      </c>
      <c r="C36" s="22"/>
      <c r="D36" s="20">
        <v>0</v>
      </c>
      <c r="E36" s="20">
        <v>3</v>
      </c>
      <c r="F36" s="20">
        <v>1</v>
      </c>
      <c r="G36" s="20">
        <v>0</v>
      </c>
      <c r="H36" s="20">
        <v>1</v>
      </c>
      <c r="I36" s="20">
        <v>5</v>
      </c>
      <c r="J36" s="123"/>
    </row>
    <row r="37" spans="2:10" x14ac:dyDescent="0.2">
      <c r="B37" s="22" t="s">
        <v>223</v>
      </c>
      <c r="C37" s="22"/>
      <c r="D37" s="20">
        <v>0</v>
      </c>
      <c r="E37" s="20">
        <v>1</v>
      </c>
      <c r="F37" s="20">
        <v>1</v>
      </c>
      <c r="G37" s="20">
        <v>0</v>
      </c>
      <c r="H37" s="20">
        <v>0</v>
      </c>
      <c r="I37" s="20">
        <v>2</v>
      </c>
      <c r="J37" s="123"/>
    </row>
    <row r="38" spans="2:10" x14ac:dyDescent="0.2">
      <c r="B38" s="22" t="s">
        <v>222</v>
      </c>
      <c r="C38" s="22"/>
      <c r="D38" s="20">
        <v>0</v>
      </c>
      <c r="E38" s="20">
        <v>3</v>
      </c>
      <c r="F38" s="20">
        <v>0</v>
      </c>
      <c r="G38" s="20">
        <v>0</v>
      </c>
      <c r="H38" s="20">
        <v>1</v>
      </c>
      <c r="I38" s="20">
        <v>4</v>
      </c>
      <c r="J38" s="123"/>
    </row>
    <row r="39" spans="2:10" x14ac:dyDescent="0.2">
      <c r="B39" s="10" t="s">
        <v>148</v>
      </c>
      <c r="C39" s="10"/>
      <c r="D39" s="18">
        <v>2</v>
      </c>
      <c r="E39" s="18">
        <v>69</v>
      </c>
      <c r="F39" s="18">
        <v>26</v>
      </c>
      <c r="G39" s="18">
        <v>2</v>
      </c>
      <c r="H39" s="18">
        <v>1</v>
      </c>
      <c r="I39" s="18">
        <v>100</v>
      </c>
      <c r="J39" s="123"/>
    </row>
    <row r="40" spans="2:10" x14ac:dyDescent="0.2">
      <c r="B40" s="22" t="s">
        <v>159</v>
      </c>
      <c r="C40" s="22"/>
      <c r="D40" s="20">
        <v>0</v>
      </c>
      <c r="E40" s="20">
        <v>2</v>
      </c>
      <c r="F40" s="20">
        <v>0</v>
      </c>
      <c r="G40" s="20">
        <v>0</v>
      </c>
      <c r="H40" s="20">
        <v>0</v>
      </c>
      <c r="I40" s="20">
        <v>2</v>
      </c>
      <c r="J40" s="123"/>
    </row>
    <row r="41" spans="2:10" x14ac:dyDescent="0.2">
      <c r="B41" s="22" t="s">
        <v>157</v>
      </c>
      <c r="C41" s="22"/>
      <c r="D41" s="20">
        <v>0</v>
      </c>
      <c r="E41" s="20">
        <v>3</v>
      </c>
      <c r="F41" s="20">
        <v>1</v>
      </c>
      <c r="G41" s="20">
        <v>0</v>
      </c>
      <c r="H41" s="20">
        <v>0</v>
      </c>
      <c r="I41" s="20">
        <v>4</v>
      </c>
      <c r="J41" s="123"/>
    </row>
    <row r="42" spans="2:10" x14ac:dyDescent="0.2">
      <c r="B42" s="22" t="s">
        <v>167</v>
      </c>
      <c r="C42" s="22"/>
      <c r="D42" s="20">
        <v>0</v>
      </c>
      <c r="E42" s="20">
        <v>4</v>
      </c>
      <c r="F42" s="20">
        <v>0</v>
      </c>
      <c r="G42" s="20">
        <v>0</v>
      </c>
      <c r="H42" s="20">
        <v>0</v>
      </c>
      <c r="I42" s="20">
        <v>4</v>
      </c>
      <c r="J42" s="123"/>
    </row>
    <row r="43" spans="2:10" x14ac:dyDescent="0.2">
      <c r="B43" s="22" t="s">
        <v>164</v>
      </c>
      <c r="C43" s="22"/>
      <c r="D43" s="20">
        <v>0</v>
      </c>
      <c r="E43" s="20">
        <v>4</v>
      </c>
      <c r="F43" s="20">
        <v>0</v>
      </c>
      <c r="G43" s="20">
        <v>0</v>
      </c>
      <c r="H43" s="20">
        <v>0</v>
      </c>
      <c r="I43" s="20">
        <v>4</v>
      </c>
      <c r="J43" s="123"/>
    </row>
    <row r="44" spans="2:10" x14ac:dyDescent="0.2">
      <c r="B44" s="22" t="s">
        <v>160</v>
      </c>
      <c r="C44" s="22"/>
      <c r="D44" s="20">
        <v>0</v>
      </c>
      <c r="E44" s="20">
        <v>7</v>
      </c>
      <c r="F44" s="20">
        <v>1</v>
      </c>
      <c r="G44" s="20">
        <v>0</v>
      </c>
      <c r="H44" s="20">
        <v>0</v>
      </c>
      <c r="I44" s="20">
        <v>8</v>
      </c>
      <c r="J44" s="123"/>
    </row>
    <row r="45" spans="2:10" x14ac:dyDescent="0.2">
      <c r="B45" s="22" t="s">
        <v>155</v>
      </c>
      <c r="C45" s="22"/>
      <c r="D45" s="20">
        <v>0</v>
      </c>
      <c r="E45" s="20">
        <v>7</v>
      </c>
      <c r="F45" s="20">
        <v>3</v>
      </c>
      <c r="G45" s="20">
        <v>0</v>
      </c>
      <c r="H45" s="20">
        <v>0</v>
      </c>
      <c r="I45" s="20">
        <v>10</v>
      </c>
      <c r="J45" s="123"/>
    </row>
    <row r="46" spans="2:10" x14ac:dyDescent="0.2">
      <c r="B46" s="22" t="s">
        <v>156</v>
      </c>
      <c r="C46" s="22"/>
      <c r="D46" s="20">
        <v>0</v>
      </c>
      <c r="E46" s="20">
        <v>8</v>
      </c>
      <c r="F46" s="20">
        <v>4</v>
      </c>
      <c r="G46" s="20">
        <v>0</v>
      </c>
      <c r="H46" s="20">
        <v>0</v>
      </c>
      <c r="I46" s="20">
        <v>12</v>
      </c>
      <c r="J46" s="123"/>
    </row>
    <row r="47" spans="2:10" x14ac:dyDescent="0.2">
      <c r="B47" s="22" t="s">
        <v>239</v>
      </c>
      <c r="C47" s="22"/>
      <c r="D47" s="20">
        <v>0</v>
      </c>
      <c r="E47" s="20">
        <v>0</v>
      </c>
      <c r="F47" s="20">
        <v>0</v>
      </c>
      <c r="G47" s="20">
        <v>0</v>
      </c>
      <c r="H47" s="20">
        <v>0</v>
      </c>
      <c r="I47" s="20">
        <v>0</v>
      </c>
      <c r="J47" s="123"/>
    </row>
    <row r="48" spans="2:10" x14ac:dyDescent="0.2">
      <c r="B48" s="22" t="s">
        <v>158</v>
      </c>
      <c r="C48" s="22"/>
      <c r="D48" s="20">
        <v>0</v>
      </c>
      <c r="E48" s="20">
        <v>1</v>
      </c>
      <c r="F48" s="20">
        <v>0</v>
      </c>
      <c r="G48" s="20">
        <v>0</v>
      </c>
      <c r="H48" s="20">
        <v>0</v>
      </c>
      <c r="I48" s="20">
        <v>1</v>
      </c>
      <c r="J48" s="123"/>
    </row>
    <row r="49" spans="2:10" x14ac:dyDescent="0.2">
      <c r="B49" s="22" t="s">
        <v>149</v>
      </c>
      <c r="C49" s="22"/>
      <c r="D49" s="20">
        <v>1</v>
      </c>
      <c r="E49" s="20">
        <v>9</v>
      </c>
      <c r="F49" s="20">
        <v>6</v>
      </c>
      <c r="G49" s="20">
        <v>2</v>
      </c>
      <c r="H49" s="20">
        <v>1</v>
      </c>
      <c r="I49" s="20">
        <v>19</v>
      </c>
      <c r="J49" s="123"/>
    </row>
    <row r="50" spans="2:10" x14ac:dyDescent="0.2">
      <c r="B50" s="22" t="s">
        <v>150</v>
      </c>
      <c r="C50" s="22"/>
      <c r="D50" s="20">
        <v>0</v>
      </c>
      <c r="E50" s="20">
        <v>3</v>
      </c>
      <c r="F50" s="20">
        <v>3</v>
      </c>
      <c r="G50" s="20">
        <v>0</v>
      </c>
      <c r="H50" s="20">
        <v>0</v>
      </c>
      <c r="I50" s="20">
        <v>6</v>
      </c>
      <c r="J50" s="123"/>
    </row>
    <row r="51" spans="2:10" x14ac:dyDescent="0.2">
      <c r="B51" s="22" t="s">
        <v>151</v>
      </c>
      <c r="C51" s="22"/>
      <c r="D51" s="20">
        <v>1</v>
      </c>
      <c r="E51" s="20">
        <v>4</v>
      </c>
      <c r="F51" s="20">
        <v>3</v>
      </c>
      <c r="G51" s="20">
        <v>0</v>
      </c>
      <c r="H51" s="20">
        <v>0</v>
      </c>
      <c r="I51" s="20">
        <v>8</v>
      </c>
      <c r="J51" s="123"/>
    </row>
    <row r="52" spans="2:10" x14ac:dyDescent="0.2">
      <c r="B52" s="22" t="s">
        <v>152</v>
      </c>
      <c r="C52" s="22"/>
      <c r="D52" s="20">
        <v>0</v>
      </c>
      <c r="E52" s="20">
        <v>1</v>
      </c>
      <c r="F52" s="20">
        <v>3</v>
      </c>
      <c r="G52" s="20">
        <v>0</v>
      </c>
      <c r="H52" s="20">
        <v>0</v>
      </c>
      <c r="I52" s="20">
        <v>4</v>
      </c>
      <c r="J52" s="123"/>
    </row>
    <row r="53" spans="2:10" x14ac:dyDescent="0.2">
      <c r="B53" s="22" t="s">
        <v>153</v>
      </c>
      <c r="C53" s="22"/>
      <c r="D53" s="20">
        <v>0</v>
      </c>
      <c r="E53" s="20">
        <v>2</v>
      </c>
      <c r="F53" s="20">
        <v>1</v>
      </c>
      <c r="G53" s="20">
        <v>0</v>
      </c>
      <c r="H53" s="20">
        <v>0</v>
      </c>
      <c r="I53" s="20">
        <v>3</v>
      </c>
      <c r="J53" s="123"/>
    </row>
    <row r="54" spans="2:10" x14ac:dyDescent="0.2">
      <c r="B54" s="22" t="s">
        <v>240</v>
      </c>
      <c r="C54" s="22"/>
      <c r="D54" s="20">
        <v>0</v>
      </c>
      <c r="E54" s="20">
        <v>0</v>
      </c>
      <c r="F54" s="20">
        <v>0</v>
      </c>
      <c r="G54" s="20">
        <v>0</v>
      </c>
      <c r="H54" s="20">
        <v>0</v>
      </c>
      <c r="I54" s="20">
        <v>0</v>
      </c>
      <c r="J54" s="123"/>
    </row>
    <row r="55" spans="2:10" x14ac:dyDescent="0.2">
      <c r="B55" s="22" t="s">
        <v>163</v>
      </c>
      <c r="C55" s="22"/>
      <c r="D55" s="20">
        <v>0</v>
      </c>
      <c r="E55" s="20">
        <v>4</v>
      </c>
      <c r="F55" s="20">
        <v>0</v>
      </c>
      <c r="G55" s="20">
        <v>0</v>
      </c>
      <c r="H55" s="20">
        <v>0</v>
      </c>
      <c r="I55" s="20">
        <v>4</v>
      </c>
      <c r="J55" s="123"/>
    </row>
    <row r="56" spans="2:10" x14ac:dyDescent="0.2">
      <c r="B56" s="22" t="s">
        <v>162</v>
      </c>
      <c r="C56" s="22"/>
      <c r="D56" s="20">
        <v>0</v>
      </c>
      <c r="E56" s="20">
        <v>0</v>
      </c>
      <c r="F56" s="20">
        <v>1</v>
      </c>
      <c r="G56" s="20">
        <v>0</v>
      </c>
      <c r="H56" s="20">
        <v>0</v>
      </c>
      <c r="I56" s="20">
        <v>1</v>
      </c>
      <c r="J56" s="123"/>
    </row>
    <row r="57" spans="2:10" x14ac:dyDescent="0.2">
      <c r="B57" s="22" t="s">
        <v>154</v>
      </c>
      <c r="C57" s="22"/>
      <c r="D57" s="20">
        <v>0</v>
      </c>
      <c r="E57" s="20">
        <v>2</v>
      </c>
      <c r="F57" s="20">
        <v>0</v>
      </c>
      <c r="G57" s="20">
        <v>0</v>
      </c>
      <c r="H57" s="20">
        <v>0</v>
      </c>
      <c r="I57" s="20">
        <v>2</v>
      </c>
      <c r="J57" s="123"/>
    </row>
    <row r="58" spans="2:10" x14ac:dyDescent="0.2">
      <c r="B58" s="22" t="s">
        <v>241</v>
      </c>
      <c r="C58" s="22"/>
      <c r="D58" s="20">
        <v>0</v>
      </c>
      <c r="E58" s="20">
        <v>0</v>
      </c>
      <c r="F58" s="20">
        <v>0</v>
      </c>
      <c r="G58" s="20">
        <v>0</v>
      </c>
      <c r="H58" s="20">
        <v>0</v>
      </c>
      <c r="I58" s="20">
        <v>0</v>
      </c>
      <c r="J58" s="123"/>
    </row>
    <row r="59" spans="2:10" x14ac:dyDescent="0.2">
      <c r="B59" s="11" t="s">
        <v>166</v>
      </c>
      <c r="C59" s="11"/>
      <c r="D59" s="20">
        <v>0</v>
      </c>
      <c r="E59" s="20">
        <v>2</v>
      </c>
      <c r="F59" s="20">
        <v>0</v>
      </c>
      <c r="G59" s="20">
        <v>0</v>
      </c>
      <c r="H59" s="20">
        <v>0</v>
      </c>
      <c r="I59" s="20">
        <v>2</v>
      </c>
      <c r="J59" s="123"/>
    </row>
    <row r="60" spans="2:10" x14ac:dyDescent="0.2">
      <c r="B60" s="11" t="s">
        <v>165</v>
      </c>
      <c r="C60" s="11"/>
      <c r="D60" s="20">
        <v>0</v>
      </c>
      <c r="E60" s="20">
        <v>1</v>
      </c>
      <c r="F60" s="20">
        <v>0</v>
      </c>
      <c r="G60" s="20">
        <v>0</v>
      </c>
      <c r="H60" s="20">
        <v>0</v>
      </c>
      <c r="I60" s="20">
        <v>1</v>
      </c>
      <c r="J60" s="123"/>
    </row>
    <row r="61" spans="2:10" x14ac:dyDescent="0.2">
      <c r="B61" s="22" t="s">
        <v>168</v>
      </c>
      <c r="C61" s="22"/>
      <c r="D61" s="20">
        <v>0</v>
      </c>
      <c r="E61" s="20">
        <v>3</v>
      </c>
      <c r="F61" s="20">
        <v>0</v>
      </c>
      <c r="G61" s="20">
        <v>0</v>
      </c>
      <c r="H61" s="20">
        <v>0</v>
      </c>
      <c r="I61" s="20">
        <v>3</v>
      </c>
      <c r="J61" s="123"/>
    </row>
    <row r="62" spans="2:10" x14ac:dyDescent="0.2">
      <c r="B62" s="22" t="s">
        <v>161</v>
      </c>
      <c r="C62" s="22"/>
      <c r="D62" s="20">
        <v>0</v>
      </c>
      <c r="E62" s="20">
        <v>2</v>
      </c>
      <c r="F62" s="20">
        <v>0</v>
      </c>
      <c r="G62" s="20">
        <v>0</v>
      </c>
      <c r="H62" s="20">
        <v>0</v>
      </c>
      <c r="I62" s="20">
        <v>2</v>
      </c>
      <c r="J62" s="123"/>
    </row>
    <row r="63" spans="2:10" x14ac:dyDescent="0.2">
      <c r="B63" s="12" t="s">
        <v>85</v>
      </c>
      <c r="C63" s="12"/>
      <c r="D63" s="18">
        <v>0</v>
      </c>
      <c r="E63" s="18">
        <v>55</v>
      </c>
      <c r="F63" s="18">
        <v>14</v>
      </c>
      <c r="G63" s="18">
        <v>3</v>
      </c>
      <c r="H63" s="18">
        <v>1</v>
      </c>
      <c r="I63" s="18">
        <v>73</v>
      </c>
      <c r="J63" s="123"/>
    </row>
    <row r="64" spans="2:10" x14ac:dyDescent="0.2">
      <c r="B64" s="22" t="s">
        <v>91</v>
      </c>
      <c r="C64" s="22"/>
      <c r="D64" s="20">
        <v>0</v>
      </c>
      <c r="E64" s="20">
        <v>3</v>
      </c>
      <c r="F64" s="20">
        <v>1</v>
      </c>
      <c r="G64" s="20">
        <v>0</v>
      </c>
      <c r="H64" s="20">
        <v>0</v>
      </c>
      <c r="I64" s="20">
        <v>4</v>
      </c>
      <c r="J64" s="123"/>
    </row>
    <row r="65" spans="2:10" x14ac:dyDescent="0.2">
      <c r="B65" s="22" t="s">
        <v>86</v>
      </c>
      <c r="C65" s="22"/>
      <c r="D65" s="20">
        <v>0</v>
      </c>
      <c r="E65" s="20">
        <v>17</v>
      </c>
      <c r="F65" s="20">
        <v>3</v>
      </c>
      <c r="G65" s="20">
        <v>1</v>
      </c>
      <c r="H65" s="20">
        <v>0</v>
      </c>
      <c r="I65" s="20">
        <v>21</v>
      </c>
      <c r="J65" s="123"/>
    </row>
    <row r="66" spans="2:10" x14ac:dyDescent="0.2">
      <c r="B66" s="22" t="s">
        <v>87</v>
      </c>
      <c r="C66" s="22"/>
      <c r="D66" s="20">
        <v>0</v>
      </c>
      <c r="E66" s="20">
        <v>2</v>
      </c>
      <c r="F66" s="20">
        <v>0</v>
      </c>
      <c r="G66" s="20">
        <v>1</v>
      </c>
      <c r="H66" s="20">
        <v>0</v>
      </c>
      <c r="I66" s="20">
        <v>3</v>
      </c>
      <c r="J66" s="123"/>
    </row>
    <row r="67" spans="2:10" x14ac:dyDescent="0.2">
      <c r="B67" s="22" t="s">
        <v>93</v>
      </c>
      <c r="C67" s="22"/>
      <c r="D67" s="20">
        <v>0</v>
      </c>
      <c r="E67" s="20">
        <v>9</v>
      </c>
      <c r="F67" s="20">
        <v>2</v>
      </c>
      <c r="G67" s="20">
        <v>0</v>
      </c>
      <c r="H67" s="20">
        <v>0</v>
      </c>
      <c r="I67" s="20">
        <v>11</v>
      </c>
      <c r="J67" s="123"/>
    </row>
    <row r="68" spans="2:10" x14ac:dyDescent="0.2">
      <c r="B68" s="22" t="s">
        <v>89</v>
      </c>
      <c r="C68" s="22"/>
      <c r="D68" s="20">
        <v>0</v>
      </c>
      <c r="E68" s="20">
        <v>8</v>
      </c>
      <c r="F68" s="20">
        <v>1</v>
      </c>
      <c r="G68" s="20">
        <v>0</v>
      </c>
      <c r="H68" s="20">
        <v>0</v>
      </c>
      <c r="I68" s="20">
        <v>9</v>
      </c>
      <c r="J68" s="123"/>
    </row>
    <row r="69" spans="2:10" x14ac:dyDescent="0.2">
      <c r="B69" s="22" t="s">
        <v>92</v>
      </c>
      <c r="C69" s="22"/>
      <c r="D69" s="20">
        <v>0</v>
      </c>
      <c r="E69" s="20">
        <v>5</v>
      </c>
      <c r="F69" s="20">
        <v>2</v>
      </c>
      <c r="G69" s="20">
        <v>0</v>
      </c>
      <c r="H69" s="20">
        <v>1</v>
      </c>
      <c r="I69" s="20">
        <v>8</v>
      </c>
      <c r="J69" s="123"/>
    </row>
    <row r="70" spans="2:10" x14ac:dyDescent="0.2">
      <c r="B70" s="22" t="s">
        <v>94</v>
      </c>
      <c r="C70" s="22"/>
      <c r="D70" s="20">
        <v>0</v>
      </c>
      <c r="E70" s="20">
        <v>2</v>
      </c>
      <c r="F70" s="20">
        <v>1</v>
      </c>
      <c r="G70" s="20">
        <v>0</v>
      </c>
      <c r="H70" s="20">
        <v>0</v>
      </c>
      <c r="I70" s="20">
        <v>3</v>
      </c>
      <c r="J70" s="123"/>
    </row>
    <row r="71" spans="2:10" x14ac:dyDescent="0.2">
      <c r="B71" s="22" t="s">
        <v>90</v>
      </c>
      <c r="C71" s="22"/>
      <c r="D71" s="20">
        <v>0</v>
      </c>
      <c r="E71" s="20">
        <v>7</v>
      </c>
      <c r="F71" s="20">
        <v>3</v>
      </c>
      <c r="G71" s="20">
        <v>1</v>
      </c>
      <c r="H71" s="20">
        <v>0</v>
      </c>
      <c r="I71" s="20">
        <v>11</v>
      </c>
      <c r="J71" s="123"/>
    </row>
    <row r="72" spans="2:10" x14ac:dyDescent="0.2">
      <c r="B72" s="22" t="s">
        <v>88</v>
      </c>
      <c r="C72" s="22"/>
      <c r="D72" s="20">
        <v>0</v>
      </c>
      <c r="E72" s="20">
        <v>2</v>
      </c>
      <c r="F72" s="20">
        <v>1</v>
      </c>
      <c r="G72" s="20">
        <v>0</v>
      </c>
      <c r="H72" s="20">
        <v>0</v>
      </c>
      <c r="I72" s="20">
        <v>3</v>
      </c>
      <c r="J72" s="123"/>
    </row>
    <row r="73" spans="2:10" x14ac:dyDescent="0.2">
      <c r="B73" s="10" t="s">
        <v>203</v>
      </c>
      <c r="C73" s="10"/>
      <c r="D73" s="18">
        <v>1</v>
      </c>
      <c r="E73" s="18">
        <v>67</v>
      </c>
      <c r="F73" s="18">
        <v>15</v>
      </c>
      <c r="G73" s="18">
        <v>7</v>
      </c>
      <c r="H73" s="18">
        <v>2</v>
      </c>
      <c r="I73" s="18">
        <v>92</v>
      </c>
      <c r="J73" s="123"/>
    </row>
    <row r="74" spans="2:10" x14ac:dyDescent="0.2">
      <c r="B74" s="22" t="s">
        <v>209</v>
      </c>
      <c r="C74" s="22"/>
      <c r="D74" s="20">
        <v>0</v>
      </c>
      <c r="E74" s="20">
        <v>9</v>
      </c>
      <c r="F74" s="20">
        <v>5</v>
      </c>
      <c r="G74" s="20">
        <v>2</v>
      </c>
      <c r="H74" s="20">
        <v>1</v>
      </c>
      <c r="I74" s="20">
        <v>17</v>
      </c>
      <c r="J74" s="123"/>
    </row>
    <row r="75" spans="2:10" x14ac:dyDescent="0.2">
      <c r="B75" s="22" t="s">
        <v>210</v>
      </c>
      <c r="C75" s="22"/>
      <c r="D75" s="20">
        <v>0</v>
      </c>
      <c r="E75" s="20">
        <v>2</v>
      </c>
      <c r="F75" s="20">
        <v>1</v>
      </c>
      <c r="G75" s="20">
        <v>0</v>
      </c>
      <c r="H75" s="20">
        <v>0</v>
      </c>
      <c r="I75" s="20">
        <v>3</v>
      </c>
      <c r="J75" s="123"/>
    </row>
    <row r="76" spans="2:10" x14ac:dyDescent="0.2">
      <c r="B76" s="22" t="s">
        <v>217</v>
      </c>
      <c r="C76" s="22"/>
      <c r="D76" s="20">
        <v>0</v>
      </c>
      <c r="E76" s="20">
        <v>5</v>
      </c>
      <c r="F76" s="20">
        <v>0</v>
      </c>
      <c r="G76" s="20">
        <v>0</v>
      </c>
      <c r="H76" s="20">
        <v>1</v>
      </c>
      <c r="I76" s="20">
        <v>6</v>
      </c>
      <c r="J76" s="123"/>
    </row>
    <row r="77" spans="2:10" x14ac:dyDescent="0.2">
      <c r="B77" s="22" t="s">
        <v>204</v>
      </c>
      <c r="C77" s="22"/>
      <c r="D77" s="20">
        <v>0</v>
      </c>
      <c r="E77" s="20">
        <v>5</v>
      </c>
      <c r="F77" s="20">
        <v>1</v>
      </c>
      <c r="G77" s="20">
        <v>1</v>
      </c>
      <c r="H77" s="20">
        <v>0</v>
      </c>
      <c r="I77" s="20">
        <v>7</v>
      </c>
      <c r="J77" s="123"/>
    </row>
    <row r="78" spans="2:10" x14ac:dyDescent="0.2">
      <c r="B78" s="22" t="s">
        <v>205</v>
      </c>
      <c r="C78" s="22"/>
      <c r="D78" s="20">
        <v>0</v>
      </c>
      <c r="E78" s="20">
        <v>8</v>
      </c>
      <c r="F78" s="20">
        <v>0</v>
      </c>
      <c r="G78" s="20">
        <v>0</v>
      </c>
      <c r="H78" s="20">
        <v>0</v>
      </c>
      <c r="I78" s="20">
        <v>8</v>
      </c>
      <c r="J78" s="123"/>
    </row>
    <row r="79" spans="2:10" x14ac:dyDescent="0.2">
      <c r="B79" s="22" t="s">
        <v>214</v>
      </c>
      <c r="C79" s="22"/>
      <c r="D79" s="20">
        <v>0</v>
      </c>
      <c r="E79" s="20">
        <v>3</v>
      </c>
      <c r="F79" s="20">
        <v>0</v>
      </c>
      <c r="G79" s="20">
        <v>1</v>
      </c>
      <c r="H79" s="20">
        <v>0</v>
      </c>
      <c r="I79" s="20">
        <v>4</v>
      </c>
      <c r="J79" s="123"/>
    </row>
    <row r="80" spans="2:10" x14ac:dyDescent="0.2">
      <c r="B80" s="22" t="s">
        <v>213</v>
      </c>
      <c r="C80" s="22"/>
      <c r="D80" s="20">
        <v>0</v>
      </c>
      <c r="E80" s="20">
        <v>3</v>
      </c>
      <c r="F80" s="20">
        <v>1</v>
      </c>
      <c r="G80" s="20">
        <v>1</v>
      </c>
      <c r="H80" s="20">
        <v>0</v>
      </c>
      <c r="I80" s="20">
        <v>5</v>
      </c>
      <c r="J80" s="123"/>
    </row>
    <row r="81" spans="2:10" x14ac:dyDescent="0.2">
      <c r="B81" s="22" t="s">
        <v>206</v>
      </c>
      <c r="C81" s="22"/>
      <c r="D81" s="20">
        <v>0</v>
      </c>
      <c r="E81" s="20">
        <v>7</v>
      </c>
      <c r="F81" s="20">
        <v>1</v>
      </c>
      <c r="G81" s="20">
        <v>1</v>
      </c>
      <c r="H81" s="20">
        <v>0</v>
      </c>
      <c r="I81" s="20">
        <v>9</v>
      </c>
      <c r="J81" s="123"/>
    </row>
    <row r="82" spans="2:10" x14ac:dyDescent="0.2">
      <c r="B82" s="22" t="s">
        <v>211</v>
      </c>
      <c r="C82" s="22"/>
      <c r="D82" s="20">
        <v>0</v>
      </c>
      <c r="E82" s="20">
        <v>2</v>
      </c>
      <c r="F82" s="20">
        <v>1</v>
      </c>
      <c r="G82" s="20">
        <v>0</v>
      </c>
      <c r="H82" s="20">
        <v>0</v>
      </c>
      <c r="I82" s="20">
        <v>3</v>
      </c>
      <c r="J82" s="123"/>
    </row>
    <row r="83" spans="2:10" x14ac:dyDescent="0.2">
      <c r="B83" s="22" t="s">
        <v>216</v>
      </c>
      <c r="C83" s="22"/>
      <c r="D83" s="20">
        <v>0</v>
      </c>
      <c r="E83" s="20">
        <v>3</v>
      </c>
      <c r="F83" s="20">
        <v>0</v>
      </c>
      <c r="G83" s="20">
        <v>0</v>
      </c>
      <c r="H83" s="20">
        <v>0</v>
      </c>
      <c r="I83" s="20">
        <v>3</v>
      </c>
      <c r="J83" s="123"/>
    </row>
    <row r="84" spans="2:10" x14ac:dyDescent="0.2">
      <c r="B84" s="22" t="s">
        <v>207</v>
      </c>
      <c r="C84" s="22"/>
      <c r="D84" s="20">
        <v>0</v>
      </c>
      <c r="E84" s="20">
        <v>5</v>
      </c>
      <c r="F84" s="20">
        <v>0</v>
      </c>
      <c r="G84" s="20">
        <v>1</v>
      </c>
      <c r="H84" s="20">
        <v>0</v>
      </c>
      <c r="I84" s="20">
        <v>6</v>
      </c>
      <c r="J84" s="123"/>
    </row>
    <row r="85" spans="2:10" x14ac:dyDescent="0.2">
      <c r="B85" s="22" t="s">
        <v>212</v>
      </c>
      <c r="C85" s="22"/>
      <c r="D85" s="20">
        <v>0</v>
      </c>
      <c r="E85" s="20">
        <v>5</v>
      </c>
      <c r="F85" s="20">
        <v>2</v>
      </c>
      <c r="G85" s="20">
        <v>0</v>
      </c>
      <c r="H85" s="20">
        <v>0</v>
      </c>
      <c r="I85" s="20">
        <v>7</v>
      </c>
      <c r="J85" s="123"/>
    </row>
    <row r="86" spans="2:10" x14ac:dyDescent="0.2">
      <c r="B86" s="22" t="s">
        <v>208</v>
      </c>
      <c r="C86" s="22"/>
      <c r="D86" s="20">
        <v>1</v>
      </c>
      <c r="E86" s="20">
        <v>3</v>
      </c>
      <c r="F86" s="20">
        <v>2</v>
      </c>
      <c r="G86" s="20">
        <v>0</v>
      </c>
      <c r="H86" s="20">
        <v>0</v>
      </c>
      <c r="I86" s="20">
        <v>6</v>
      </c>
      <c r="J86" s="123"/>
    </row>
    <row r="87" spans="2:10" x14ac:dyDescent="0.2">
      <c r="B87" s="22" t="s">
        <v>215</v>
      </c>
      <c r="C87" s="22"/>
      <c r="D87" s="20">
        <v>0</v>
      </c>
      <c r="E87" s="20">
        <v>7</v>
      </c>
      <c r="F87" s="20">
        <v>1</v>
      </c>
      <c r="G87" s="20">
        <v>0</v>
      </c>
      <c r="H87" s="20">
        <v>0</v>
      </c>
      <c r="I87" s="20">
        <v>8</v>
      </c>
      <c r="J87" s="123"/>
    </row>
    <row r="88" spans="2:10" x14ac:dyDescent="0.2">
      <c r="B88" s="10" t="s">
        <v>95</v>
      </c>
      <c r="C88" s="10"/>
      <c r="D88" s="18">
        <v>0</v>
      </c>
      <c r="E88" s="18">
        <v>50</v>
      </c>
      <c r="F88" s="18">
        <v>19</v>
      </c>
      <c r="G88" s="18">
        <v>6</v>
      </c>
      <c r="H88" s="18">
        <v>2</v>
      </c>
      <c r="I88" s="18">
        <v>77</v>
      </c>
      <c r="J88" s="123"/>
    </row>
    <row r="89" spans="2:10" x14ac:dyDescent="0.2">
      <c r="B89" s="22" t="s">
        <v>96</v>
      </c>
      <c r="C89" s="22"/>
      <c r="D89" s="20">
        <v>0</v>
      </c>
      <c r="E89" s="20">
        <v>2</v>
      </c>
      <c r="F89" s="20">
        <v>1</v>
      </c>
      <c r="G89" s="20">
        <v>0</v>
      </c>
      <c r="H89" s="20">
        <v>0</v>
      </c>
      <c r="I89" s="20">
        <v>3</v>
      </c>
      <c r="J89" s="123"/>
    </row>
    <row r="90" spans="2:10" x14ac:dyDescent="0.2">
      <c r="B90" s="22" t="s">
        <v>97</v>
      </c>
      <c r="C90" s="22"/>
      <c r="D90" s="20">
        <v>0</v>
      </c>
      <c r="E90" s="20">
        <v>9</v>
      </c>
      <c r="F90" s="20">
        <v>4</v>
      </c>
      <c r="G90" s="20">
        <v>1</v>
      </c>
      <c r="H90" s="20">
        <v>0</v>
      </c>
      <c r="I90" s="20">
        <v>14</v>
      </c>
      <c r="J90" s="123"/>
    </row>
    <row r="91" spans="2:10" x14ac:dyDescent="0.2">
      <c r="B91" s="22" t="s">
        <v>105</v>
      </c>
      <c r="C91" s="22"/>
      <c r="D91" s="20">
        <v>0</v>
      </c>
      <c r="E91" s="20">
        <v>2</v>
      </c>
      <c r="F91" s="20">
        <v>1</v>
      </c>
      <c r="G91" s="20">
        <v>1</v>
      </c>
      <c r="H91" s="20">
        <v>0</v>
      </c>
      <c r="I91" s="20">
        <v>4</v>
      </c>
      <c r="J91" s="123"/>
    </row>
    <row r="92" spans="2:10" x14ac:dyDescent="0.2">
      <c r="B92" s="22" t="s">
        <v>104</v>
      </c>
      <c r="C92" s="22"/>
      <c r="D92" s="20">
        <v>0</v>
      </c>
      <c r="E92" s="20">
        <v>7</v>
      </c>
      <c r="F92" s="20">
        <v>4</v>
      </c>
      <c r="G92" s="20">
        <v>1</v>
      </c>
      <c r="H92" s="20">
        <v>0</v>
      </c>
      <c r="I92" s="20">
        <v>12</v>
      </c>
      <c r="J92" s="123"/>
    </row>
    <row r="93" spans="2:10" x14ac:dyDescent="0.2">
      <c r="B93" s="22" t="s">
        <v>102</v>
      </c>
      <c r="C93" s="22"/>
      <c r="D93" s="20">
        <v>0</v>
      </c>
      <c r="E93" s="20">
        <v>9</v>
      </c>
      <c r="F93" s="20">
        <v>2</v>
      </c>
      <c r="G93" s="20">
        <v>0</v>
      </c>
      <c r="H93" s="20">
        <v>0</v>
      </c>
      <c r="I93" s="20">
        <v>11</v>
      </c>
      <c r="J93" s="123"/>
    </row>
    <row r="94" spans="2:10" x14ac:dyDescent="0.2">
      <c r="B94" s="22" t="s">
        <v>101</v>
      </c>
      <c r="C94" s="22"/>
      <c r="D94" s="20">
        <v>0</v>
      </c>
      <c r="E94" s="20">
        <v>3</v>
      </c>
      <c r="F94" s="20">
        <v>0</v>
      </c>
      <c r="G94" s="20">
        <v>1</v>
      </c>
      <c r="H94" s="20">
        <v>0</v>
      </c>
      <c r="I94" s="20">
        <v>4</v>
      </c>
      <c r="J94" s="123"/>
    </row>
    <row r="95" spans="2:10" x14ac:dyDescent="0.2">
      <c r="B95" s="22" t="s">
        <v>103</v>
      </c>
      <c r="C95" s="22"/>
      <c r="D95" s="20">
        <v>0</v>
      </c>
      <c r="E95" s="20">
        <v>6</v>
      </c>
      <c r="F95" s="20">
        <v>1</v>
      </c>
      <c r="G95" s="20">
        <v>2</v>
      </c>
      <c r="H95" s="20">
        <v>0</v>
      </c>
      <c r="I95" s="20">
        <v>9</v>
      </c>
      <c r="J95" s="123"/>
    </row>
    <row r="96" spans="2:10" x14ac:dyDescent="0.2">
      <c r="B96" s="22" t="s">
        <v>100</v>
      </c>
      <c r="C96" s="22"/>
      <c r="D96" s="20">
        <v>0</v>
      </c>
      <c r="E96" s="20">
        <v>5</v>
      </c>
      <c r="F96" s="20">
        <v>0</v>
      </c>
      <c r="G96" s="20">
        <v>0</v>
      </c>
      <c r="H96" s="20">
        <v>0</v>
      </c>
      <c r="I96" s="20">
        <v>5</v>
      </c>
      <c r="J96" s="123"/>
    </row>
    <row r="97" spans="2:10" x14ac:dyDescent="0.2">
      <c r="B97" s="22" t="s">
        <v>106</v>
      </c>
      <c r="C97" s="22"/>
      <c r="D97" s="20">
        <v>0</v>
      </c>
      <c r="E97" s="20">
        <v>0</v>
      </c>
      <c r="F97" s="20">
        <v>1</v>
      </c>
      <c r="G97" s="20">
        <v>0</v>
      </c>
      <c r="H97" s="20">
        <v>0</v>
      </c>
      <c r="I97" s="20">
        <v>1</v>
      </c>
      <c r="J97" s="123"/>
    </row>
    <row r="98" spans="2:10" x14ac:dyDescent="0.2">
      <c r="B98" s="22" t="s">
        <v>99</v>
      </c>
      <c r="C98" s="22"/>
      <c r="D98" s="20">
        <v>0</v>
      </c>
      <c r="E98" s="20">
        <v>7</v>
      </c>
      <c r="F98" s="20">
        <v>2</v>
      </c>
      <c r="G98" s="20">
        <v>0</v>
      </c>
      <c r="H98" s="20">
        <v>2</v>
      </c>
      <c r="I98" s="20">
        <v>11</v>
      </c>
      <c r="J98" s="123"/>
    </row>
    <row r="99" spans="2:10" x14ac:dyDescent="0.2">
      <c r="B99" s="22" t="s">
        <v>98</v>
      </c>
      <c r="C99" s="22"/>
      <c r="D99" s="20">
        <v>0</v>
      </c>
      <c r="E99" s="20">
        <v>0</v>
      </c>
      <c r="F99" s="20">
        <v>3</v>
      </c>
      <c r="G99" s="20">
        <v>0</v>
      </c>
      <c r="H99" s="20">
        <v>0</v>
      </c>
      <c r="I99" s="20">
        <v>3</v>
      </c>
      <c r="J99" s="123"/>
    </row>
    <row r="100" spans="2:10" x14ac:dyDescent="0.2">
      <c r="B100" s="10" t="s">
        <v>107</v>
      </c>
      <c r="C100" s="10"/>
      <c r="D100" s="18">
        <v>1</v>
      </c>
      <c r="E100" s="18">
        <v>42</v>
      </c>
      <c r="F100" s="18">
        <v>20</v>
      </c>
      <c r="G100" s="18">
        <v>6</v>
      </c>
      <c r="H100" s="18">
        <v>0</v>
      </c>
      <c r="I100" s="18">
        <v>69</v>
      </c>
      <c r="J100" s="123"/>
    </row>
    <row r="101" spans="2:10" x14ac:dyDescent="0.2">
      <c r="B101" s="22" t="s">
        <v>125</v>
      </c>
      <c r="C101" s="22"/>
      <c r="D101" s="20">
        <v>0</v>
      </c>
      <c r="E101" s="20">
        <v>0</v>
      </c>
      <c r="F101" s="20">
        <v>1</v>
      </c>
      <c r="G101" s="20">
        <v>0</v>
      </c>
      <c r="H101" s="20">
        <v>0</v>
      </c>
      <c r="I101" s="20">
        <v>1</v>
      </c>
      <c r="J101" s="123"/>
    </row>
    <row r="102" spans="2:10" x14ac:dyDescent="0.2">
      <c r="B102" s="22" t="s">
        <v>121</v>
      </c>
      <c r="C102" s="22"/>
      <c r="D102" s="20">
        <v>0</v>
      </c>
      <c r="E102" s="20">
        <v>2</v>
      </c>
      <c r="F102" s="20">
        <v>2</v>
      </c>
      <c r="G102" s="20">
        <v>0</v>
      </c>
      <c r="H102" s="20">
        <v>0</v>
      </c>
      <c r="I102" s="20">
        <v>4</v>
      </c>
      <c r="J102" s="123"/>
    </row>
    <row r="103" spans="2:10" x14ac:dyDescent="0.2">
      <c r="B103" s="22" t="s">
        <v>116</v>
      </c>
      <c r="C103" s="22"/>
      <c r="D103" s="20">
        <v>0</v>
      </c>
      <c r="E103" s="20">
        <v>2</v>
      </c>
      <c r="F103" s="20">
        <v>0</v>
      </c>
      <c r="G103" s="20">
        <v>0</v>
      </c>
      <c r="H103" s="20">
        <v>0</v>
      </c>
      <c r="I103" s="20">
        <v>2</v>
      </c>
      <c r="J103" s="123"/>
    </row>
    <row r="104" spans="2:10" x14ac:dyDescent="0.2">
      <c r="B104" s="22" t="s">
        <v>117</v>
      </c>
      <c r="C104" s="22"/>
      <c r="D104" s="20">
        <v>0</v>
      </c>
      <c r="E104" s="20">
        <v>1</v>
      </c>
      <c r="F104" s="20">
        <v>1</v>
      </c>
      <c r="G104" s="20">
        <v>0</v>
      </c>
      <c r="H104" s="20">
        <v>0</v>
      </c>
      <c r="I104" s="20">
        <v>2</v>
      </c>
      <c r="J104" s="123"/>
    </row>
    <row r="105" spans="2:10" x14ac:dyDescent="0.2">
      <c r="B105" s="22" t="s">
        <v>124</v>
      </c>
      <c r="C105" s="22"/>
      <c r="D105" s="20">
        <v>0</v>
      </c>
      <c r="E105" s="20">
        <v>1</v>
      </c>
      <c r="F105" s="20">
        <v>1</v>
      </c>
      <c r="G105" s="20">
        <v>2</v>
      </c>
      <c r="H105" s="20">
        <v>0</v>
      </c>
      <c r="I105" s="20">
        <v>4</v>
      </c>
      <c r="J105" s="123"/>
    </row>
    <row r="106" spans="2:10" x14ac:dyDescent="0.2">
      <c r="B106" s="22" t="s">
        <v>112</v>
      </c>
      <c r="C106" s="22"/>
      <c r="D106" s="20">
        <v>0</v>
      </c>
      <c r="E106" s="20">
        <v>3</v>
      </c>
      <c r="F106" s="20">
        <v>0</v>
      </c>
      <c r="G106" s="20">
        <v>0</v>
      </c>
      <c r="H106" s="20">
        <v>0</v>
      </c>
      <c r="I106" s="20">
        <v>3</v>
      </c>
      <c r="J106" s="123"/>
    </row>
    <row r="107" spans="2:10" x14ac:dyDescent="0.2">
      <c r="B107" s="22" t="s">
        <v>242</v>
      </c>
      <c r="C107" s="22"/>
      <c r="D107" s="20">
        <v>0</v>
      </c>
      <c r="E107" s="20">
        <v>0</v>
      </c>
      <c r="F107" s="20">
        <v>0</v>
      </c>
      <c r="G107" s="20">
        <v>0</v>
      </c>
      <c r="H107" s="20">
        <v>0</v>
      </c>
      <c r="I107" s="20">
        <v>0</v>
      </c>
      <c r="J107" s="123"/>
    </row>
    <row r="108" spans="2:10" x14ac:dyDescent="0.2">
      <c r="B108" s="22" t="s">
        <v>129</v>
      </c>
      <c r="C108" s="22"/>
      <c r="D108" s="20">
        <v>0</v>
      </c>
      <c r="E108" s="20">
        <v>1</v>
      </c>
      <c r="F108" s="20">
        <v>0</v>
      </c>
      <c r="G108" s="20">
        <v>0</v>
      </c>
      <c r="H108" s="20">
        <v>0</v>
      </c>
      <c r="I108" s="20">
        <v>1</v>
      </c>
      <c r="J108" s="123"/>
    </row>
    <row r="109" spans="2:10" x14ac:dyDescent="0.2">
      <c r="B109" s="22" t="s">
        <v>108</v>
      </c>
      <c r="C109" s="22"/>
      <c r="D109" s="20">
        <v>0</v>
      </c>
      <c r="E109" s="20">
        <v>2</v>
      </c>
      <c r="F109" s="20">
        <v>1</v>
      </c>
      <c r="G109" s="20">
        <v>0</v>
      </c>
      <c r="H109" s="20">
        <v>0</v>
      </c>
      <c r="I109" s="20">
        <v>3</v>
      </c>
      <c r="J109" s="123"/>
    </row>
    <row r="110" spans="2:10" x14ac:dyDescent="0.2">
      <c r="B110" s="22" t="s">
        <v>115</v>
      </c>
      <c r="C110" s="22"/>
      <c r="D110" s="20">
        <v>0</v>
      </c>
      <c r="E110" s="20">
        <v>1</v>
      </c>
      <c r="F110" s="20">
        <v>0</v>
      </c>
      <c r="G110" s="20">
        <v>0</v>
      </c>
      <c r="H110" s="20">
        <v>0</v>
      </c>
      <c r="I110" s="20">
        <v>1</v>
      </c>
      <c r="J110" s="123"/>
    </row>
    <row r="111" spans="2:10" x14ac:dyDescent="0.2">
      <c r="B111" s="22" t="s">
        <v>127</v>
      </c>
      <c r="C111" s="22"/>
      <c r="D111" s="20">
        <v>0</v>
      </c>
      <c r="E111" s="20">
        <v>2</v>
      </c>
      <c r="F111" s="20">
        <v>1</v>
      </c>
      <c r="G111" s="20">
        <v>0</v>
      </c>
      <c r="H111" s="20">
        <v>0</v>
      </c>
      <c r="I111" s="20">
        <v>3</v>
      </c>
      <c r="J111" s="123"/>
    </row>
    <row r="112" spans="2:10" x14ac:dyDescent="0.2">
      <c r="B112" s="22" t="s">
        <v>111</v>
      </c>
      <c r="C112" s="22"/>
      <c r="D112" s="20">
        <v>0</v>
      </c>
      <c r="E112" s="20">
        <v>4</v>
      </c>
      <c r="F112" s="20">
        <v>0</v>
      </c>
      <c r="G112" s="20">
        <v>0</v>
      </c>
      <c r="H112" s="20">
        <v>0</v>
      </c>
      <c r="I112" s="20">
        <v>4</v>
      </c>
      <c r="J112" s="123"/>
    </row>
    <row r="113" spans="2:10" x14ac:dyDescent="0.2">
      <c r="B113" s="22" t="s">
        <v>122</v>
      </c>
      <c r="C113" s="22"/>
      <c r="D113" s="20">
        <v>1</v>
      </c>
      <c r="E113" s="20">
        <v>3</v>
      </c>
      <c r="F113" s="20">
        <v>1</v>
      </c>
      <c r="G113" s="20">
        <v>0</v>
      </c>
      <c r="H113" s="20">
        <v>0</v>
      </c>
      <c r="I113" s="20">
        <v>5</v>
      </c>
      <c r="J113" s="123"/>
    </row>
    <row r="114" spans="2:10" x14ac:dyDescent="0.2">
      <c r="B114" s="22" t="s">
        <v>113</v>
      </c>
      <c r="C114" s="22"/>
      <c r="D114" s="20">
        <v>0</v>
      </c>
      <c r="E114" s="20">
        <v>2</v>
      </c>
      <c r="F114" s="20">
        <v>1</v>
      </c>
      <c r="G114" s="20">
        <v>0</v>
      </c>
      <c r="H114" s="20">
        <v>0</v>
      </c>
      <c r="I114" s="20">
        <v>3</v>
      </c>
      <c r="J114" s="123"/>
    </row>
    <row r="115" spans="2:10" x14ac:dyDescent="0.2">
      <c r="B115" s="22" t="s">
        <v>130</v>
      </c>
      <c r="C115" s="22"/>
      <c r="D115" s="20">
        <v>0</v>
      </c>
      <c r="E115" s="20">
        <v>1</v>
      </c>
      <c r="F115" s="20">
        <v>0</v>
      </c>
      <c r="G115" s="20">
        <v>0</v>
      </c>
      <c r="H115" s="20">
        <v>0</v>
      </c>
      <c r="I115" s="20">
        <v>1</v>
      </c>
      <c r="J115" s="123"/>
    </row>
    <row r="116" spans="2:10" x14ac:dyDescent="0.2">
      <c r="B116" s="22" t="s">
        <v>109</v>
      </c>
      <c r="C116" s="22"/>
      <c r="D116" s="20">
        <v>0</v>
      </c>
      <c r="E116" s="20">
        <v>1</v>
      </c>
      <c r="F116" s="20">
        <v>1</v>
      </c>
      <c r="G116" s="20">
        <v>1</v>
      </c>
      <c r="H116" s="20">
        <v>0</v>
      </c>
      <c r="I116" s="20">
        <v>3</v>
      </c>
      <c r="J116" s="123"/>
    </row>
    <row r="117" spans="2:10" x14ac:dyDescent="0.2">
      <c r="B117" s="22" t="s">
        <v>131</v>
      </c>
      <c r="C117" s="22"/>
      <c r="D117" s="20">
        <v>0</v>
      </c>
      <c r="E117" s="20">
        <v>1</v>
      </c>
      <c r="F117" s="20">
        <v>1</v>
      </c>
      <c r="G117" s="20">
        <v>0</v>
      </c>
      <c r="H117" s="20">
        <v>0</v>
      </c>
      <c r="I117" s="20">
        <v>2</v>
      </c>
      <c r="J117" s="123"/>
    </row>
    <row r="118" spans="2:10" x14ac:dyDescent="0.2">
      <c r="B118" s="22" t="s">
        <v>114</v>
      </c>
      <c r="C118" s="22"/>
      <c r="D118" s="20">
        <v>0</v>
      </c>
      <c r="E118" s="20">
        <v>2</v>
      </c>
      <c r="F118" s="20">
        <v>1</v>
      </c>
      <c r="G118" s="20">
        <v>1</v>
      </c>
      <c r="H118" s="20">
        <v>0</v>
      </c>
      <c r="I118" s="20">
        <v>4</v>
      </c>
      <c r="J118" s="123"/>
    </row>
    <row r="119" spans="2:10" x14ac:dyDescent="0.2">
      <c r="B119" s="22" t="s">
        <v>118</v>
      </c>
      <c r="C119" s="22"/>
      <c r="D119" s="20">
        <v>0</v>
      </c>
      <c r="E119" s="20">
        <v>4</v>
      </c>
      <c r="F119" s="20">
        <v>1</v>
      </c>
      <c r="G119" s="20">
        <v>0</v>
      </c>
      <c r="H119" s="20">
        <v>0</v>
      </c>
      <c r="I119" s="20">
        <v>5</v>
      </c>
      <c r="J119" s="123"/>
    </row>
    <row r="120" spans="2:10" x14ac:dyDescent="0.2">
      <c r="B120" s="22" t="s">
        <v>110</v>
      </c>
      <c r="C120" s="22"/>
      <c r="D120" s="20">
        <v>0</v>
      </c>
      <c r="E120" s="20">
        <v>1</v>
      </c>
      <c r="F120" s="20">
        <v>1</v>
      </c>
      <c r="G120" s="20">
        <v>0</v>
      </c>
      <c r="H120" s="20">
        <v>0</v>
      </c>
      <c r="I120" s="20">
        <v>2</v>
      </c>
      <c r="J120" s="123"/>
    </row>
    <row r="121" spans="2:10" x14ac:dyDescent="0.2">
      <c r="B121" s="22" t="s">
        <v>243</v>
      </c>
      <c r="C121" s="22"/>
      <c r="D121" s="20">
        <v>0</v>
      </c>
      <c r="E121" s="20">
        <v>0</v>
      </c>
      <c r="F121" s="20">
        <v>0</v>
      </c>
      <c r="G121" s="20">
        <v>0</v>
      </c>
      <c r="H121" s="20">
        <v>0</v>
      </c>
      <c r="I121" s="20">
        <v>0</v>
      </c>
      <c r="J121" s="123"/>
    </row>
    <row r="122" spans="2:10" x14ac:dyDescent="0.2">
      <c r="B122" s="22" t="s">
        <v>134</v>
      </c>
      <c r="C122" s="22"/>
      <c r="D122" s="20">
        <v>0</v>
      </c>
      <c r="E122" s="20">
        <v>1</v>
      </c>
      <c r="F122" s="20">
        <v>1</v>
      </c>
      <c r="G122" s="20">
        <v>0</v>
      </c>
      <c r="H122" s="20">
        <v>0</v>
      </c>
      <c r="I122" s="20">
        <v>2</v>
      </c>
      <c r="J122" s="123"/>
    </row>
    <row r="123" spans="2:10" x14ac:dyDescent="0.2">
      <c r="B123" s="22" t="s">
        <v>120</v>
      </c>
      <c r="C123" s="22"/>
      <c r="D123" s="20">
        <v>0</v>
      </c>
      <c r="E123" s="20">
        <v>2</v>
      </c>
      <c r="F123" s="20">
        <v>0</v>
      </c>
      <c r="G123" s="20">
        <v>0</v>
      </c>
      <c r="H123" s="20">
        <v>0</v>
      </c>
      <c r="I123" s="20">
        <v>2</v>
      </c>
      <c r="J123" s="123"/>
    </row>
    <row r="124" spans="2:10" x14ac:dyDescent="0.2">
      <c r="B124" s="22" t="s">
        <v>132</v>
      </c>
      <c r="C124" s="22"/>
      <c r="D124" s="20">
        <v>0</v>
      </c>
      <c r="E124" s="20">
        <v>0</v>
      </c>
      <c r="F124" s="20">
        <v>0</v>
      </c>
      <c r="G124" s="20">
        <v>1</v>
      </c>
      <c r="H124" s="20">
        <v>0</v>
      </c>
      <c r="I124" s="20">
        <v>1</v>
      </c>
      <c r="J124" s="123"/>
    </row>
    <row r="125" spans="2:10" x14ac:dyDescent="0.2">
      <c r="B125" s="22" t="s">
        <v>123</v>
      </c>
      <c r="C125" s="22"/>
      <c r="D125" s="20">
        <v>0</v>
      </c>
      <c r="E125" s="20">
        <v>0</v>
      </c>
      <c r="F125" s="20">
        <v>2</v>
      </c>
      <c r="G125" s="20">
        <v>0</v>
      </c>
      <c r="H125" s="20">
        <v>0</v>
      </c>
      <c r="I125" s="20">
        <v>2</v>
      </c>
      <c r="J125" s="123"/>
    </row>
    <row r="126" spans="2:10" x14ac:dyDescent="0.2">
      <c r="B126" s="22" t="s">
        <v>244</v>
      </c>
      <c r="C126" s="22"/>
      <c r="D126" s="20">
        <v>0</v>
      </c>
      <c r="E126" s="20">
        <v>0</v>
      </c>
      <c r="F126" s="20">
        <v>0</v>
      </c>
      <c r="G126" s="20">
        <v>0</v>
      </c>
      <c r="H126" s="20">
        <v>0</v>
      </c>
      <c r="I126" s="20">
        <v>0</v>
      </c>
      <c r="J126" s="123"/>
    </row>
    <row r="127" spans="2:10" x14ac:dyDescent="0.2">
      <c r="B127" s="22" t="s">
        <v>119</v>
      </c>
      <c r="C127" s="22"/>
      <c r="D127" s="20">
        <v>0</v>
      </c>
      <c r="E127" s="20">
        <v>2</v>
      </c>
      <c r="F127" s="20">
        <v>0</v>
      </c>
      <c r="G127" s="20">
        <v>0</v>
      </c>
      <c r="H127" s="20">
        <v>0</v>
      </c>
      <c r="I127" s="20">
        <v>2</v>
      </c>
      <c r="J127" s="123"/>
    </row>
    <row r="128" spans="2:10" x14ac:dyDescent="0.2">
      <c r="B128" s="22" t="s">
        <v>133</v>
      </c>
      <c r="C128" s="22"/>
      <c r="D128" s="20">
        <v>0</v>
      </c>
      <c r="E128" s="20">
        <v>0</v>
      </c>
      <c r="F128" s="20">
        <v>1</v>
      </c>
      <c r="G128" s="20">
        <v>0</v>
      </c>
      <c r="H128" s="20">
        <v>0</v>
      </c>
      <c r="I128" s="20">
        <v>1</v>
      </c>
      <c r="J128" s="123"/>
    </row>
    <row r="129" spans="2:10" x14ac:dyDescent="0.2">
      <c r="B129" s="22" t="s">
        <v>245</v>
      </c>
      <c r="C129" s="22"/>
      <c r="D129" s="20">
        <v>0</v>
      </c>
      <c r="E129" s="20">
        <v>0</v>
      </c>
      <c r="F129" s="20">
        <v>0</v>
      </c>
      <c r="G129" s="20">
        <v>0</v>
      </c>
      <c r="H129" s="20">
        <v>0</v>
      </c>
      <c r="I129" s="20">
        <v>0</v>
      </c>
      <c r="J129" s="123"/>
    </row>
    <row r="130" spans="2:10" x14ac:dyDescent="0.2">
      <c r="B130" s="22" t="s">
        <v>126</v>
      </c>
      <c r="C130" s="22"/>
      <c r="D130" s="20">
        <v>0</v>
      </c>
      <c r="E130" s="20">
        <v>1</v>
      </c>
      <c r="F130" s="20">
        <v>2</v>
      </c>
      <c r="G130" s="20">
        <v>0</v>
      </c>
      <c r="H130" s="20">
        <v>0</v>
      </c>
      <c r="I130" s="20">
        <v>3</v>
      </c>
      <c r="J130" s="123"/>
    </row>
    <row r="131" spans="2:10" x14ac:dyDescent="0.2">
      <c r="B131" s="22" t="s">
        <v>128</v>
      </c>
      <c r="C131" s="22"/>
      <c r="D131" s="20">
        <v>0</v>
      </c>
      <c r="E131" s="20">
        <v>2</v>
      </c>
      <c r="F131" s="20">
        <v>0</v>
      </c>
      <c r="G131" s="20">
        <v>1</v>
      </c>
      <c r="H131" s="20">
        <v>0</v>
      </c>
      <c r="I131" s="20">
        <v>3</v>
      </c>
      <c r="J131" s="123"/>
    </row>
    <row r="132" spans="2:10" x14ac:dyDescent="0.2">
      <c r="B132" s="22" t="s">
        <v>246</v>
      </c>
      <c r="C132" s="22"/>
      <c r="D132" s="20">
        <v>0</v>
      </c>
      <c r="E132" s="20">
        <v>0</v>
      </c>
      <c r="F132" s="20">
        <v>0</v>
      </c>
      <c r="G132" s="20">
        <v>0</v>
      </c>
      <c r="H132" s="20">
        <v>0</v>
      </c>
      <c r="I132" s="20">
        <v>0</v>
      </c>
      <c r="J132" s="123"/>
    </row>
    <row r="133" spans="2:10" x14ac:dyDescent="0.2">
      <c r="B133" s="22" t="s">
        <v>247</v>
      </c>
      <c r="C133" s="22"/>
      <c r="D133" s="20">
        <v>0</v>
      </c>
      <c r="E133" s="20">
        <v>0</v>
      </c>
      <c r="F133" s="20">
        <v>0</v>
      </c>
      <c r="G133" s="20">
        <v>0</v>
      </c>
      <c r="H133" s="20">
        <v>0</v>
      </c>
      <c r="I133" s="20">
        <v>0</v>
      </c>
      <c r="J133" s="123"/>
    </row>
    <row r="134" spans="2:10" x14ac:dyDescent="0.2">
      <c r="B134" s="10" t="s">
        <v>169</v>
      </c>
      <c r="C134" s="10"/>
      <c r="D134" s="18">
        <v>0</v>
      </c>
      <c r="E134" s="18">
        <v>75</v>
      </c>
      <c r="F134" s="18">
        <v>12</v>
      </c>
      <c r="G134" s="18">
        <v>1</v>
      </c>
      <c r="H134" s="18">
        <v>0</v>
      </c>
      <c r="I134" s="18">
        <v>88</v>
      </c>
      <c r="J134" s="123"/>
    </row>
    <row r="135" spans="2:10" x14ac:dyDescent="0.2">
      <c r="B135" s="22" t="s">
        <v>174</v>
      </c>
      <c r="C135" s="22"/>
      <c r="D135" s="20">
        <v>0</v>
      </c>
      <c r="E135" s="20">
        <v>2</v>
      </c>
      <c r="F135" s="20">
        <v>0</v>
      </c>
      <c r="G135" s="20">
        <v>0</v>
      </c>
      <c r="H135" s="20">
        <v>0</v>
      </c>
      <c r="I135" s="20">
        <v>2</v>
      </c>
      <c r="J135" s="123"/>
    </row>
    <row r="136" spans="2:10" x14ac:dyDescent="0.2">
      <c r="B136" s="22" t="s">
        <v>181</v>
      </c>
      <c r="C136" s="22"/>
      <c r="D136" s="20">
        <v>0</v>
      </c>
      <c r="E136" s="20">
        <v>2</v>
      </c>
      <c r="F136" s="20">
        <v>0</v>
      </c>
      <c r="G136" s="20">
        <v>0</v>
      </c>
      <c r="H136" s="20">
        <v>0</v>
      </c>
      <c r="I136" s="20">
        <v>2</v>
      </c>
      <c r="J136" s="123"/>
    </row>
    <row r="137" spans="2:10" x14ac:dyDescent="0.2">
      <c r="B137" s="22" t="s">
        <v>184</v>
      </c>
      <c r="C137" s="22"/>
      <c r="D137" s="20">
        <v>0</v>
      </c>
      <c r="E137" s="20">
        <v>1</v>
      </c>
      <c r="F137" s="20">
        <v>0</v>
      </c>
      <c r="G137" s="20">
        <v>0</v>
      </c>
      <c r="H137" s="20">
        <v>0</v>
      </c>
      <c r="I137" s="20">
        <v>1</v>
      </c>
      <c r="J137" s="123"/>
    </row>
    <row r="138" spans="2:10" x14ac:dyDescent="0.2">
      <c r="B138" s="22" t="s">
        <v>180</v>
      </c>
      <c r="C138" s="22"/>
      <c r="D138" s="20">
        <v>0</v>
      </c>
      <c r="E138" s="20">
        <v>7</v>
      </c>
      <c r="F138" s="20">
        <v>0</v>
      </c>
      <c r="G138" s="20">
        <v>0</v>
      </c>
      <c r="H138" s="20">
        <v>0</v>
      </c>
      <c r="I138" s="20">
        <v>7</v>
      </c>
      <c r="J138" s="123"/>
    </row>
    <row r="139" spans="2:10" x14ac:dyDescent="0.2">
      <c r="B139" s="22" t="s">
        <v>170</v>
      </c>
      <c r="C139" s="22"/>
      <c r="D139" s="20">
        <v>0</v>
      </c>
      <c r="E139" s="20">
        <v>14</v>
      </c>
      <c r="F139" s="20">
        <v>4</v>
      </c>
      <c r="G139" s="20">
        <v>1</v>
      </c>
      <c r="H139" s="20">
        <v>0</v>
      </c>
      <c r="I139" s="20">
        <v>19</v>
      </c>
      <c r="J139" s="123"/>
    </row>
    <row r="140" spans="2:10" x14ac:dyDescent="0.2">
      <c r="B140" s="22" t="s">
        <v>182</v>
      </c>
      <c r="C140" s="22"/>
      <c r="D140" s="20">
        <v>0</v>
      </c>
      <c r="E140" s="20">
        <v>1</v>
      </c>
      <c r="F140" s="20">
        <v>0</v>
      </c>
      <c r="G140" s="20">
        <v>0</v>
      </c>
      <c r="H140" s="20">
        <v>0</v>
      </c>
      <c r="I140" s="20">
        <v>1</v>
      </c>
      <c r="J140" s="123"/>
    </row>
    <row r="141" spans="2:10" x14ac:dyDescent="0.2">
      <c r="B141" s="22" t="s">
        <v>171</v>
      </c>
      <c r="C141" s="22"/>
      <c r="D141" s="20">
        <v>0</v>
      </c>
      <c r="E141" s="20">
        <v>20</v>
      </c>
      <c r="F141" s="20">
        <v>4</v>
      </c>
      <c r="G141" s="20">
        <v>0</v>
      </c>
      <c r="H141" s="20">
        <v>0</v>
      </c>
      <c r="I141" s="20">
        <v>24</v>
      </c>
      <c r="J141" s="123"/>
    </row>
    <row r="142" spans="2:10" x14ac:dyDescent="0.2">
      <c r="B142" s="22" t="s">
        <v>172</v>
      </c>
      <c r="C142" s="22"/>
      <c r="D142" s="20">
        <v>0</v>
      </c>
      <c r="E142" s="20">
        <v>2</v>
      </c>
      <c r="F142" s="20">
        <v>0</v>
      </c>
      <c r="G142" s="20">
        <v>0</v>
      </c>
      <c r="H142" s="20">
        <v>0</v>
      </c>
      <c r="I142" s="20">
        <v>2</v>
      </c>
      <c r="J142" s="123"/>
    </row>
    <row r="143" spans="2:10" x14ac:dyDescent="0.2">
      <c r="B143" s="22" t="s">
        <v>186</v>
      </c>
      <c r="C143" s="22"/>
      <c r="D143" s="20">
        <v>0</v>
      </c>
      <c r="E143" s="20">
        <v>1</v>
      </c>
      <c r="F143" s="20">
        <v>0</v>
      </c>
      <c r="G143" s="20">
        <v>0</v>
      </c>
      <c r="H143" s="20">
        <v>0</v>
      </c>
      <c r="I143" s="20">
        <v>1</v>
      </c>
      <c r="J143" s="123"/>
    </row>
    <row r="144" spans="2:10" x14ac:dyDescent="0.2">
      <c r="B144" s="22" t="s">
        <v>187</v>
      </c>
      <c r="C144" s="22"/>
      <c r="D144" s="20">
        <v>0</v>
      </c>
      <c r="E144" s="20">
        <v>1</v>
      </c>
      <c r="F144" s="20">
        <v>0</v>
      </c>
      <c r="G144" s="20">
        <v>0</v>
      </c>
      <c r="H144" s="20">
        <v>0</v>
      </c>
      <c r="I144" s="20">
        <v>1</v>
      </c>
      <c r="J144" s="123"/>
    </row>
    <row r="145" spans="2:10" x14ac:dyDescent="0.2">
      <c r="B145" s="22" t="s">
        <v>173</v>
      </c>
      <c r="C145" s="22"/>
      <c r="D145" s="20">
        <v>0</v>
      </c>
      <c r="E145" s="20">
        <v>4</v>
      </c>
      <c r="F145" s="20">
        <v>0</v>
      </c>
      <c r="G145" s="20">
        <v>0</v>
      </c>
      <c r="H145" s="20">
        <v>0</v>
      </c>
      <c r="I145" s="20">
        <v>4</v>
      </c>
      <c r="J145" s="123"/>
    </row>
    <row r="146" spans="2:10" x14ac:dyDescent="0.2">
      <c r="B146" s="22" t="s">
        <v>183</v>
      </c>
      <c r="C146" s="22"/>
      <c r="D146" s="20">
        <v>0</v>
      </c>
      <c r="E146" s="20">
        <v>2</v>
      </c>
      <c r="F146" s="20">
        <v>0</v>
      </c>
      <c r="G146" s="20">
        <v>0</v>
      </c>
      <c r="H146" s="20">
        <v>0</v>
      </c>
      <c r="I146" s="20">
        <v>2</v>
      </c>
      <c r="J146" s="123"/>
    </row>
    <row r="147" spans="2:10" x14ac:dyDescent="0.2">
      <c r="B147" s="22" t="s">
        <v>248</v>
      </c>
      <c r="C147" s="22"/>
      <c r="D147" s="20">
        <v>0</v>
      </c>
      <c r="E147" s="20">
        <v>0</v>
      </c>
      <c r="F147" s="20">
        <v>0</v>
      </c>
      <c r="G147" s="20">
        <v>0</v>
      </c>
      <c r="H147" s="20">
        <v>0</v>
      </c>
      <c r="I147" s="20">
        <v>0</v>
      </c>
      <c r="J147" s="123"/>
    </row>
    <row r="148" spans="2:10" x14ac:dyDescent="0.2">
      <c r="B148" s="22" t="s">
        <v>179</v>
      </c>
      <c r="C148" s="22"/>
      <c r="D148" s="20">
        <v>0</v>
      </c>
      <c r="E148" s="20">
        <v>4</v>
      </c>
      <c r="F148" s="20">
        <v>0</v>
      </c>
      <c r="G148" s="20">
        <v>0</v>
      </c>
      <c r="H148" s="20">
        <v>0</v>
      </c>
      <c r="I148" s="20">
        <v>4</v>
      </c>
      <c r="J148" s="123"/>
    </row>
    <row r="149" spans="2:10" x14ac:dyDescent="0.2">
      <c r="B149" s="22" t="s">
        <v>175</v>
      </c>
      <c r="C149" s="22"/>
      <c r="D149" s="20">
        <v>0</v>
      </c>
      <c r="E149" s="20">
        <v>6</v>
      </c>
      <c r="F149" s="20">
        <v>1</v>
      </c>
      <c r="G149" s="20">
        <v>0</v>
      </c>
      <c r="H149" s="20">
        <v>0</v>
      </c>
      <c r="I149" s="20">
        <v>7</v>
      </c>
      <c r="J149" s="123"/>
    </row>
    <row r="150" spans="2:10" x14ac:dyDescent="0.2">
      <c r="B150" s="22" t="s">
        <v>176</v>
      </c>
      <c r="C150" s="22"/>
      <c r="D150" s="20">
        <v>0</v>
      </c>
      <c r="E150" s="20">
        <v>3</v>
      </c>
      <c r="F150" s="20">
        <v>0</v>
      </c>
      <c r="G150" s="20">
        <v>0</v>
      </c>
      <c r="H150" s="20">
        <v>0</v>
      </c>
      <c r="I150" s="20">
        <v>3</v>
      </c>
      <c r="J150" s="123"/>
    </row>
    <row r="151" spans="2:10" x14ac:dyDescent="0.2">
      <c r="B151" s="22" t="s">
        <v>177</v>
      </c>
      <c r="C151" s="22"/>
      <c r="D151" s="20">
        <v>0</v>
      </c>
      <c r="E151" s="20">
        <v>4</v>
      </c>
      <c r="F151" s="20">
        <v>2</v>
      </c>
      <c r="G151" s="20">
        <v>0</v>
      </c>
      <c r="H151" s="20">
        <v>0</v>
      </c>
      <c r="I151" s="20">
        <v>6</v>
      </c>
      <c r="J151" s="123"/>
    </row>
    <row r="152" spans="2:10" x14ac:dyDescent="0.2">
      <c r="B152" s="22" t="s">
        <v>185</v>
      </c>
      <c r="C152" s="22"/>
      <c r="D152" s="20">
        <v>0</v>
      </c>
      <c r="E152" s="20">
        <v>1</v>
      </c>
      <c r="F152" s="20">
        <v>0</v>
      </c>
      <c r="G152" s="20">
        <v>0</v>
      </c>
      <c r="H152" s="20">
        <v>0</v>
      </c>
      <c r="I152" s="20">
        <v>1</v>
      </c>
      <c r="J152" s="123"/>
    </row>
    <row r="153" spans="2:10" x14ac:dyDescent="0.2">
      <c r="B153" s="22" t="s">
        <v>178</v>
      </c>
      <c r="C153" s="22"/>
      <c r="D153" s="20">
        <v>0</v>
      </c>
      <c r="E153" s="20">
        <v>0</v>
      </c>
      <c r="F153" s="20">
        <v>1</v>
      </c>
      <c r="G153" s="20">
        <v>0</v>
      </c>
      <c r="H153" s="20">
        <v>0</v>
      </c>
      <c r="I153" s="20">
        <v>1</v>
      </c>
      <c r="J153" s="123"/>
    </row>
    <row r="154" spans="2:10" x14ac:dyDescent="0.2">
      <c r="B154" s="10" t="s">
        <v>188</v>
      </c>
      <c r="C154" s="10"/>
      <c r="D154" s="18">
        <v>1</v>
      </c>
      <c r="E154" s="18">
        <v>87</v>
      </c>
      <c r="F154" s="18">
        <v>10</v>
      </c>
      <c r="G154" s="18">
        <v>3</v>
      </c>
      <c r="H154" s="18">
        <v>0</v>
      </c>
      <c r="I154" s="18">
        <v>101</v>
      </c>
      <c r="J154" s="123"/>
    </row>
    <row r="155" spans="2:10" x14ac:dyDescent="0.2">
      <c r="B155" s="23" t="s">
        <v>198</v>
      </c>
      <c r="C155" s="23"/>
      <c r="D155" s="20">
        <v>0</v>
      </c>
      <c r="E155" s="20">
        <v>1</v>
      </c>
      <c r="F155" s="20">
        <v>0</v>
      </c>
      <c r="G155" s="20">
        <v>0</v>
      </c>
      <c r="H155" s="20">
        <v>0</v>
      </c>
      <c r="I155" s="20">
        <v>1</v>
      </c>
      <c r="J155" s="123"/>
    </row>
    <row r="156" spans="2:10" x14ac:dyDescent="0.2">
      <c r="B156" s="23" t="s">
        <v>200</v>
      </c>
      <c r="C156" s="23"/>
      <c r="D156" s="20">
        <v>0</v>
      </c>
      <c r="E156" s="20">
        <v>1</v>
      </c>
      <c r="F156" s="20">
        <v>1</v>
      </c>
      <c r="G156" s="20">
        <v>0</v>
      </c>
      <c r="H156" s="20">
        <v>0</v>
      </c>
      <c r="I156" s="20">
        <v>2</v>
      </c>
      <c r="J156" s="123"/>
    </row>
    <row r="157" spans="2:10" x14ac:dyDescent="0.2">
      <c r="B157" s="23" t="s">
        <v>189</v>
      </c>
      <c r="C157" s="23"/>
      <c r="D157" s="20">
        <v>0</v>
      </c>
      <c r="E157" s="20">
        <v>7</v>
      </c>
      <c r="F157" s="20">
        <v>1</v>
      </c>
      <c r="G157" s="20">
        <v>0</v>
      </c>
      <c r="H157" s="20">
        <v>0</v>
      </c>
      <c r="I157" s="20">
        <v>8</v>
      </c>
      <c r="J157" s="123"/>
    </row>
    <row r="158" spans="2:10" x14ac:dyDescent="0.2">
      <c r="B158" s="23" t="s">
        <v>196</v>
      </c>
      <c r="C158" s="23"/>
      <c r="D158" s="20">
        <v>0</v>
      </c>
      <c r="E158" s="20">
        <v>11</v>
      </c>
      <c r="F158" s="20">
        <v>1</v>
      </c>
      <c r="G158" s="20">
        <v>0</v>
      </c>
      <c r="H158" s="20">
        <v>0</v>
      </c>
      <c r="I158" s="20">
        <v>12</v>
      </c>
      <c r="J158" s="123"/>
    </row>
    <row r="159" spans="2:10" x14ac:dyDescent="0.2">
      <c r="B159" s="23" t="s">
        <v>197</v>
      </c>
      <c r="C159" s="23"/>
      <c r="D159" s="20">
        <v>0</v>
      </c>
      <c r="E159" s="20">
        <v>17</v>
      </c>
      <c r="F159" s="20">
        <v>0</v>
      </c>
      <c r="G159" s="20">
        <v>2</v>
      </c>
      <c r="H159" s="20">
        <v>0</v>
      </c>
      <c r="I159" s="20">
        <v>19</v>
      </c>
      <c r="J159" s="123"/>
    </row>
    <row r="160" spans="2:10" x14ac:dyDescent="0.2">
      <c r="B160" s="23" t="s">
        <v>190</v>
      </c>
      <c r="C160" s="23"/>
      <c r="D160" s="20">
        <v>0</v>
      </c>
      <c r="E160" s="20">
        <v>5</v>
      </c>
      <c r="F160" s="20">
        <v>0</v>
      </c>
      <c r="G160" s="20">
        <v>0</v>
      </c>
      <c r="H160" s="20">
        <v>0</v>
      </c>
      <c r="I160" s="20">
        <v>5</v>
      </c>
      <c r="J160" s="123"/>
    </row>
    <row r="161" spans="2:10" x14ac:dyDescent="0.2">
      <c r="B161" s="23" t="s">
        <v>194</v>
      </c>
      <c r="C161" s="23"/>
      <c r="D161" s="20">
        <v>0</v>
      </c>
      <c r="E161" s="20">
        <v>7</v>
      </c>
      <c r="F161" s="20">
        <v>2</v>
      </c>
      <c r="G161" s="20">
        <v>0</v>
      </c>
      <c r="H161" s="20">
        <v>0</v>
      </c>
      <c r="I161" s="20">
        <v>9</v>
      </c>
      <c r="J161" s="123"/>
    </row>
    <row r="162" spans="2:10" x14ac:dyDescent="0.2">
      <c r="B162" s="23" t="s">
        <v>249</v>
      </c>
      <c r="C162" s="23"/>
      <c r="D162" s="20">
        <v>0</v>
      </c>
      <c r="E162" s="20">
        <v>0</v>
      </c>
      <c r="F162" s="20">
        <v>0</v>
      </c>
      <c r="G162" s="20">
        <v>0</v>
      </c>
      <c r="H162" s="20">
        <v>0</v>
      </c>
      <c r="I162" s="20">
        <v>0</v>
      </c>
      <c r="J162" s="123"/>
    </row>
    <row r="163" spans="2:10" x14ac:dyDescent="0.2">
      <c r="B163" s="23" t="s">
        <v>199</v>
      </c>
      <c r="C163" s="23"/>
      <c r="D163" s="20">
        <v>0</v>
      </c>
      <c r="E163" s="20">
        <v>5</v>
      </c>
      <c r="F163" s="20">
        <v>0</v>
      </c>
      <c r="G163" s="20">
        <v>1</v>
      </c>
      <c r="H163" s="20">
        <v>0</v>
      </c>
      <c r="I163" s="20">
        <v>6</v>
      </c>
      <c r="J163" s="123"/>
    </row>
    <row r="164" spans="2:10" x14ac:dyDescent="0.2">
      <c r="B164" s="23" t="s">
        <v>191</v>
      </c>
      <c r="C164" s="23"/>
      <c r="D164" s="20">
        <v>1</v>
      </c>
      <c r="E164" s="20">
        <v>7</v>
      </c>
      <c r="F164" s="20">
        <v>1</v>
      </c>
      <c r="G164" s="20">
        <v>0</v>
      </c>
      <c r="H164" s="20">
        <v>0</v>
      </c>
      <c r="I164" s="20">
        <v>9</v>
      </c>
      <c r="J164" s="123"/>
    </row>
    <row r="165" spans="2:10" x14ac:dyDescent="0.2">
      <c r="B165" s="23" t="s">
        <v>195</v>
      </c>
      <c r="C165" s="23"/>
      <c r="D165" s="20">
        <v>0</v>
      </c>
      <c r="E165" s="20">
        <v>11</v>
      </c>
      <c r="F165" s="20">
        <v>1</v>
      </c>
      <c r="G165" s="20">
        <v>0</v>
      </c>
      <c r="H165" s="20">
        <v>0</v>
      </c>
      <c r="I165" s="20">
        <v>12</v>
      </c>
      <c r="J165" s="123"/>
    </row>
    <row r="166" spans="2:10" x14ac:dyDescent="0.2">
      <c r="B166" s="23" t="s">
        <v>193</v>
      </c>
      <c r="C166" s="23"/>
      <c r="D166" s="20">
        <v>0</v>
      </c>
      <c r="E166" s="20">
        <v>2</v>
      </c>
      <c r="F166" s="20">
        <v>1</v>
      </c>
      <c r="G166" s="20">
        <v>0</v>
      </c>
      <c r="H166" s="20">
        <v>0</v>
      </c>
      <c r="I166" s="20">
        <v>3</v>
      </c>
      <c r="J166" s="123"/>
    </row>
    <row r="167" spans="2:10" x14ac:dyDescent="0.2">
      <c r="B167" s="23" t="s">
        <v>201</v>
      </c>
      <c r="C167" s="23"/>
      <c r="D167" s="20">
        <v>0</v>
      </c>
      <c r="E167" s="20">
        <v>2</v>
      </c>
      <c r="F167" s="20">
        <v>1</v>
      </c>
      <c r="G167" s="20">
        <v>0</v>
      </c>
      <c r="H167" s="20">
        <v>0</v>
      </c>
      <c r="I167" s="20">
        <v>3</v>
      </c>
      <c r="J167" s="123"/>
    </row>
    <row r="168" spans="2:10" x14ac:dyDescent="0.2">
      <c r="B168" s="23" t="s">
        <v>192</v>
      </c>
      <c r="C168" s="23"/>
      <c r="D168" s="20">
        <v>0</v>
      </c>
      <c r="E168" s="20">
        <v>3</v>
      </c>
      <c r="F168" s="20">
        <v>1</v>
      </c>
      <c r="G168" s="20">
        <v>0</v>
      </c>
      <c r="H168" s="20">
        <v>0</v>
      </c>
      <c r="I168" s="20">
        <v>4</v>
      </c>
      <c r="J168" s="123"/>
    </row>
    <row r="169" spans="2:10" x14ac:dyDescent="0.2">
      <c r="B169" s="23" t="s">
        <v>202</v>
      </c>
      <c r="C169" s="23"/>
      <c r="D169" s="20">
        <v>0</v>
      </c>
      <c r="E169" s="20">
        <v>8</v>
      </c>
      <c r="F169" s="20">
        <v>0</v>
      </c>
      <c r="G169" s="20">
        <v>0</v>
      </c>
      <c r="H169" s="20">
        <v>0</v>
      </c>
      <c r="I169" s="20">
        <v>8</v>
      </c>
      <c r="J169" s="123"/>
    </row>
    <row r="170" spans="2:10" x14ac:dyDescent="0.2">
      <c r="B170" s="15"/>
      <c r="C170" s="15"/>
      <c r="D170" s="24"/>
      <c r="E170" s="24"/>
      <c r="F170" s="24"/>
      <c r="G170" s="24"/>
      <c r="H170" s="24"/>
      <c r="I170" s="24"/>
    </row>
    <row r="171" spans="2:10" x14ac:dyDescent="0.2">
      <c r="B171" s="85"/>
      <c r="C171" s="85"/>
      <c r="D171" s="25"/>
      <c r="E171" s="25"/>
      <c r="F171" s="25"/>
      <c r="G171" s="25"/>
      <c r="H171" s="25"/>
      <c r="I171" s="25"/>
    </row>
    <row r="172" spans="2:10" x14ac:dyDescent="0.2">
      <c r="B172" s="8"/>
      <c r="C172" s="85"/>
      <c r="D172" s="85"/>
      <c r="E172" s="85"/>
      <c r="F172" s="85"/>
      <c r="G172" s="85"/>
      <c r="H172" s="85"/>
      <c r="I172" s="85"/>
    </row>
  </sheetData>
  <sheetProtection sheet="1" objects="1" scenarios="1" sort="0" autoFilter="0"/>
  <autoFilter ref="B6:B169" xr:uid="{E7E3328E-1F17-47B7-9315-15DAD216341B}"/>
  <conditionalFormatting sqref="B2:D2">
    <cfRule type="expression" dxfId="0" priority="1">
      <formula>$I$8&lt;&gt;#REF!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085E-2DC6-43D3-B785-BD3DAA0AB6A9}">
  <dimension ref="A1:BN2040"/>
  <sheetViews>
    <sheetView workbookViewId="0">
      <pane xSplit="4" ySplit="1" topLeftCell="O657" activePane="bottomRight" state="frozen"/>
      <selection pane="topRight" activeCell="E1" sqref="E1"/>
      <selection pane="bottomLeft" activeCell="A2" sqref="A2"/>
      <selection pane="bottomRight"/>
    </sheetView>
  </sheetViews>
  <sheetFormatPr defaultColWidth="9.140625" defaultRowHeight="12.75" x14ac:dyDescent="0.2"/>
  <cols>
    <col min="1" max="1" width="23" customWidth="1"/>
    <col min="2" max="2" width="7.85546875" bestFit="1" customWidth="1"/>
    <col min="3" max="3" width="11" customWidth="1"/>
    <col min="4" max="4" width="64.7109375" bestFit="1" customWidth="1"/>
    <col min="5" max="5" width="15.85546875" bestFit="1" customWidth="1"/>
    <col min="6" max="6" width="25.85546875" bestFit="1" customWidth="1"/>
    <col min="7" max="7" width="12.7109375" bestFit="1" customWidth="1"/>
    <col min="8" max="8" width="13.7109375" bestFit="1" customWidth="1"/>
    <col min="9" max="9" width="24.7109375" bestFit="1" customWidth="1"/>
    <col min="10" max="10" width="27.28515625" bestFit="1" customWidth="1"/>
    <col min="11" max="11" width="17" bestFit="1" customWidth="1"/>
    <col min="12" max="12" width="17.5703125" bestFit="1" customWidth="1"/>
    <col min="13" max="13" width="35" bestFit="1" customWidth="1"/>
    <col min="14" max="14" width="24.28515625" bestFit="1" customWidth="1"/>
    <col min="15" max="15" width="33.28515625" bestFit="1" customWidth="1"/>
    <col min="16" max="16" width="34.42578125" bestFit="1" customWidth="1"/>
    <col min="17" max="17" width="10.7109375" bestFit="1" customWidth="1"/>
    <col min="18" max="18" width="22.7109375" bestFit="1" customWidth="1"/>
    <col min="19" max="19" width="12.140625" customWidth="1"/>
    <col min="20" max="20" width="11.85546875" bestFit="1" customWidth="1"/>
    <col min="21" max="21" width="13.7109375" customWidth="1"/>
    <col min="22" max="16384" width="9.140625" style="26"/>
  </cols>
  <sheetData>
    <row r="1" spans="1:66" s="43" customFormat="1" ht="51" x14ac:dyDescent="0.2">
      <c r="A1" s="43" t="s">
        <v>250</v>
      </c>
      <c r="B1" s="43" t="s">
        <v>40</v>
      </c>
      <c r="C1" s="43" t="s">
        <v>42</v>
      </c>
      <c r="D1" s="43" t="s">
        <v>44</v>
      </c>
      <c r="E1" s="43" t="s">
        <v>46</v>
      </c>
      <c r="F1" s="43" t="s">
        <v>48</v>
      </c>
      <c r="G1" s="63" t="s">
        <v>50</v>
      </c>
      <c r="H1" s="43" t="s">
        <v>251</v>
      </c>
      <c r="I1" s="43" t="s">
        <v>252</v>
      </c>
      <c r="J1" s="76" t="s">
        <v>56</v>
      </c>
      <c r="K1" s="76" t="s">
        <v>58</v>
      </c>
      <c r="L1" s="76" t="s">
        <v>60</v>
      </c>
      <c r="M1" s="43" t="s">
        <v>62</v>
      </c>
      <c r="N1" s="43" t="s">
        <v>64</v>
      </c>
      <c r="O1" s="43" t="s">
        <v>66</v>
      </c>
      <c r="P1" s="43" t="s">
        <v>68</v>
      </c>
      <c r="Q1" s="43" t="s">
        <v>70</v>
      </c>
      <c r="R1" s="43" t="s">
        <v>72</v>
      </c>
      <c r="S1" s="40" t="s">
        <v>74</v>
      </c>
      <c r="T1" s="110" t="s">
        <v>76</v>
      </c>
      <c r="U1" s="110" t="s">
        <v>78</v>
      </c>
      <c r="V1" s="110"/>
      <c r="W1" s="110"/>
      <c r="X1" s="110"/>
      <c r="Y1" s="110"/>
      <c r="Z1" s="110"/>
      <c r="AA1" s="111"/>
      <c r="AB1" s="111"/>
      <c r="AC1" s="110"/>
      <c r="AD1" s="110"/>
      <c r="AE1" s="110"/>
      <c r="AJ1" s="63"/>
      <c r="AK1" s="63"/>
      <c r="AL1" s="63"/>
      <c r="AV1" s="76"/>
      <c r="AZ1" s="76"/>
      <c r="BB1" s="63"/>
      <c r="BC1" s="63"/>
      <c r="BD1" s="63"/>
      <c r="BN1" s="76"/>
    </row>
    <row r="2" spans="1:66" x14ac:dyDescent="0.2">
      <c r="A2" s="3" t="str">
        <f>HYPERLINK("http://www.ofsted.gov.uk/inspection-reports/find-inspection-report/provider/ELS/132197 ","Ofsted School Webpage")</f>
        <v>Ofsted School Webpage</v>
      </c>
      <c r="B2" s="85">
        <v>132197</v>
      </c>
      <c r="C2" s="85">
        <v>3362117</v>
      </c>
      <c r="D2" s="85" t="s">
        <v>253</v>
      </c>
      <c r="E2" s="85" t="s">
        <v>81</v>
      </c>
      <c r="F2" s="85" t="s">
        <v>254</v>
      </c>
      <c r="G2" s="2">
        <v>36770</v>
      </c>
      <c r="H2" s="85" t="s">
        <v>255</v>
      </c>
      <c r="I2" s="85" t="s">
        <v>256</v>
      </c>
      <c r="J2" s="85" t="s">
        <v>257</v>
      </c>
      <c r="K2" s="85" t="s">
        <v>257</v>
      </c>
      <c r="L2" s="85" t="s">
        <v>258</v>
      </c>
      <c r="M2" s="85" t="s">
        <v>203</v>
      </c>
      <c r="N2" s="85" t="s">
        <v>203</v>
      </c>
      <c r="O2" s="85" t="s">
        <v>208</v>
      </c>
      <c r="P2" s="85" t="s">
        <v>259</v>
      </c>
      <c r="Q2" s="85" t="s">
        <v>260</v>
      </c>
      <c r="R2" s="85">
        <v>5</v>
      </c>
      <c r="S2" s="85">
        <v>423</v>
      </c>
      <c r="T2" s="2">
        <v>44103</v>
      </c>
      <c r="U2" s="2">
        <v>44123</v>
      </c>
    </row>
    <row r="3" spans="1:66" x14ac:dyDescent="0.2">
      <c r="A3" s="3" t="str">
        <f>HYPERLINK("http://www.ofsted.gov.uk/inspection-reports/find-inspection-report/provider/ELS/106896 ","Ofsted School Webpage")</f>
        <v>Ofsted School Webpage</v>
      </c>
      <c r="B3" s="85">
        <v>106896</v>
      </c>
      <c r="C3" s="85">
        <v>3722095</v>
      </c>
      <c r="D3" s="85" t="s">
        <v>261</v>
      </c>
      <c r="E3" s="85" t="s">
        <v>81</v>
      </c>
      <c r="F3" s="85" t="s">
        <v>254</v>
      </c>
      <c r="G3" s="2" t="s">
        <v>262</v>
      </c>
      <c r="H3" s="85" t="s">
        <v>255</v>
      </c>
      <c r="I3" s="85" t="s">
        <v>256</v>
      </c>
      <c r="J3" s="85" t="s">
        <v>257</v>
      </c>
      <c r="K3" s="85" t="s">
        <v>257</v>
      </c>
      <c r="L3" s="85" t="s">
        <v>258</v>
      </c>
      <c r="M3" s="85" t="s">
        <v>236</v>
      </c>
      <c r="N3" s="85" t="s">
        <v>218</v>
      </c>
      <c r="O3" s="85" t="s">
        <v>219</v>
      </c>
      <c r="P3" s="85" t="s">
        <v>263</v>
      </c>
      <c r="Q3" s="85" t="s">
        <v>264</v>
      </c>
      <c r="R3" s="85">
        <v>4</v>
      </c>
      <c r="S3" s="85">
        <v>255</v>
      </c>
      <c r="T3" s="2">
        <v>44103</v>
      </c>
      <c r="U3" s="2">
        <v>44145</v>
      </c>
    </row>
    <row r="4" spans="1:66" x14ac:dyDescent="0.2">
      <c r="A4" s="3" t="str">
        <f>HYPERLINK("http://www.ofsted.gov.uk/inspection-reports/find-inspection-report/provider/ELS/100479 ","Ofsted School Webpage")</f>
        <v>Ofsted School Webpage</v>
      </c>
      <c r="B4" s="85">
        <v>100479</v>
      </c>
      <c r="C4" s="85">
        <v>2072050</v>
      </c>
      <c r="D4" s="85" t="s">
        <v>265</v>
      </c>
      <c r="E4" s="85" t="s">
        <v>81</v>
      </c>
      <c r="F4" s="85" t="s">
        <v>254</v>
      </c>
      <c r="G4" s="2" t="s">
        <v>262</v>
      </c>
      <c r="H4" s="85" t="s">
        <v>255</v>
      </c>
      <c r="I4" s="85" t="s">
        <v>256</v>
      </c>
      <c r="J4" s="85" t="s">
        <v>257</v>
      </c>
      <c r="K4" s="85" t="s">
        <v>257</v>
      </c>
      <c r="L4" s="85" t="s">
        <v>258</v>
      </c>
      <c r="M4" s="85" t="s">
        <v>107</v>
      </c>
      <c r="N4" s="85" t="s">
        <v>107</v>
      </c>
      <c r="O4" s="85" t="s">
        <v>110</v>
      </c>
      <c r="P4" s="85" t="s">
        <v>266</v>
      </c>
      <c r="Q4" s="85" t="s">
        <v>267</v>
      </c>
      <c r="R4" s="85">
        <v>5</v>
      </c>
      <c r="S4" s="85">
        <v>320</v>
      </c>
      <c r="T4" s="2">
        <v>44103</v>
      </c>
      <c r="U4" s="2">
        <v>44119</v>
      </c>
    </row>
    <row r="5" spans="1:66" x14ac:dyDescent="0.2">
      <c r="A5" s="3" t="str">
        <f>HYPERLINK("http://www.ofsted.gov.uk/inspection-reports/find-inspection-report/provider/ELS/115919 ","Ofsted School Webpage")</f>
        <v>Ofsted School Webpage</v>
      </c>
      <c r="B5" s="85">
        <v>115919</v>
      </c>
      <c r="C5" s="85">
        <v>8502116</v>
      </c>
      <c r="D5" s="85" t="s">
        <v>268</v>
      </c>
      <c r="E5" s="85" t="s">
        <v>81</v>
      </c>
      <c r="F5" s="85" t="s">
        <v>254</v>
      </c>
      <c r="G5" s="2" t="s">
        <v>262</v>
      </c>
      <c r="H5" s="85" t="s">
        <v>255</v>
      </c>
      <c r="I5" s="85" t="s">
        <v>256</v>
      </c>
      <c r="J5" s="85" t="s">
        <v>257</v>
      </c>
      <c r="K5" s="85" t="s">
        <v>257</v>
      </c>
      <c r="L5" s="85" t="s">
        <v>258</v>
      </c>
      <c r="M5" s="85" t="s">
        <v>169</v>
      </c>
      <c r="N5" s="85" t="s">
        <v>169</v>
      </c>
      <c r="O5" s="85" t="s">
        <v>170</v>
      </c>
      <c r="P5" s="85" t="s">
        <v>269</v>
      </c>
      <c r="Q5" s="85" t="s">
        <v>270</v>
      </c>
      <c r="R5" s="85">
        <v>3</v>
      </c>
      <c r="S5" s="85">
        <v>356</v>
      </c>
      <c r="T5" s="2">
        <v>44103</v>
      </c>
      <c r="U5" s="2">
        <v>44146</v>
      </c>
    </row>
    <row r="6" spans="1:66" x14ac:dyDescent="0.2">
      <c r="A6" s="3" t="str">
        <f>HYPERLINK("http://www.ofsted.gov.uk/inspection-reports/find-inspection-report/provider/ELS/109114 ","Ofsted School Webpage")</f>
        <v>Ofsted School Webpage</v>
      </c>
      <c r="B6" s="85">
        <v>109114</v>
      </c>
      <c r="C6" s="85">
        <v>8032308</v>
      </c>
      <c r="D6" s="85" t="s">
        <v>271</v>
      </c>
      <c r="E6" s="85" t="s">
        <v>81</v>
      </c>
      <c r="F6" s="85" t="s">
        <v>254</v>
      </c>
      <c r="G6" s="2" t="s">
        <v>262</v>
      </c>
      <c r="H6" s="85" t="s">
        <v>255</v>
      </c>
      <c r="I6" s="85" t="s">
        <v>256</v>
      </c>
      <c r="J6" s="85" t="s">
        <v>257</v>
      </c>
      <c r="K6" s="85" t="s">
        <v>257</v>
      </c>
      <c r="L6" s="85" t="s">
        <v>258</v>
      </c>
      <c r="M6" s="85" t="s">
        <v>188</v>
      </c>
      <c r="N6" s="85" t="s">
        <v>188</v>
      </c>
      <c r="O6" s="85" t="s">
        <v>193</v>
      </c>
      <c r="P6" s="85" t="s">
        <v>272</v>
      </c>
      <c r="Q6" s="85" t="s">
        <v>273</v>
      </c>
      <c r="R6" s="85">
        <v>2</v>
      </c>
      <c r="S6" s="85">
        <v>186</v>
      </c>
      <c r="T6" s="2">
        <v>44103</v>
      </c>
      <c r="U6" s="2">
        <v>44140</v>
      </c>
    </row>
    <row r="7" spans="1:66" x14ac:dyDescent="0.2">
      <c r="A7" s="3" t="str">
        <f>HYPERLINK("http://www.ofsted.gov.uk/inspection-reports/find-inspection-report/provider/ELS/112957 ","Ofsted School Webpage")</f>
        <v>Ofsted School Webpage</v>
      </c>
      <c r="B7" s="85">
        <v>112957</v>
      </c>
      <c r="C7" s="85">
        <v>8304191</v>
      </c>
      <c r="D7" s="85" t="s">
        <v>274</v>
      </c>
      <c r="E7" s="85" t="s">
        <v>82</v>
      </c>
      <c r="F7" s="85" t="s">
        <v>254</v>
      </c>
      <c r="G7" s="2" t="s">
        <v>262</v>
      </c>
      <c r="H7" s="85" t="s">
        <v>275</v>
      </c>
      <c r="I7" s="85" t="s">
        <v>276</v>
      </c>
      <c r="J7" s="85" t="s">
        <v>257</v>
      </c>
      <c r="K7" s="85" t="s">
        <v>257</v>
      </c>
      <c r="L7" s="85" t="s">
        <v>258</v>
      </c>
      <c r="M7" s="85" t="s">
        <v>85</v>
      </c>
      <c r="N7" s="85" t="s">
        <v>85</v>
      </c>
      <c r="O7" s="85" t="s">
        <v>86</v>
      </c>
      <c r="P7" s="85" t="s">
        <v>277</v>
      </c>
      <c r="Q7" s="85" t="s">
        <v>278</v>
      </c>
      <c r="R7" s="85">
        <v>3</v>
      </c>
      <c r="S7" s="85">
        <v>1099</v>
      </c>
      <c r="T7" s="2">
        <v>44103</v>
      </c>
      <c r="U7" s="2">
        <v>44139</v>
      </c>
    </row>
    <row r="8" spans="1:66" x14ac:dyDescent="0.2">
      <c r="A8" s="3" t="str">
        <f>HYPERLINK("http://www.ofsted.gov.uk/inspection-reports/find-inspection-report/provider/ELS/105486 ","Ofsted School Webpage")</f>
        <v>Ofsted School Webpage</v>
      </c>
      <c r="B8" s="85">
        <v>105486</v>
      </c>
      <c r="C8" s="85">
        <v>3522327</v>
      </c>
      <c r="D8" s="85" t="s">
        <v>279</v>
      </c>
      <c r="E8" s="85" t="s">
        <v>81</v>
      </c>
      <c r="F8" s="85" t="s">
        <v>254</v>
      </c>
      <c r="G8" s="2" t="s">
        <v>262</v>
      </c>
      <c r="H8" s="85" t="s">
        <v>255</v>
      </c>
      <c r="I8" s="85" t="s">
        <v>256</v>
      </c>
      <c r="J8" s="85" t="s">
        <v>257</v>
      </c>
      <c r="K8" s="85" t="s">
        <v>257</v>
      </c>
      <c r="L8" s="85" t="s">
        <v>258</v>
      </c>
      <c r="M8" s="85" t="s">
        <v>148</v>
      </c>
      <c r="N8" s="85" t="s">
        <v>148</v>
      </c>
      <c r="O8" s="85" t="s">
        <v>151</v>
      </c>
      <c r="P8" s="85" t="s">
        <v>280</v>
      </c>
      <c r="Q8" s="85" t="s">
        <v>281</v>
      </c>
      <c r="R8" s="85">
        <v>5</v>
      </c>
      <c r="S8" s="85">
        <v>450</v>
      </c>
      <c r="T8" s="2">
        <v>44103</v>
      </c>
      <c r="U8" s="2">
        <v>44146</v>
      </c>
    </row>
    <row r="9" spans="1:66" x14ac:dyDescent="0.2">
      <c r="A9" s="3" t="str">
        <f>HYPERLINK("http://www.ofsted.gov.uk/inspection-reports/find-inspection-report/provider/ELS/135118 ","Ofsted School Webpage")</f>
        <v>Ofsted School Webpage</v>
      </c>
      <c r="B9" s="85">
        <v>135118</v>
      </c>
      <c r="C9" s="85">
        <v>8863907</v>
      </c>
      <c r="D9" s="85" t="s">
        <v>282</v>
      </c>
      <c r="E9" s="85" t="s">
        <v>81</v>
      </c>
      <c r="F9" s="85" t="s">
        <v>254</v>
      </c>
      <c r="G9" s="2">
        <v>39326</v>
      </c>
      <c r="H9" s="85" t="s">
        <v>255</v>
      </c>
      <c r="I9" s="85" t="s">
        <v>256</v>
      </c>
      <c r="J9" s="85" t="s">
        <v>257</v>
      </c>
      <c r="K9" s="85" t="s">
        <v>257</v>
      </c>
      <c r="L9" s="85" t="s">
        <v>258</v>
      </c>
      <c r="M9" s="85" t="s">
        <v>169</v>
      </c>
      <c r="N9" s="85" t="s">
        <v>169</v>
      </c>
      <c r="O9" s="85" t="s">
        <v>171</v>
      </c>
      <c r="P9" s="85" t="s">
        <v>283</v>
      </c>
      <c r="Q9" s="85" t="s">
        <v>284</v>
      </c>
      <c r="R9" s="85">
        <v>3</v>
      </c>
      <c r="S9" s="85">
        <v>493</v>
      </c>
      <c r="T9" s="2">
        <v>44103</v>
      </c>
      <c r="U9" s="2">
        <v>44119</v>
      </c>
    </row>
    <row r="10" spans="1:66" x14ac:dyDescent="0.2">
      <c r="A10" s="3" t="str">
        <f>HYPERLINK("http://www.ofsted.gov.uk/inspection-reports/find-inspection-report/provider/ELS/112677 ","Ofsted School Webpage")</f>
        <v>Ofsted School Webpage</v>
      </c>
      <c r="B10" s="85">
        <v>112677</v>
      </c>
      <c r="C10" s="85">
        <v>8302315</v>
      </c>
      <c r="D10" s="85" t="s">
        <v>285</v>
      </c>
      <c r="E10" s="85" t="s">
        <v>81</v>
      </c>
      <c r="F10" s="85" t="s">
        <v>254</v>
      </c>
      <c r="G10" s="2" t="s">
        <v>262</v>
      </c>
      <c r="H10" s="85" t="s">
        <v>255</v>
      </c>
      <c r="I10" s="85" t="s">
        <v>256</v>
      </c>
      <c r="J10" s="85" t="s">
        <v>257</v>
      </c>
      <c r="K10" s="85" t="s">
        <v>257</v>
      </c>
      <c r="L10" s="85" t="s">
        <v>258</v>
      </c>
      <c r="M10" s="85" t="s">
        <v>85</v>
      </c>
      <c r="N10" s="85" t="s">
        <v>85</v>
      </c>
      <c r="O10" s="85" t="s">
        <v>86</v>
      </c>
      <c r="P10" s="85" t="s">
        <v>286</v>
      </c>
      <c r="Q10" s="85" t="s">
        <v>287</v>
      </c>
      <c r="R10" s="85">
        <v>4</v>
      </c>
      <c r="S10" s="85">
        <v>136</v>
      </c>
      <c r="T10" s="2">
        <v>44103</v>
      </c>
      <c r="U10" s="2">
        <v>44119</v>
      </c>
    </row>
    <row r="11" spans="1:66" x14ac:dyDescent="0.2">
      <c r="A11" s="3" t="str">
        <f>HYPERLINK("http://www.ofsted.gov.uk/inspection-reports/find-inspection-report/provider/ELS/112665 ","Ofsted School Webpage")</f>
        <v>Ofsted School Webpage</v>
      </c>
      <c r="B11" s="85">
        <v>112665</v>
      </c>
      <c r="C11" s="85">
        <v>8302290</v>
      </c>
      <c r="D11" s="85" t="s">
        <v>288</v>
      </c>
      <c r="E11" s="85" t="s">
        <v>81</v>
      </c>
      <c r="F11" s="85" t="s">
        <v>254</v>
      </c>
      <c r="G11" s="2" t="s">
        <v>262</v>
      </c>
      <c r="H11" s="85" t="s">
        <v>255</v>
      </c>
      <c r="I11" s="85" t="s">
        <v>256</v>
      </c>
      <c r="J11" s="85" t="s">
        <v>257</v>
      </c>
      <c r="K11" s="85" t="s">
        <v>257</v>
      </c>
      <c r="L11" s="85" t="s">
        <v>258</v>
      </c>
      <c r="M11" s="85" t="s">
        <v>85</v>
      </c>
      <c r="N11" s="85" t="s">
        <v>85</v>
      </c>
      <c r="O11" s="85" t="s">
        <v>86</v>
      </c>
      <c r="P11" s="85" t="s">
        <v>289</v>
      </c>
      <c r="Q11" s="85" t="s">
        <v>290</v>
      </c>
      <c r="R11" s="85">
        <v>3</v>
      </c>
      <c r="S11" s="85">
        <v>324</v>
      </c>
      <c r="T11" s="2">
        <v>44103</v>
      </c>
      <c r="U11" s="2">
        <v>44144</v>
      </c>
    </row>
    <row r="12" spans="1:66" x14ac:dyDescent="0.2">
      <c r="A12" s="3" t="str">
        <f>HYPERLINK("http://www.ofsted.gov.uk/inspection-reports/find-inspection-report/provider/ELS/112593 ","Ofsted School Webpage")</f>
        <v>Ofsted School Webpage</v>
      </c>
      <c r="B12" s="85">
        <v>112593</v>
      </c>
      <c r="C12" s="85">
        <v>8302174</v>
      </c>
      <c r="D12" s="85" t="s">
        <v>291</v>
      </c>
      <c r="E12" s="85" t="s">
        <v>81</v>
      </c>
      <c r="F12" s="85" t="s">
        <v>254</v>
      </c>
      <c r="G12" s="2" t="s">
        <v>262</v>
      </c>
      <c r="H12" s="85" t="s">
        <v>255</v>
      </c>
      <c r="I12" s="85" t="s">
        <v>256</v>
      </c>
      <c r="J12" s="85" t="s">
        <v>257</v>
      </c>
      <c r="K12" s="85" t="s">
        <v>257</v>
      </c>
      <c r="L12" s="85" t="s">
        <v>258</v>
      </c>
      <c r="M12" s="85" t="s">
        <v>85</v>
      </c>
      <c r="N12" s="85" t="s">
        <v>85</v>
      </c>
      <c r="O12" s="85" t="s">
        <v>86</v>
      </c>
      <c r="P12" s="85" t="s">
        <v>286</v>
      </c>
      <c r="Q12" s="85" t="s">
        <v>292</v>
      </c>
      <c r="R12" s="85">
        <v>1</v>
      </c>
      <c r="S12" s="85">
        <v>258</v>
      </c>
      <c r="T12" s="2">
        <v>44103</v>
      </c>
      <c r="U12" s="2">
        <v>44147</v>
      </c>
    </row>
    <row r="13" spans="1:66" x14ac:dyDescent="0.2">
      <c r="A13" s="3" t="str">
        <f>HYPERLINK("http://www.ofsted.gov.uk/inspection-reports/find-inspection-report/provider/ELS/109807 ","Ofsted School Webpage")</f>
        <v>Ofsted School Webpage</v>
      </c>
      <c r="B13" s="85">
        <v>109807</v>
      </c>
      <c r="C13" s="85">
        <v>8672060</v>
      </c>
      <c r="D13" s="85" t="s">
        <v>293</v>
      </c>
      <c r="E13" s="85" t="s">
        <v>81</v>
      </c>
      <c r="F13" s="85" t="s">
        <v>254</v>
      </c>
      <c r="G13" s="2" t="s">
        <v>262</v>
      </c>
      <c r="H13" s="85" t="s">
        <v>255</v>
      </c>
      <c r="I13" s="85" t="s">
        <v>256</v>
      </c>
      <c r="J13" s="85" t="s">
        <v>257</v>
      </c>
      <c r="K13" s="85" t="s">
        <v>257</v>
      </c>
      <c r="L13" s="85" t="s">
        <v>258</v>
      </c>
      <c r="M13" s="85" t="s">
        <v>169</v>
      </c>
      <c r="N13" s="85" t="s">
        <v>169</v>
      </c>
      <c r="O13" s="85" t="s">
        <v>174</v>
      </c>
      <c r="P13" s="85" t="s">
        <v>294</v>
      </c>
      <c r="Q13" s="85" t="s">
        <v>295</v>
      </c>
      <c r="R13" s="85">
        <v>3</v>
      </c>
      <c r="S13" s="85">
        <v>627</v>
      </c>
      <c r="T13" s="2">
        <v>44103</v>
      </c>
      <c r="U13" s="2">
        <v>44152</v>
      </c>
    </row>
    <row r="14" spans="1:66" x14ac:dyDescent="0.2">
      <c r="A14" s="3" t="str">
        <f>HYPERLINK("http://www.ofsted.gov.uk/inspection-reports/find-inspection-report/provider/ELS/100257 ","Ofsted School Webpage")</f>
        <v>Ofsted School Webpage</v>
      </c>
      <c r="B14" s="85">
        <v>100257</v>
      </c>
      <c r="C14" s="85">
        <v>2042863</v>
      </c>
      <c r="D14" s="85" t="s">
        <v>296</v>
      </c>
      <c r="E14" s="85" t="s">
        <v>81</v>
      </c>
      <c r="F14" s="85" t="s">
        <v>254</v>
      </c>
      <c r="G14" s="2" t="s">
        <v>262</v>
      </c>
      <c r="H14" s="85" t="s">
        <v>255</v>
      </c>
      <c r="I14" s="85" t="s">
        <v>256</v>
      </c>
      <c r="J14" s="85" t="s">
        <v>257</v>
      </c>
      <c r="K14" s="85" t="s">
        <v>257</v>
      </c>
      <c r="L14" s="85" t="s">
        <v>258</v>
      </c>
      <c r="M14" s="85" t="s">
        <v>107</v>
      </c>
      <c r="N14" s="85" t="s">
        <v>107</v>
      </c>
      <c r="O14" s="85" t="s">
        <v>111</v>
      </c>
      <c r="P14" s="85" t="s">
        <v>297</v>
      </c>
      <c r="Q14" s="85" t="s">
        <v>298</v>
      </c>
      <c r="R14" s="85">
        <v>4</v>
      </c>
      <c r="S14" s="85">
        <v>230</v>
      </c>
      <c r="T14" s="2">
        <v>44103</v>
      </c>
      <c r="U14" s="2">
        <v>44146</v>
      </c>
    </row>
    <row r="15" spans="1:66" x14ac:dyDescent="0.2">
      <c r="A15" s="3" t="str">
        <f>HYPERLINK("http://www.ofsted.gov.uk/inspection-reports/find-inspection-report/provider/ELS/103947 ","Ofsted School Webpage")</f>
        <v>Ofsted School Webpage</v>
      </c>
      <c r="B15" s="85">
        <v>103947</v>
      </c>
      <c r="C15" s="85">
        <v>3332133</v>
      </c>
      <c r="D15" s="85" t="s">
        <v>299</v>
      </c>
      <c r="E15" s="85" t="s">
        <v>81</v>
      </c>
      <c r="F15" s="85" t="s">
        <v>254</v>
      </c>
      <c r="G15" s="2" t="s">
        <v>262</v>
      </c>
      <c r="H15" s="85" t="s">
        <v>255</v>
      </c>
      <c r="I15" s="85" t="s">
        <v>256</v>
      </c>
      <c r="J15" s="85" t="s">
        <v>257</v>
      </c>
      <c r="K15" s="85" t="s">
        <v>257</v>
      </c>
      <c r="L15" s="85" t="s">
        <v>258</v>
      </c>
      <c r="M15" s="85" t="s">
        <v>203</v>
      </c>
      <c r="N15" s="85" t="s">
        <v>203</v>
      </c>
      <c r="O15" s="85" t="s">
        <v>205</v>
      </c>
      <c r="P15" s="85" t="s">
        <v>300</v>
      </c>
      <c r="Q15" s="85" t="s">
        <v>301</v>
      </c>
      <c r="R15" s="85">
        <v>2</v>
      </c>
      <c r="S15" s="85">
        <v>329</v>
      </c>
      <c r="T15" s="2">
        <v>44103</v>
      </c>
      <c r="U15" s="2">
        <v>44146</v>
      </c>
    </row>
    <row r="16" spans="1:66" x14ac:dyDescent="0.2">
      <c r="A16" s="3" t="str">
        <f>HYPERLINK("http://www.ofsted.gov.uk/inspection-reports/find-inspection-report/provider/ELS/103363 ","Ofsted School Webpage")</f>
        <v>Ofsted School Webpage</v>
      </c>
      <c r="B16" s="85">
        <v>103363</v>
      </c>
      <c r="C16" s="85">
        <v>3302436</v>
      </c>
      <c r="D16" s="85" t="s">
        <v>302</v>
      </c>
      <c r="E16" s="85" t="s">
        <v>81</v>
      </c>
      <c r="F16" s="85" t="s">
        <v>254</v>
      </c>
      <c r="G16" s="2" t="s">
        <v>262</v>
      </c>
      <c r="H16" s="85" t="s">
        <v>255</v>
      </c>
      <c r="I16" s="85" t="s">
        <v>255</v>
      </c>
      <c r="J16" s="85" t="s">
        <v>257</v>
      </c>
      <c r="K16" s="85" t="s">
        <v>257</v>
      </c>
      <c r="L16" s="85" t="s">
        <v>258</v>
      </c>
      <c r="M16" s="85" t="s">
        <v>203</v>
      </c>
      <c r="N16" s="85" t="s">
        <v>203</v>
      </c>
      <c r="O16" s="85" t="s">
        <v>209</v>
      </c>
      <c r="P16" s="85" t="s">
        <v>303</v>
      </c>
      <c r="Q16" s="85" t="s">
        <v>304</v>
      </c>
      <c r="R16" s="85">
        <v>5</v>
      </c>
      <c r="S16" s="85">
        <v>309</v>
      </c>
      <c r="T16" s="2">
        <v>44103</v>
      </c>
      <c r="U16" s="2">
        <v>44151</v>
      </c>
    </row>
    <row r="17" spans="1:21" x14ac:dyDescent="0.2">
      <c r="A17" s="3" t="str">
        <f>HYPERLINK("http://www.ofsted.gov.uk/inspection-reports/find-inspection-report/provider/ELS/105840 ","Ofsted School Webpage")</f>
        <v>Ofsted School Webpage</v>
      </c>
      <c r="B17" s="85">
        <v>105840</v>
      </c>
      <c r="C17" s="85">
        <v>3544089</v>
      </c>
      <c r="D17" s="85" t="s">
        <v>305</v>
      </c>
      <c r="E17" s="85" t="s">
        <v>82</v>
      </c>
      <c r="F17" s="85" t="s">
        <v>254</v>
      </c>
      <c r="G17" s="2" t="s">
        <v>262</v>
      </c>
      <c r="H17" s="85" t="s">
        <v>275</v>
      </c>
      <c r="I17" s="85" t="s">
        <v>256</v>
      </c>
      <c r="J17" s="85" t="s">
        <v>257</v>
      </c>
      <c r="K17" s="85" t="s">
        <v>257</v>
      </c>
      <c r="L17" s="85" t="s">
        <v>258</v>
      </c>
      <c r="M17" s="85" t="s">
        <v>148</v>
      </c>
      <c r="N17" s="85" t="s">
        <v>148</v>
      </c>
      <c r="O17" s="85" t="s">
        <v>153</v>
      </c>
      <c r="P17" s="85" t="s">
        <v>153</v>
      </c>
      <c r="Q17" s="85" t="s">
        <v>306</v>
      </c>
      <c r="R17" s="85">
        <v>4</v>
      </c>
      <c r="S17" s="85">
        <v>1356</v>
      </c>
      <c r="T17" s="2">
        <v>44103</v>
      </c>
      <c r="U17" s="2">
        <v>44154</v>
      </c>
    </row>
    <row r="18" spans="1:21" x14ac:dyDescent="0.2">
      <c r="A18" s="3" t="str">
        <f>HYPERLINK("http://www.ofsted.gov.uk/inspection-reports/find-inspection-report/provider/ELS/118301 ","Ofsted School Webpage")</f>
        <v>Ofsted School Webpage</v>
      </c>
      <c r="B18" s="85">
        <v>118301</v>
      </c>
      <c r="C18" s="85">
        <v>8862175</v>
      </c>
      <c r="D18" s="85" t="s">
        <v>307</v>
      </c>
      <c r="E18" s="85" t="s">
        <v>81</v>
      </c>
      <c r="F18" s="85" t="s">
        <v>254</v>
      </c>
      <c r="G18" s="2" t="s">
        <v>262</v>
      </c>
      <c r="H18" s="85" t="s">
        <v>255</v>
      </c>
      <c r="I18" s="85" t="s">
        <v>256</v>
      </c>
      <c r="J18" s="85" t="s">
        <v>257</v>
      </c>
      <c r="K18" s="85" t="s">
        <v>257</v>
      </c>
      <c r="L18" s="85" t="s">
        <v>258</v>
      </c>
      <c r="M18" s="85" t="s">
        <v>169</v>
      </c>
      <c r="N18" s="85" t="s">
        <v>169</v>
      </c>
      <c r="O18" s="85" t="s">
        <v>171</v>
      </c>
      <c r="P18" s="85" t="s">
        <v>308</v>
      </c>
      <c r="Q18" s="85" t="s">
        <v>309</v>
      </c>
      <c r="R18" s="85">
        <v>3</v>
      </c>
      <c r="S18" s="85">
        <v>333</v>
      </c>
      <c r="T18" s="2">
        <v>44103</v>
      </c>
      <c r="U18" s="2">
        <v>44139</v>
      </c>
    </row>
    <row r="19" spans="1:21" x14ac:dyDescent="0.2">
      <c r="A19" s="3" t="str">
        <f>HYPERLINK("http://www.ofsted.gov.uk/inspection-reports/find-inspection-report/provider/ELS/103659 ","Ofsted School Webpage")</f>
        <v>Ofsted School Webpage</v>
      </c>
      <c r="B19" s="85">
        <v>103659</v>
      </c>
      <c r="C19" s="85">
        <v>3312079</v>
      </c>
      <c r="D19" s="85" t="s">
        <v>310</v>
      </c>
      <c r="E19" s="85" t="s">
        <v>81</v>
      </c>
      <c r="F19" s="85" t="s">
        <v>254</v>
      </c>
      <c r="G19" s="2" t="s">
        <v>262</v>
      </c>
      <c r="H19" s="85" t="s">
        <v>255</v>
      </c>
      <c r="I19" s="85" t="s">
        <v>256</v>
      </c>
      <c r="J19" s="85" t="s">
        <v>257</v>
      </c>
      <c r="K19" s="85" t="s">
        <v>257</v>
      </c>
      <c r="L19" s="85" t="s">
        <v>258</v>
      </c>
      <c r="M19" s="85" t="s">
        <v>203</v>
      </c>
      <c r="N19" s="85" t="s">
        <v>203</v>
      </c>
      <c r="O19" s="85" t="s">
        <v>210</v>
      </c>
      <c r="P19" s="85" t="s">
        <v>311</v>
      </c>
      <c r="Q19" s="85" t="s">
        <v>312</v>
      </c>
      <c r="R19" s="85">
        <v>5</v>
      </c>
      <c r="S19" s="85">
        <v>399</v>
      </c>
      <c r="T19" s="2">
        <v>44103</v>
      </c>
      <c r="U19" s="2">
        <v>44137</v>
      </c>
    </row>
    <row r="20" spans="1:21" x14ac:dyDescent="0.2">
      <c r="A20" s="3" t="str">
        <f>HYPERLINK("http://www.ofsted.gov.uk/inspection-reports/find-inspection-report/provider/ELS/106076 ","Ofsted School Webpage")</f>
        <v>Ofsted School Webpage</v>
      </c>
      <c r="B20" s="85">
        <v>106076</v>
      </c>
      <c r="C20" s="85">
        <v>3562084</v>
      </c>
      <c r="D20" s="85" t="s">
        <v>313</v>
      </c>
      <c r="E20" s="85" t="s">
        <v>81</v>
      </c>
      <c r="F20" s="85" t="s">
        <v>254</v>
      </c>
      <c r="G20" s="2" t="s">
        <v>262</v>
      </c>
      <c r="H20" s="85" t="s">
        <v>255</v>
      </c>
      <c r="I20" s="85" t="s">
        <v>256</v>
      </c>
      <c r="J20" s="85" t="s">
        <v>257</v>
      </c>
      <c r="K20" s="85" t="s">
        <v>257</v>
      </c>
      <c r="L20" s="85" t="s">
        <v>258</v>
      </c>
      <c r="M20" s="85" t="s">
        <v>148</v>
      </c>
      <c r="N20" s="85" t="s">
        <v>148</v>
      </c>
      <c r="O20" s="85" t="s">
        <v>154</v>
      </c>
      <c r="P20" s="85" t="s">
        <v>314</v>
      </c>
      <c r="Q20" s="85" t="s">
        <v>315</v>
      </c>
      <c r="R20" s="85">
        <v>3</v>
      </c>
      <c r="S20" s="85">
        <v>561</v>
      </c>
      <c r="T20" s="2">
        <v>44103</v>
      </c>
      <c r="U20" s="2">
        <v>44153</v>
      </c>
    </row>
    <row r="21" spans="1:21" x14ac:dyDescent="0.2">
      <c r="A21" s="3" t="str">
        <f>HYPERLINK("http://www.ofsted.gov.uk/inspection-reports/find-inspection-report/provider/ELS/120419 ","Ofsted School Webpage")</f>
        <v>Ofsted School Webpage</v>
      </c>
      <c r="B21" s="85">
        <v>120419</v>
      </c>
      <c r="C21" s="85">
        <v>9252102</v>
      </c>
      <c r="D21" s="85" t="s">
        <v>316</v>
      </c>
      <c r="E21" s="85" t="s">
        <v>81</v>
      </c>
      <c r="F21" s="85" t="s">
        <v>254</v>
      </c>
      <c r="G21" s="2" t="s">
        <v>262</v>
      </c>
      <c r="H21" s="85" t="s">
        <v>255</v>
      </c>
      <c r="I21" s="85" t="s">
        <v>256</v>
      </c>
      <c r="J21" s="85" t="s">
        <v>257</v>
      </c>
      <c r="K21" s="85" t="s">
        <v>257</v>
      </c>
      <c r="L21" s="85" t="s">
        <v>258</v>
      </c>
      <c r="M21" s="85" t="s">
        <v>85</v>
      </c>
      <c r="N21" s="85" t="s">
        <v>85</v>
      </c>
      <c r="O21" s="85" t="s">
        <v>89</v>
      </c>
      <c r="P21" s="85" t="s">
        <v>317</v>
      </c>
      <c r="Q21" s="85" t="s">
        <v>318</v>
      </c>
      <c r="R21" s="85">
        <v>3</v>
      </c>
      <c r="S21" s="85">
        <v>81</v>
      </c>
      <c r="T21" s="2">
        <v>44103</v>
      </c>
      <c r="U21" s="2">
        <v>44146</v>
      </c>
    </row>
    <row r="22" spans="1:21" x14ac:dyDescent="0.2">
      <c r="A22" s="3" t="str">
        <f>HYPERLINK("http://www.ofsted.gov.uk/inspection-reports/find-inspection-report/provider/ELS/124679 ","Ofsted School Webpage")</f>
        <v>Ofsted School Webpage</v>
      </c>
      <c r="B22" s="85">
        <v>124679</v>
      </c>
      <c r="C22" s="85">
        <v>9352922</v>
      </c>
      <c r="D22" s="85" t="s">
        <v>319</v>
      </c>
      <c r="E22" s="85" t="s">
        <v>81</v>
      </c>
      <c r="F22" s="85" t="s">
        <v>254</v>
      </c>
      <c r="G22" s="2">
        <v>32021</v>
      </c>
      <c r="H22" s="85" t="s">
        <v>255</v>
      </c>
      <c r="I22" s="85" t="s">
        <v>256</v>
      </c>
      <c r="J22" s="85" t="s">
        <v>257</v>
      </c>
      <c r="K22" s="85" t="s">
        <v>257</v>
      </c>
      <c r="L22" s="85" t="s">
        <v>258</v>
      </c>
      <c r="M22" s="85" t="s">
        <v>95</v>
      </c>
      <c r="N22" s="85" t="s">
        <v>95</v>
      </c>
      <c r="O22" s="85" t="s">
        <v>99</v>
      </c>
      <c r="P22" s="85" t="s">
        <v>320</v>
      </c>
      <c r="Q22" s="85" t="s">
        <v>321</v>
      </c>
      <c r="R22" s="85">
        <v>3</v>
      </c>
      <c r="S22" s="85">
        <v>635</v>
      </c>
      <c r="T22" s="2">
        <v>44103</v>
      </c>
      <c r="U22" s="2">
        <v>44145</v>
      </c>
    </row>
    <row r="23" spans="1:21" x14ac:dyDescent="0.2">
      <c r="A23" s="3" t="str">
        <f>HYPERLINK("http://www.ofsted.gov.uk/inspection-reports/find-inspection-report/provider/ELS/108698 ","Ofsted School Webpage")</f>
        <v>Ofsted School Webpage</v>
      </c>
      <c r="B23" s="85">
        <v>108698</v>
      </c>
      <c r="C23" s="85">
        <v>3932073</v>
      </c>
      <c r="D23" s="85" t="s">
        <v>322</v>
      </c>
      <c r="E23" s="85" t="s">
        <v>81</v>
      </c>
      <c r="F23" s="85" t="s">
        <v>254</v>
      </c>
      <c r="G23" s="2" t="s">
        <v>262</v>
      </c>
      <c r="H23" s="85" t="s">
        <v>255</v>
      </c>
      <c r="I23" s="85" t="s">
        <v>256</v>
      </c>
      <c r="J23" s="85" t="s">
        <v>257</v>
      </c>
      <c r="K23" s="85" t="s">
        <v>257</v>
      </c>
      <c r="L23" s="85" t="s">
        <v>258</v>
      </c>
      <c r="M23" s="85" t="s">
        <v>236</v>
      </c>
      <c r="N23" s="85" t="s">
        <v>135</v>
      </c>
      <c r="O23" s="85" t="s">
        <v>137</v>
      </c>
      <c r="P23" s="85" t="s">
        <v>323</v>
      </c>
      <c r="Q23" s="85" t="s">
        <v>324</v>
      </c>
      <c r="R23" s="85">
        <v>5</v>
      </c>
      <c r="S23" s="85">
        <v>236</v>
      </c>
      <c r="T23" s="2">
        <v>44103</v>
      </c>
      <c r="U23" s="2">
        <v>44139</v>
      </c>
    </row>
    <row r="24" spans="1:21" x14ac:dyDescent="0.2">
      <c r="A24" s="3" t="str">
        <f>HYPERLINK("http://www.ofsted.gov.uk/inspection-reports/find-inspection-report/provider/ELS/113328 ","Ofsted School Webpage")</f>
        <v>Ofsted School Webpage</v>
      </c>
      <c r="B24" s="85">
        <v>113328</v>
      </c>
      <c r="C24" s="85">
        <v>8792707</v>
      </c>
      <c r="D24" s="85" t="s">
        <v>325</v>
      </c>
      <c r="E24" s="85" t="s">
        <v>81</v>
      </c>
      <c r="F24" s="85" t="s">
        <v>254</v>
      </c>
      <c r="G24" s="2" t="s">
        <v>262</v>
      </c>
      <c r="H24" s="85" t="s">
        <v>255</v>
      </c>
      <c r="I24" s="85" t="s">
        <v>256</v>
      </c>
      <c r="J24" s="85" t="s">
        <v>257</v>
      </c>
      <c r="K24" s="85" t="s">
        <v>257</v>
      </c>
      <c r="L24" s="85" t="s">
        <v>258</v>
      </c>
      <c r="M24" s="85" t="s">
        <v>188</v>
      </c>
      <c r="N24" s="85" t="s">
        <v>188</v>
      </c>
      <c r="O24" s="85" t="s">
        <v>191</v>
      </c>
      <c r="P24" s="85" t="s">
        <v>326</v>
      </c>
      <c r="Q24" s="85" t="s">
        <v>327</v>
      </c>
      <c r="R24" s="85">
        <v>2</v>
      </c>
      <c r="S24" s="85">
        <v>208</v>
      </c>
      <c r="T24" s="2">
        <v>44103</v>
      </c>
      <c r="U24" s="2">
        <v>44123</v>
      </c>
    </row>
    <row r="25" spans="1:21" x14ac:dyDescent="0.2">
      <c r="A25" s="3" t="str">
        <f>HYPERLINK("http://www.ofsted.gov.uk/inspection-reports/find-inspection-report/provider/ELS/110756 ","Ofsted School Webpage")</f>
        <v>Ofsted School Webpage</v>
      </c>
      <c r="B25" s="85">
        <v>110756</v>
      </c>
      <c r="C25" s="85">
        <v>8742325</v>
      </c>
      <c r="D25" s="85" t="s">
        <v>328</v>
      </c>
      <c r="E25" s="85" t="s">
        <v>81</v>
      </c>
      <c r="F25" s="85" t="s">
        <v>254</v>
      </c>
      <c r="G25" s="2" t="s">
        <v>262</v>
      </c>
      <c r="H25" s="85" t="s">
        <v>255</v>
      </c>
      <c r="I25" s="85" t="s">
        <v>256</v>
      </c>
      <c r="J25" s="85" t="s">
        <v>257</v>
      </c>
      <c r="K25" s="85" t="s">
        <v>257</v>
      </c>
      <c r="L25" s="85" t="s">
        <v>258</v>
      </c>
      <c r="M25" s="85" t="s">
        <v>95</v>
      </c>
      <c r="N25" s="85" t="s">
        <v>95</v>
      </c>
      <c r="O25" s="85" t="s">
        <v>100</v>
      </c>
      <c r="P25" s="85" t="s">
        <v>100</v>
      </c>
      <c r="Q25" s="85" t="s">
        <v>329</v>
      </c>
      <c r="R25" s="85">
        <v>4</v>
      </c>
      <c r="S25" s="85">
        <v>621</v>
      </c>
      <c r="T25" s="2">
        <v>44103</v>
      </c>
      <c r="U25" s="2">
        <v>44145</v>
      </c>
    </row>
    <row r="26" spans="1:21" x14ac:dyDescent="0.2">
      <c r="A26" s="3" t="str">
        <f>HYPERLINK("http://www.ofsted.gov.uk/inspection-reports/find-inspection-report/provider/ELS/112671 ","Ofsted School Webpage")</f>
        <v>Ofsted School Webpage</v>
      </c>
      <c r="B26" s="85">
        <v>112671</v>
      </c>
      <c r="C26" s="85">
        <v>8302299</v>
      </c>
      <c r="D26" s="85" t="s">
        <v>330</v>
      </c>
      <c r="E26" s="85" t="s">
        <v>81</v>
      </c>
      <c r="F26" s="85" t="s">
        <v>254</v>
      </c>
      <c r="G26" s="2" t="s">
        <v>262</v>
      </c>
      <c r="H26" s="85" t="s">
        <v>255</v>
      </c>
      <c r="I26" s="85" t="s">
        <v>256</v>
      </c>
      <c r="J26" s="85" t="s">
        <v>257</v>
      </c>
      <c r="K26" s="85" t="s">
        <v>257</v>
      </c>
      <c r="L26" s="85" t="s">
        <v>258</v>
      </c>
      <c r="M26" s="85" t="s">
        <v>85</v>
      </c>
      <c r="N26" s="85" t="s">
        <v>85</v>
      </c>
      <c r="O26" s="85" t="s">
        <v>86</v>
      </c>
      <c r="P26" s="85" t="s">
        <v>289</v>
      </c>
      <c r="Q26" s="85" t="s">
        <v>331</v>
      </c>
      <c r="R26" s="85">
        <v>5</v>
      </c>
      <c r="S26" s="85">
        <v>182</v>
      </c>
      <c r="T26" s="2">
        <v>44103</v>
      </c>
      <c r="U26" s="2">
        <v>44144</v>
      </c>
    </row>
    <row r="27" spans="1:21" x14ac:dyDescent="0.2">
      <c r="A27" s="3" t="str">
        <f>HYPERLINK("http://www.ofsted.gov.uk/inspection-reports/find-inspection-report/provider/ELS/100035 ","Ofsted School Webpage")</f>
        <v>Ofsted School Webpage</v>
      </c>
      <c r="B27" s="85">
        <v>100035</v>
      </c>
      <c r="C27" s="85">
        <v>2023391</v>
      </c>
      <c r="D27" s="85" t="s">
        <v>332</v>
      </c>
      <c r="E27" s="85" t="s">
        <v>81</v>
      </c>
      <c r="F27" s="85" t="s">
        <v>333</v>
      </c>
      <c r="G27" s="2" t="s">
        <v>262</v>
      </c>
      <c r="H27" s="85" t="s">
        <v>255</v>
      </c>
      <c r="I27" s="85" t="s">
        <v>256</v>
      </c>
      <c r="J27" s="85" t="s">
        <v>334</v>
      </c>
      <c r="K27" s="85" t="s">
        <v>257</v>
      </c>
      <c r="L27" s="85" t="s">
        <v>335</v>
      </c>
      <c r="M27" s="85" t="s">
        <v>107</v>
      </c>
      <c r="N27" s="85" t="s">
        <v>107</v>
      </c>
      <c r="O27" s="85" t="s">
        <v>112</v>
      </c>
      <c r="P27" s="85" t="s">
        <v>336</v>
      </c>
      <c r="Q27" s="85" t="s">
        <v>337</v>
      </c>
      <c r="R27" s="85">
        <v>4</v>
      </c>
      <c r="S27" s="85">
        <v>309</v>
      </c>
      <c r="T27" s="2">
        <v>44103</v>
      </c>
      <c r="U27" s="2">
        <v>44154</v>
      </c>
    </row>
    <row r="28" spans="1:21" x14ac:dyDescent="0.2">
      <c r="A28" s="3" t="str">
        <f>HYPERLINK("http://www.ofsted.gov.uk/inspection-reports/find-inspection-report/provider/ELS/111451 ","Ofsted School Webpage")</f>
        <v>Ofsted School Webpage</v>
      </c>
      <c r="B28" s="85">
        <v>111451</v>
      </c>
      <c r="C28" s="85">
        <v>8964611</v>
      </c>
      <c r="D28" s="85" t="s">
        <v>338</v>
      </c>
      <c r="E28" s="85" t="s">
        <v>82</v>
      </c>
      <c r="F28" s="85" t="s">
        <v>333</v>
      </c>
      <c r="G28" s="2" t="s">
        <v>262</v>
      </c>
      <c r="H28" s="85" t="s">
        <v>275</v>
      </c>
      <c r="I28" s="85" t="s">
        <v>276</v>
      </c>
      <c r="J28" s="85" t="s">
        <v>334</v>
      </c>
      <c r="K28" s="85" t="s">
        <v>257</v>
      </c>
      <c r="L28" s="85" t="s">
        <v>335</v>
      </c>
      <c r="M28" s="85" t="s">
        <v>148</v>
      </c>
      <c r="N28" s="85" t="s">
        <v>148</v>
      </c>
      <c r="O28" s="85" t="s">
        <v>155</v>
      </c>
      <c r="P28" s="85" t="s">
        <v>339</v>
      </c>
      <c r="Q28" s="85" t="s">
        <v>340</v>
      </c>
      <c r="R28" s="85">
        <v>4</v>
      </c>
      <c r="S28" s="85">
        <v>885</v>
      </c>
      <c r="T28" s="2">
        <v>44103</v>
      </c>
      <c r="U28" s="2">
        <v>44159</v>
      </c>
    </row>
    <row r="29" spans="1:21" x14ac:dyDescent="0.2">
      <c r="A29" s="3" t="str">
        <f>HYPERLINK("http://www.ofsted.gov.uk/inspection-reports/find-inspection-report/provider/ELS/125245 ","Ofsted School Webpage")</f>
        <v>Ofsted School Webpage</v>
      </c>
      <c r="B29" s="85">
        <v>125245</v>
      </c>
      <c r="C29" s="85">
        <v>9363927</v>
      </c>
      <c r="D29" s="85" t="s">
        <v>341</v>
      </c>
      <c r="E29" s="85" t="s">
        <v>81</v>
      </c>
      <c r="F29" s="85" t="s">
        <v>333</v>
      </c>
      <c r="G29" s="2" t="s">
        <v>262</v>
      </c>
      <c r="H29" s="85" t="s">
        <v>255</v>
      </c>
      <c r="I29" s="85" t="s">
        <v>256</v>
      </c>
      <c r="J29" s="85" t="s">
        <v>342</v>
      </c>
      <c r="K29" s="85" t="s">
        <v>257</v>
      </c>
      <c r="L29" s="85" t="s">
        <v>335</v>
      </c>
      <c r="M29" s="85" t="s">
        <v>169</v>
      </c>
      <c r="N29" s="85" t="s">
        <v>169</v>
      </c>
      <c r="O29" s="85" t="s">
        <v>175</v>
      </c>
      <c r="P29" s="85" t="s">
        <v>343</v>
      </c>
      <c r="Q29" s="85" t="s">
        <v>344</v>
      </c>
      <c r="R29" s="85">
        <v>1</v>
      </c>
      <c r="S29" s="85">
        <v>182</v>
      </c>
      <c r="T29" s="2">
        <v>44103</v>
      </c>
      <c r="U29" s="2">
        <v>44140</v>
      </c>
    </row>
    <row r="30" spans="1:21" x14ac:dyDescent="0.2">
      <c r="A30" s="3" t="str">
        <f>HYPERLINK("http://www.ofsted.gov.uk/inspection-reports/find-inspection-report/provider/ELS/115703 ","Ofsted School Webpage")</f>
        <v>Ofsted School Webpage</v>
      </c>
      <c r="B30" s="85">
        <v>115703</v>
      </c>
      <c r="C30" s="85">
        <v>9163352</v>
      </c>
      <c r="D30" s="85" t="s">
        <v>345</v>
      </c>
      <c r="E30" s="85" t="s">
        <v>81</v>
      </c>
      <c r="F30" s="85" t="s">
        <v>333</v>
      </c>
      <c r="G30" s="2" t="s">
        <v>262</v>
      </c>
      <c r="H30" s="85" t="s">
        <v>255</v>
      </c>
      <c r="I30" s="85" t="s">
        <v>256</v>
      </c>
      <c r="J30" s="85" t="s">
        <v>342</v>
      </c>
      <c r="K30" s="85" t="s">
        <v>257</v>
      </c>
      <c r="L30" s="85" t="s">
        <v>335</v>
      </c>
      <c r="M30" s="85" t="s">
        <v>188</v>
      </c>
      <c r="N30" s="85" t="s">
        <v>188</v>
      </c>
      <c r="O30" s="85" t="s">
        <v>194</v>
      </c>
      <c r="P30" s="85" t="s">
        <v>346</v>
      </c>
      <c r="Q30" s="85" t="s">
        <v>347</v>
      </c>
      <c r="R30" s="85">
        <v>1</v>
      </c>
      <c r="S30" s="85">
        <v>44</v>
      </c>
      <c r="T30" s="2">
        <v>44103</v>
      </c>
      <c r="U30" s="2">
        <v>44138</v>
      </c>
    </row>
    <row r="31" spans="1:21" x14ac:dyDescent="0.2">
      <c r="A31" s="3" t="str">
        <f>HYPERLINK("http://www.ofsted.gov.uk/inspection-reports/find-inspection-report/provider/ELS/112357 ","Ofsted School Webpage")</f>
        <v>Ofsted School Webpage</v>
      </c>
      <c r="B31" s="85">
        <v>112357</v>
      </c>
      <c r="C31" s="85">
        <v>9093551</v>
      </c>
      <c r="D31" s="85" t="s">
        <v>348</v>
      </c>
      <c r="E31" s="85" t="s">
        <v>81</v>
      </c>
      <c r="F31" s="85" t="s">
        <v>333</v>
      </c>
      <c r="G31" s="85" t="s">
        <v>262</v>
      </c>
      <c r="H31" s="85" t="s">
        <v>255</v>
      </c>
      <c r="I31" s="85" t="s">
        <v>256</v>
      </c>
      <c r="J31" s="85" t="s">
        <v>334</v>
      </c>
      <c r="K31" s="85" t="s">
        <v>257</v>
      </c>
      <c r="L31" s="85" t="s">
        <v>335</v>
      </c>
      <c r="M31" s="85" t="s">
        <v>148</v>
      </c>
      <c r="N31" s="85" t="s">
        <v>148</v>
      </c>
      <c r="O31" s="85" t="s">
        <v>156</v>
      </c>
      <c r="P31" s="85" t="s">
        <v>349</v>
      </c>
      <c r="Q31" s="85" t="s">
        <v>350</v>
      </c>
      <c r="R31" s="85">
        <v>3</v>
      </c>
      <c r="S31" s="85">
        <v>97</v>
      </c>
      <c r="T31" s="2">
        <v>44103</v>
      </c>
      <c r="U31" s="2">
        <v>44157</v>
      </c>
    </row>
    <row r="32" spans="1:21" x14ac:dyDescent="0.2">
      <c r="A32" s="3" t="str">
        <f>HYPERLINK("http://www.ofsted.gov.uk/inspection-reports/find-inspection-report/provider/ELS/119656 ","Ofsted School Webpage")</f>
        <v>Ofsted School Webpage</v>
      </c>
      <c r="B32" s="85">
        <v>119656</v>
      </c>
      <c r="C32" s="85">
        <v>8883762</v>
      </c>
      <c r="D32" s="85" t="s">
        <v>351</v>
      </c>
      <c r="E32" s="85" t="s">
        <v>81</v>
      </c>
      <c r="F32" s="85" t="s">
        <v>333</v>
      </c>
      <c r="G32" s="85" t="s">
        <v>262</v>
      </c>
      <c r="H32" s="85" t="s">
        <v>255</v>
      </c>
      <c r="I32" s="85" t="s">
        <v>256</v>
      </c>
      <c r="J32" s="85" t="s">
        <v>334</v>
      </c>
      <c r="K32" s="85" t="s">
        <v>257</v>
      </c>
      <c r="L32" s="85" t="s">
        <v>335</v>
      </c>
      <c r="M32" s="85" t="s">
        <v>148</v>
      </c>
      <c r="N32" s="85" t="s">
        <v>148</v>
      </c>
      <c r="O32" s="85" t="s">
        <v>149</v>
      </c>
      <c r="P32" s="85" t="s">
        <v>352</v>
      </c>
      <c r="Q32" s="85" t="s">
        <v>353</v>
      </c>
      <c r="R32" s="85">
        <v>5</v>
      </c>
      <c r="S32" s="85">
        <v>251</v>
      </c>
      <c r="T32" s="2">
        <v>44103</v>
      </c>
      <c r="U32" s="2">
        <v>44144</v>
      </c>
    </row>
    <row r="33" spans="1:21" x14ac:dyDescent="0.2">
      <c r="A33" s="3" t="str">
        <f>HYPERLINK("http://www.ofsted.gov.uk/inspection-reports/find-inspection-report/provider/ELS/105525 ","Ofsted School Webpage")</f>
        <v>Ofsted School Webpage</v>
      </c>
      <c r="B33" s="85">
        <v>105525</v>
      </c>
      <c r="C33" s="85">
        <v>3523434</v>
      </c>
      <c r="D33" s="85" t="s">
        <v>354</v>
      </c>
      <c r="E33" s="85" t="s">
        <v>81</v>
      </c>
      <c r="F33" s="85" t="s">
        <v>333</v>
      </c>
      <c r="G33" s="2">
        <v>1</v>
      </c>
      <c r="H33" s="85" t="s">
        <v>255</v>
      </c>
      <c r="I33" s="85" t="s">
        <v>256</v>
      </c>
      <c r="J33" s="85" t="s">
        <v>334</v>
      </c>
      <c r="K33" s="85" t="s">
        <v>257</v>
      </c>
      <c r="L33" s="85" t="s">
        <v>335</v>
      </c>
      <c r="M33" s="85" t="s">
        <v>148</v>
      </c>
      <c r="N33" s="85" t="s">
        <v>148</v>
      </c>
      <c r="O33" s="85" t="s">
        <v>151</v>
      </c>
      <c r="P33" s="85" t="s">
        <v>280</v>
      </c>
      <c r="Q33" s="85" t="s">
        <v>355</v>
      </c>
      <c r="R33" s="85">
        <v>5</v>
      </c>
      <c r="S33" s="85">
        <v>238</v>
      </c>
      <c r="T33" s="2">
        <v>44103</v>
      </c>
      <c r="U33" s="2">
        <v>44119</v>
      </c>
    </row>
    <row r="34" spans="1:21" x14ac:dyDescent="0.2">
      <c r="A34" s="3" t="str">
        <f>HYPERLINK("http://www.ofsted.gov.uk/inspection-reports/find-inspection-report/provider/ELS/102139 ","Ofsted School Webpage")</f>
        <v>Ofsted School Webpage</v>
      </c>
      <c r="B34" s="85">
        <v>102139</v>
      </c>
      <c r="C34" s="85">
        <v>3093306</v>
      </c>
      <c r="D34" s="85" t="s">
        <v>356</v>
      </c>
      <c r="E34" s="85" t="s">
        <v>81</v>
      </c>
      <c r="F34" s="85" t="s">
        <v>333</v>
      </c>
      <c r="G34" s="85" t="s">
        <v>262</v>
      </c>
      <c r="H34" s="85" t="s">
        <v>255</v>
      </c>
      <c r="I34" s="85" t="s">
        <v>256</v>
      </c>
      <c r="J34" s="85" t="s">
        <v>342</v>
      </c>
      <c r="K34" s="85" t="s">
        <v>257</v>
      </c>
      <c r="L34" s="85" t="s">
        <v>335</v>
      </c>
      <c r="M34" s="85" t="s">
        <v>107</v>
      </c>
      <c r="N34" s="85" t="s">
        <v>107</v>
      </c>
      <c r="O34" s="85" t="s">
        <v>113</v>
      </c>
      <c r="P34" s="85" t="s">
        <v>357</v>
      </c>
      <c r="Q34" s="85" t="s">
        <v>358</v>
      </c>
      <c r="R34" s="85">
        <v>4</v>
      </c>
      <c r="S34" s="85">
        <v>533</v>
      </c>
      <c r="T34" s="2">
        <v>44103</v>
      </c>
      <c r="U34" s="2">
        <v>44137</v>
      </c>
    </row>
    <row r="35" spans="1:21" x14ac:dyDescent="0.2">
      <c r="A35" s="3" t="str">
        <f>HYPERLINK("http://www.ofsted.gov.uk/inspection-reports/find-inspection-report/provider/ELS/118654 ","Ofsted School Webpage")</f>
        <v>Ofsted School Webpage</v>
      </c>
      <c r="B35" s="85">
        <v>118654</v>
      </c>
      <c r="C35" s="85">
        <v>8863122</v>
      </c>
      <c r="D35" s="85" t="s">
        <v>359</v>
      </c>
      <c r="E35" s="85" t="s">
        <v>81</v>
      </c>
      <c r="F35" s="85" t="s">
        <v>360</v>
      </c>
      <c r="G35" s="85" t="s">
        <v>262</v>
      </c>
      <c r="H35" s="85" t="s">
        <v>255</v>
      </c>
      <c r="I35" s="85" t="s">
        <v>256</v>
      </c>
      <c r="J35" s="85" t="s">
        <v>342</v>
      </c>
      <c r="K35" s="85" t="s">
        <v>257</v>
      </c>
      <c r="L35" s="85" t="s">
        <v>335</v>
      </c>
      <c r="M35" s="85" t="s">
        <v>169</v>
      </c>
      <c r="N35" s="85" t="s">
        <v>169</v>
      </c>
      <c r="O35" s="85" t="s">
        <v>171</v>
      </c>
      <c r="P35" s="85" t="s">
        <v>361</v>
      </c>
      <c r="Q35" s="85" t="s">
        <v>362</v>
      </c>
      <c r="R35" s="85">
        <v>2</v>
      </c>
      <c r="S35" s="85">
        <v>418</v>
      </c>
      <c r="T35" s="2">
        <v>44103</v>
      </c>
      <c r="U35" s="2">
        <v>44146</v>
      </c>
    </row>
    <row r="36" spans="1:21" x14ac:dyDescent="0.2">
      <c r="A36" s="3" t="str">
        <f>HYPERLINK("http://www.ofsted.gov.uk/inspection-reports/find-inspection-report/provider/ELS/134722 ","Ofsted School Webpage")</f>
        <v>Ofsted School Webpage</v>
      </c>
      <c r="B36" s="85">
        <v>134722</v>
      </c>
      <c r="C36" s="85">
        <v>3413963</v>
      </c>
      <c r="D36" s="85" t="s">
        <v>363</v>
      </c>
      <c r="E36" s="85" t="s">
        <v>81</v>
      </c>
      <c r="F36" s="85" t="s">
        <v>333</v>
      </c>
      <c r="G36" s="2">
        <v>38231</v>
      </c>
      <c r="H36" s="85" t="s">
        <v>255</v>
      </c>
      <c r="I36" s="85" t="s">
        <v>256</v>
      </c>
      <c r="J36" s="85" t="s">
        <v>334</v>
      </c>
      <c r="K36" s="85" t="s">
        <v>257</v>
      </c>
      <c r="L36" s="85" t="s">
        <v>335</v>
      </c>
      <c r="M36" s="85" t="s">
        <v>148</v>
      </c>
      <c r="N36" s="85" t="s">
        <v>148</v>
      </c>
      <c r="O36" s="85" t="s">
        <v>150</v>
      </c>
      <c r="P36" s="85" t="s">
        <v>364</v>
      </c>
      <c r="Q36" s="85" t="s">
        <v>365</v>
      </c>
      <c r="R36" s="85">
        <v>5</v>
      </c>
      <c r="S36" s="85">
        <v>354</v>
      </c>
      <c r="T36" s="2">
        <v>44103</v>
      </c>
      <c r="U36" s="2">
        <v>44158</v>
      </c>
    </row>
    <row r="37" spans="1:21" x14ac:dyDescent="0.2">
      <c r="A37" s="3" t="str">
        <f>HYPERLINK("http://www.ofsted.gov.uk/inspection-reports/find-inspection-report/provider/ELS/109974 ","Ofsted School Webpage")</f>
        <v>Ofsted School Webpage</v>
      </c>
      <c r="B37" s="85">
        <v>109974</v>
      </c>
      <c r="C37" s="85">
        <v>8693039</v>
      </c>
      <c r="D37" s="85" t="s">
        <v>366</v>
      </c>
      <c r="E37" s="85" t="s">
        <v>81</v>
      </c>
      <c r="F37" s="85" t="s">
        <v>360</v>
      </c>
      <c r="G37" s="85" t="s">
        <v>262</v>
      </c>
      <c r="H37" s="85" t="s">
        <v>255</v>
      </c>
      <c r="I37" s="85" t="s">
        <v>256</v>
      </c>
      <c r="J37" s="85" t="s">
        <v>342</v>
      </c>
      <c r="K37" s="85" t="s">
        <v>257</v>
      </c>
      <c r="L37" s="85" t="s">
        <v>335</v>
      </c>
      <c r="M37" s="85" t="s">
        <v>169</v>
      </c>
      <c r="N37" s="85" t="s">
        <v>169</v>
      </c>
      <c r="O37" s="85" t="s">
        <v>176</v>
      </c>
      <c r="P37" s="85" t="s">
        <v>367</v>
      </c>
      <c r="Q37" s="85" t="s">
        <v>368</v>
      </c>
      <c r="R37" s="85">
        <v>2</v>
      </c>
      <c r="S37" s="85">
        <v>81</v>
      </c>
      <c r="T37" s="2">
        <v>44103</v>
      </c>
      <c r="U37" s="2">
        <v>44151</v>
      </c>
    </row>
    <row r="38" spans="1:21" x14ac:dyDescent="0.2">
      <c r="A38" s="3" t="str">
        <f>HYPERLINK("http://www.ofsted.gov.uk/inspection-reports/find-inspection-report/provider/ELS/118003 ","Ofsted School Webpage")</f>
        <v>Ofsted School Webpage</v>
      </c>
      <c r="B38" s="85">
        <v>118003</v>
      </c>
      <c r="C38" s="85">
        <v>8113050</v>
      </c>
      <c r="D38" s="85" t="s">
        <v>369</v>
      </c>
      <c r="E38" s="85" t="s">
        <v>81</v>
      </c>
      <c r="F38" s="85" t="s">
        <v>360</v>
      </c>
      <c r="G38" s="85" t="s">
        <v>262</v>
      </c>
      <c r="H38" s="85" t="s">
        <v>255</v>
      </c>
      <c r="I38" s="85" t="s">
        <v>256</v>
      </c>
      <c r="J38" s="85" t="s">
        <v>342</v>
      </c>
      <c r="K38" s="85" t="s">
        <v>257</v>
      </c>
      <c r="L38" s="85" t="s">
        <v>335</v>
      </c>
      <c r="M38" s="85" t="s">
        <v>236</v>
      </c>
      <c r="N38" s="85" t="s">
        <v>218</v>
      </c>
      <c r="O38" s="85" t="s">
        <v>220</v>
      </c>
      <c r="P38" s="85" t="s">
        <v>370</v>
      </c>
      <c r="Q38" s="85" t="s">
        <v>371</v>
      </c>
      <c r="R38" s="85">
        <v>1</v>
      </c>
      <c r="S38" s="85">
        <v>235</v>
      </c>
      <c r="T38" s="2">
        <v>44103</v>
      </c>
      <c r="U38" s="2">
        <v>44154</v>
      </c>
    </row>
    <row r="39" spans="1:21" x14ac:dyDescent="0.2">
      <c r="A39" s="3" t="str">
        <f>HYPERLINK("http://www.ofsted.gov.uk/inspection-reports/find-inspection-report/provider/ELS/116828 ","Ofsted School Webpage")</f>
        <v>Ofsted School Webpage</v>
      </c>
      <c r="B39" s="85">
        <v>116828</v>
      </c>
      <c r="C39" s="85">
        <v>8843071</v>
      </c>
      <c r="D39" s="85" t="s">
        <v>372</v>
      </c>
      <c r="E39" s="85" t="s">
        <v>81</v>
      </c>
      <c r="F39" s="85" t="s">
        <v>360</v>
      </c>
      <c r="G39" s="85" t="s">
        <v>262</v>
      </c>
      <c r="H39" s="85" t="s">
        <v>255</v>
      </c>
      <c r="I39" s="85" t="s">
        <v>256</v>
      </c>
      <c r="J39" s="85" t="s">
        <v>342</v>
      </c>
      <c r="K39" s="85" t="s">
        <v>257</v>
      </c>
      <c r="L39" s="85" t="s">
        <v>335</v>
      </c>
      <c r="M39" s="85" t="s">
        <v>203</v>
      </c>
      <c r="N39" s="85" t="s">
        <v>203</v>
      </c>
      <c r="O39" s="85" t="s">
        <v>204</v>
      </c>
      <c r="P39" s="85" t="s">
        <v>373</v>
      </c>
      <c r="Q39" s="85" t="s">
        <v>374</v>
      </c>
      <c r="R39" s="85">
        <v>3</v>
      </c>
      <c r="S39" s="85">
        <v>99</v>
      </c>
      <c r="T39" s="2">
        <v>44103</v>
      </c>
      <c r="U39" s="2">
        <v>44145</v>
      </c>
    </row>
    <row r="40" spans="1:21" x14ac:dyDescent="0.2">
      <c r="A40" s="3" t="str">
        <f>HYPERLINK("http://www.ofsted.gov.uk/inspection-reports/find-inspection-report/provider/ELS/107992 ","Ofsted School Webpage")</f>
        <v>Ofsted School Webpage</v>
      </c>
      <c r="B40" s="85">
        <v>107992</v>
      </c>
      <c r="C40" s="85">
        <v>3833040</v>
      </c>
      <c r="D40" s="85" t="s">
        <v>375</v>
      </c>
      <c r="E40" s="85" t="s">
        <v>81</v>
      </c>
      <c r="F40" s="85" t="s">
        <v>360</v>
      </c>
      <c r="G40" s="85" t="s">
        <v>262</v>
      </c>
      <c r="H40" s="85" t="s">
        <v>255</v>
      </c>
      <c r="I40" s="85" t="s">
        <v>256</v>
      </c>
      <c r="J40" s="85" t="s">
        <v>342</v>
      </c>
      <c r="K40" s="85" t="s">
        <v>257</v>
      </c>
      <c r="L40" s="85" t="s">
        <v>335</v>
      </c>
      <c r="M40" s="85" t="s">
        <v>236</v>
      </c>
      <c r="N40" s="85" t="s">
        <v>218</v>
      </c>
      <c r="O40" s="85" t="s">
        <v>221</v>
      </c>
      <c r="P40" s="85" t="s">
        <v>376</v>
      </c>
      <c r="Q40" s="85" t="s">
        <v>377</v>
      </c>
      <c r="R40" s="85">
        <v>4</v>
      </c>
      <c r="S40" s="85">
        <v>114</v>
      </c>
      <c r="T40" s="2">
        <v>44103</v>
      </c>
      <c r="U40" s="2">
        <v>44140</v>
      </c>
    </row>
    <row r="41" spans="1:21" x14ac:dyDescent="0.2">
      <c r="A41" s="3" t="str">
        <f>HYPERLINK("http://www.ofsted.gov.uk/inspection-reports/find-inspection-report/provider/ELS/132170 ","Ofsted School Webpage")</f>
        <v>Ofsted School Webpage</v>
      </c>
      <c r="B41" s="85">
        <v>132170</v>
      </c>
      <c r="C41" s="85">
        <v>9092716</v>
      </c>
      <c r="D41" s="85" t="s">
        <v>378</v>
      </c>
      <c r="E41" s="85" t="s">
        <v>81</v>
      </c>
      <c r="F41" s="85" t="s">
        <v>360</v>
      </c>
      <c r="G41" s="2">
        <v>36770</v>
      </c>
      <c r="H41" s="85" t="s">
        <v>255</v>
      </c>
      <c r="I41" s="85" t="s">
        <v>256</v>
      </c>
      <c r="J41" s="85" t="s">
        <v>342</v>
      </c>
      <c r="K41" s="85" t="s">
        <v>257</v>
      </c>
      <c r="L41" s="85" t="s">
        <v>335</v>
      </c>
      <c r="M41" s="85" t="s">
        <v>148</v>
      </c>
      <c r="N41" s="85" t="s">
        <v>148</v>
      </c>
      <c r="O41" s="85" t="s">
        <v>156</v>
      </c>
      <c r="P41" s="85" t="s">
        <v>379</v>
      </c>
      <c r="Q41" s="85" t="s">
        <v>380</v>
      </c>
      <c r="R41" s="85">
        <v>4</v>
      </c>
      <c r="S41" s="85">
        <v>151</v>
      </c>
      <c r="T41" s="2">
        <v>44103</v>
      </c>
      <c r="U41" s="2">
        <v>44139</v>
      </c>
    </row>
    <row r="42" spans="1:21" x14ac:dyDescent="0.2">
      <c r="A42" s="3" t="str">
        <f>HYPERLINK("http://www.ofsted.gov.uk/inspection-reports/find-inspection-report/provider/ELS/131591 ","Ofsted School Webpage")</f>
        <v>Ofsted School Webpage</v>
      </c>
      <c r="B42" s="85">
        <v>131591</v>
      </c>
      <c r="C42" s="85">
        <v>3332186</v>
      </c>
      <c r="D42" s="85" t="s">
        <v>381</v>
      </c>
      <c r="E42" s="85" t="s">
        <v>81</v>
      </c>
      <c r="F42" s="85" t="s">
        <v>382</v>
      </c>
      <c r="G42" s="2">
        <v>36039</v>
      </c>
      <c r="H42" s="85" t="s">
        <v>255</v>
      </c>
      <c r="I42" s="85" t="s">
        <v>255</v>
      </c>
      <c r="J42" s="85" t="s">
        <v>257</v>
      </c>
      <c r="K42" s="85" t="s">
        <v>257</v>
      </c>
      <c r="L42" s="85" t="s">
        <v>258</v>
      </c>
      <c r="M42" s="85" t="s">
        <v>203</v>
      </c>
      <c r="N42" s="85" t="s">
        <v>203</v>
      </c>
      <c r="O42" s="85" t="s">
        <v>205</v>
      </c>
      <c r="P42" s="85" t="s">
        <v>383</v>
      </c>
      <c r="Q42" s="85" t="s">
        <v>384</v>
      </c>
      <c r="R42" s="85">
        <v>5</v>
      </c>
      <c r="S42" s="85">
        <v>492</v>
      </c>
      <c r="T42" s="2">
        <v>44103</v>
      </c>
      <c r="U42" s="2">
        <v>44119</v>
      </c>
    </row>
    <row r="43" spans="1:21" x14ac:dyDescent="0.2">
      <c r="A43" s="3" t="str">
        <f>HYPERLINK("http://www.ofsted.gov.uk/inspection-reports/find-inspection-report/provider/ELS/124220 ","Ofsted School Webpage")</f>
        <v>Ofsted School Webpage</v>
      </c>
      <c r="B43" s="85">
        <v>124220</v>
      </c>
      <c r="C43" s="85">
        <v>8602424</v>
      </c>
      <c r="D43" s="85" t="s">
        <v>385</v>
      </c>
      <c r="E43" s="85" t="s">
        <v>81</v>
      </c>
      <c r="F43" s="85" t="s">
        <v>382</v>
      </c>
      <c r="G43" s="85" t="s">
        <v>262</v>
      </c>
      <c r="H43" s="85" t="s">
        <v>255</v>
      </c>
      <c r="I43" s="85" t="s">
        <v>256</v>
      </c>
      <c r="J43" s="85" t="s">
        <v>257</v>
      </c>
      <c r="K43" s="85" t="s">
        <v>257</v>
      </c>
      <c r="L43" s="85" t="s">
        <v>258</v>
      </c>
      <c r="M43" s="85" t="s">
        <v>203</v>
      </c>
      <c r="N43" s="85" t="s">
        <v>203</v>
      </c>
      <c r="O43" s="85" t="s">
        <v>206</v>
      </c>
      <c r="P43" s="85" t="s">
        <v>386</v>
      </c>
      <c r="Q43" s="85" t="s">
        <v>387</v>
      </c>
      <c r="R43" s="85">
        <v>5</v>
      </c>
      <c r="S43" s="85">
        <v>362</v>
      </c>
      <c r="T43" s="2">
        <v>44103</v>
      </c>
      <c r="U43" s="2">
        <v>44144</v>
      </c>
    </row>
    <row r="44" spans="1:21" x14ac:dyDescent="0.2">
      <c r="A44" s="3" t="str">
        <f>HYPERLINK("http://www.ofsted.gov.uk/inspection-reports/find-inspection-report/provider/ELS/109743 ","Ofsted School Webpage")</f>
        <v>Ofsted School Webpage</v>
      </c>
      <c r="B44" s="85">
        <v>109743</v>
      </c>
      <c r="C44" s="85">
        <v>8217014</v>
      </c>
      <c r="D44" s="85" t="s">
        <v>388</v>
      </c>
      <c r="E44" s="85" t="s">
        <v>83</v>
      </c>
      <c r="F44" s="85" t="s">
        <v>389</v>
      </c>
      <c r="G44" s="85" t="s">
        <v>262</v>
      </c>
      <c r="H44" s="85" t="s">
        <v>255</v>
      </c>
      <c r="I44" s="85" t="s">
        <v>255</v>
      </c>
      <c r="J44" s="85" t="s">
        <v>257</v>
      </c>
      <c r="K44" s="85" t="s">
        <v>257</v>
      </c>
      <c r="L44" s="85" t="s">
        <v>258</v>
      </c>
      <c r="M44" s="85" t="s">
        <v>95</v>
      </c>
      <c r="N44" s="85" t="s">
        <v>95</v>
      </c>
      <c r="O44" s="85" t="s">
        <v>101</v>
      </c>
      <c r="P44" s="85" t="s">
        <v>390</v>
      </c>
      <c r="Q44" s="85" t="s">
        <v>391</v>
      </c>
      <c r="R44" s="85">
        <v>4</v>
      </c>
      <c r="S44" s="85">
        <v>232</v>
      </c>
      <c r="T44" s="2">
        <v>44103</v>
      </c>
      <c r="U44" s="2">
        <v>44147</v>
      </c>
    </row>
    <row r="45" spans="1:21" x14ac:dyDescent="0.2">
      <c r="A45" s="3" t="str">
        <f>HYPERLINK("http://www.ofsted.gov.uk/inspection-reports/find-inspection-report/provider/ELS/102555 ","Ofsted School Webpage")</f>
        <v>Ofsted School Webpage</v>
      </c>
      <c r="B45" s="85">
        <v>102555</v>
      </c>
      <c r="C45" s="85">
        <v>3137006</v>
      </c>
      <c r="D45" s="85" t="s">
        <v>392</v>
      </c>
      <c r="E45" s="85" t="s">
        <v>83</v>
      </c>
      <c r="F45" s="85" t="s">
        <v>389</v>
      </c>
      <c r="G45" s="85" t="s">
        <v>262</v>
      </c>
      <c r="H45" s="85" t="s">
        <v>255</v>
      </c>
      <c r="I45" s="85" t="s">
        <v>276</v>
      </c>
      <c r="J45" s="85" t="s">
        <v>257</v>
      </c>
      <c r="K45" s="85" t="s">
        <v>257</v>
      </c>
      <c r="L45" s="85" t="s">
        <v>258</v>
      </c>
      <c r="M45" s="85" t="s">
        <v>107</v>
      </c>
      <c r="N45" s="85" t="s">
        <v>107</v>
      </c>
      <c r="O45" s="85" t="s">
        <v>114</v>
      </c>
      <c r="P45" s="85" t="s">
        <v>393</v>
      </c>
      <c r="Q45" s="85" t="s">
        <v>394</v>
      </c>
      <c r="R45" s="85">
        <v>3</v>
      </c>
      <c r="S45" s="85">
        <v>152</v>
      </c>
      <c r="T45" s="2">
        <v>44103</v>
      </c>
      <c r="U45" s="2">
        <v>44137</v>
      </c>
    </row>
    <row r="46" spans="1:21" x14ac:dyDescent="0.2">
      <c r="A46" s="3" t="str">
        <f>HYPERLINK("http://www.ofsted.gov.uk/inspection-reports/find-inspection-report/provider/ELS/121270 ","Ofsted School Webpage")</f>
        <v>Ofsted School Webpage</v>
      </c>
      <c r="B46" s="85">
        <v>121270</v>
      </c>
      <c r="C46" s="85">
        <v>8161100</v>
      </c>
      <c r="D46" s="85" t="s">
        <v>395</v>
      </c>
      <c r="E46" s="85" t="s">
        <v>84</v>
      </c>
      <c r="F46" s="85" t="s">
        <v>396</v>
      </c>
      <c r="G46" s="85" t="s">
        <v>262</v>
      </c>
      <c r="H46" s="85" t="s">
        <v>255</v>
      </c>
      <c r="I46" s="85" t="s">
        <v>255</v>
      </c>
      <c r="J46" s="85" t="s">
        <v>257</v>
      </c>
      <c r="K46" s="85" t="s">
        <v>257</v>
      </c>
      <c r="L46" s="85" t="s">
        <v>258</v>
      </c>
      <c r="M46" s="85" t="s">
        <v>236</v>
      </c>
      <c r="N46" s="85" t="s">
        <v>218</v>
      </c>
      <c r="O46" s="85" t="s">
        <v>222</v>
      </c>
      <c r="P46" s="85" t="s">
        <v>397</v>
      </c>
      <c r="Q46" s="85" t="s">
        <v>398</v>
      </c>
      <c r="R46" s="85">
        <v>1</v>
      </c>
      <c r="S46" s="85">
        <v>215</v>
      </c>
      <c r="T46" s="2">
        <v>44103</v>
      </c>
      <c r="U46" s="2">
        <v>44144</v>
      </c>
    </row>
    <row r="47" spans="1:21" x14ac:dyDescent="0.2">
      <c r="A47" s="3" t="str">
        <f>HYPERLINK("http://www.ofsted.gov.uk/inspection-reports/find-inspection-report/provider/ELS/137598 ","Ofsted School Webpage")</f>
        <v>Ofsted School Webpage</v>
      </c>
      <c r="B47" s="85">
        <v>137598</v>
      </c>
      <c r="C47" s="85">
        <v>9294437</v>
      </c>
      <c r="D47" s="85" t="s">
        <v>399</v>
      </c>
      <c r="E47" s="85" t="s">
        <v>82</v>
      </c>
      <c r="F47" s="85" t="s">
        <v>400</v>
      </c>
      <c r="G47" s="2">
        <v>40848</v>
      </c>
      <c r="H47" s="85" t="s">
        <v>275</v>
      </c>
      <c r="I47" s="85" t="s">
        <v>276</v>
      </c>
      <c r="J47" s="85" t="s">
        <v>257</v>
      </c>
      <c r="K47" s="85" t="s">
        <v>257</v>
      </c>
      <c r="L47" s="85" t="s">
        <v>258</v>
      </c>
      <c r="M47" s="85" t="s">
        <v>236</v>
      </c>
      <c r="N47" s="85" t="s">
        <v>135</v>
      </c>
      <c r="O47" s="85" t="s">
        <v>138</v>
      </c>
      <c r="P47" s="85" t="s">
        <v>401</v>
      </c>
      <c r="Q47" s="85" t="s">
        <v>402</v>
      </c>
      <c r="R47" s="85">
        <v>3</v>
      </c>
      <c r="S47" s="85">
        <v>472</v>
      </c>
      <c r="T47" s="2">
        <v>44103</v>
      </c>
      <c r="U47" s="2">
        <v>44144</v>
      </c>
    </row>
    <row r="48" spans="1:21" x14ac:dyDescent="0.2">
      <c r="A48" s="3" t="str">
        <f>HYPERLINK("http://www.ofsted.gov.uk/inspection-reports/find-inspection-report/provider/ELS/139049 ","Ofsted School Webpage")</f>
        <v>Ofsted School Webpage</v>
      </c>
      <c r="B48" s="85">
        <v>139049</v>
      </c>
      <c r="C48" s="85">
        <v>8014005</v>
      </c>
      <c r="D48" s="85" t="s">
        <v>403</v>
      </c>
      <c r="E48" s="85" t="s">
        <v>82</v>
      </c>
      <c r="F48" s="85" t="s">
        <v>404</v>
      </c>
      <c r="G48" s="2">
        <v>41334</v>
      </c>
      <c r="H48" s="85" t="s">
        <v>275</v>
      </c>
      <c r="I48" s="85" t="s">
        <v>256</v>
      </c>
      <c r="J48" s="85" t="s">
        <v>405</v>
      </c>
      <c r="K48" s="85" t="s">
        <v>405</v>
      </c>
      <c r="L48" s="85" t="s">
        <v>258</v>
      </c>
      <c r="M48" s="85" t="s">
        <v>188</v>
      </c>
      <c r="N48" s="85" t="s">
        <v>188</v>
      </c>
      <c r="O48" s="85" t="s">
        <v>189</v>
      </c>
      <c r="P48" s="85" t="s">
        <v>406</v>
      </c>
      <c r="Q48" s="85" t="s">
        <v>407</v>
      </c>
      <c r="R48" s="85">
        <v>5</v>
      </c>
      <c r="S48" s="85">
        <v>942</v>
      </c>
      <c r="T48" s="2">
        <v>44103</v>
      </c>
      <c r="U48" s="2">
        <v>44119</v>
      </c>
    </row>
    <row r="49" spans="1:21" x14ac:dyDescent="0.2">
      <c r="A49" s="3" t="str">
        <f>HYPERLINK("http://www.ofsted.gov.uk/inspection-reports/find-inspection-report/provider/ELS/140220 ","Ofsted School Webpage")</f>
        <v>Ofsted School Webpage</v>
      </c>
      <c r="B49" s="85">
        <v>140220</v>
      </c>
      <c r="C49" s="85">
        <v>9332012</v>
      </c>
      <c r="D49" s="85" t="s">
        <v>408</v>
      </c>
      <c r="E49" s="85" t="s">
        <v>81</v>
      </c>
      <c r="F49" s="85" t="s">
        <v>404</v>
      </c>
      <c r="G49" s="2">
        <v>41883</v>
      </c>
      <c r="H49" s="85" t="s">
        <v>275</v>
      </c>
      <c r="I49" s="85" t="s">
        <v>256</v>
      </c>
      <c r="J49" s="85" t="s">
        <v>405</v>
      </c>
      <c r="K49" s="85" t="s">
        <v>405</v>
      </c>
      <c r="L49" s="85" t="s">
        <v>258</v>
      </c>
      <c r="M49" s="85" t="s">
        <v>188</v>
      </c>
      <c r="N49" s="85" t="s">
        <v>188</v>
      </c>
      <c r="O49" s="85" t="s">
        <v>195</v>
      </c>
      <c r="P49" s="85" t="s">
        <v>409</v>
      </c>
      <c r="Q49" s="85" t="s">
        <v>410</v>
      </c>
      <c r="R49" s="85">
        <v>4</v>
      </c>
      <c r="S49" s="85">
        <v>248</v>
      </c>
      <c r="T49" s="2">
        <v>44103</v>
      </c>
      <c r="U49" s="2">
        <v>44140</v>
      </c>
    </row>
    <row r="50" spans="1:21" x14ac:dyDescent="0.2">
      <c r="A50" s="3" t="str">
        <f>HYPERLINK("http://www.ofsted.gov.uk/inspection-reports/find-inspection-report/provider/ELS/141710 ","Ofsted School Webpage")</f>
        <v>Ofsted School Webpage</v>
      </c>
      <c r="B50" s="85">
        <v>141710</v>
      </c>
      <c r="C50" s="85">
        <v>9082009</v>
      </c>
      <c r="D50" s="85" t="s">
        <v>411</v>
      </c>
      <c r="E50" s="85" t="s">
        <v>81</v>
      </c>
      <c r="F50" s="85" t="s">
        <v>400</v>
      </c>
      <c r="G50" s="2">
        <v>42036</v>
      </c>
      <c r="H50" s="85" t="s">
        <v>255</v>
      </c>
      <c r="I50" s="85" t="s">
        <v>256</v>
      </c>
      <c r="J50" s="85" t="s">
        <v>257</v>
      </c>
      <c r="K50" s="85" t="s">
        <v>257</v>
      </c>
      <c r="L50" s="85" t="s">
        <v>258</v>
      </c>
      <c r="M50" s="85" t="s">
        <v>188</v>
      </c>
      <c r="N50" s="85" t="s">
        <v>188</v>
      </c>
      <c r="O50" s="85" t="s">
        <v>196</v>
      </c>
      <c r="P50" s="85" t="s">
        <v>412</v>
      </c>
      <c r="Q50" s="85" t="s">
        <v>413</v>
      </c>
      <c r="R50" s="85">
        <v>3</v>
      </c>
      <c r="S50" s="85">
        <v>399</v>
      </c>
      <c r="T50" s="2">
        <v>44103</v>
      </c>
      <c r="U50" s="2">
        <v>44146</v>
      </c>
    </row>
    <row r="51" spans="1:21" x14ac:dyDescent="0.2">
      <c r="A51" s="3" t="str">
        <f>HYPERLINK("http://www.ofsted.gov.uk/inspection-reports/find-inspection-report/provider/ELS/139063 ","Ofsted School Webpage")</f>
        <v>Ofsted School Webpage</v>
      </c>
      <c r="B51" s="85">
        <v>139063</v>
      </c>
      <c r="C51" s="85">
        <v>8914015</v>
      </c>
      <c r="D51" s="85" t="s">
        <v>414</v>
      </c>
      <c r="E51" s="85" t="s">
        <v>82</v>
      </c>
      <c r="F51" s="85" t="s">
        <v>404</v>
      </c>
      <c r="G51" s="2">
        <v>41275</v>
      </c>
      <c r="H51" s="85" t="s">
        <v>275</v>
      </c>
      <c r="I51" s="85" t="s">
        <v>276</v>
      </c>
      <c r="J51" s="85" t="s">
        <v>257</v>
      </c>
      <c r="K51" s="85" t="s">
        <v>405</v>
      </c>
      <c r="L51" s="85" t="s">
        <v>258</v>
      </c>
      <c r="M51" s="85" t="s">
        <v>85</v>
      </c>
      <c r="N51" s="85" t="s">
        <v>85</v>
      </c>
      <c r="O51" s="85" t="s">
        <v>90</v>
      </c>
      <c r="P51" s="85" t="s">
        <v>415</v>
      </c>
      <c r="Q51" s="85" t="s">
        <v>416</v>
      </c>
      <c r="R51" s="85">
        <v>5</v>
      </c>
      <c r="S51" s="85">
        <v>712</v>
      </c>
      <c r="T51" s="2">
        <v>44103</v>
      </c>
      <c r="U51" s="2">
        <v>44146</v>
      </c>
    </row>
    <row r="52" spans="1:21" x14ac:dyDescent="0.2">
      <c r="A52" s="3" t="str">
        <f>HYPERLINK("http://www.ofsted.gov.uk/inspection-reports/find-inspection-report/provider/ELS/138863 ","Ofsted School Webpage")</f>
        <v>Ofsted School Webpage</v>
      </c>
      <c r="B52" s="85">
        <v>138863</v>
      </c>
      <c r="C52" s="85">
        <v>8804001</v>
      </c>
      <c r="D52" s="85" t="s">
        <v>417</v>
      </c>
      <c r="E52" s="85" t="s">
        <v>82</v>
      </c>
      <c r="F52" s="85" t="s">
        <v>400</v>
      </c>
      <c r="G52" s="2">
        <v>41183</v>
      </c>
      <c r="H52" s="85" t="s">
        <v>275</v>
      </c>
      <c r="I52" s="85" t="s">
        <v>256</v>
      </c>
      <c r="J52" s="85" t="s">
        <v>257</v>
      </c>
      <c r="K52" s="85" t="s">
        <v>257</v>
      </c>
      <c r="L52" s="85" t="s">
        <v>258</v>
      </c>
      <c r="M52" s="85" t="s">
        <v>188</v>
      </c>
      <c r="N52" s="85" t="s">
        <v>188</v>
      </c>
      <c r="O52" s="85" t="s">
        <v>192</v>
      </c>
      <c r="P52" s="85" t="s">
        <v>418</v>
      </c>
      <c r="Q52" s="85" t="s">
        <v>419</v>
      </c>
      <c r="R52" s="85">
        <v>4</v>
      </c>
      <c r="S52" s="85">
        <v>1374</v>
      </c>
      <c r="T52" s="2">
        <v>44103</v>
      </c>
      <c r="U52" s="2">
        <v>44153</v>
      </c>
    </row>
    <row r="53" spans="1:21" x14ac:dyDescent="0.2">
      <c r="A53" s="3" t="str">
        <f>HYPERLINK("http://www.ofsted.gov.uk/inspection-reports/find-inspection-report/provider/ELS/136027 ","Ofsted School Webpage")</f>
        <v>Ofsted School Webpage</v>
      </c>
      <c r="B53" s="85">
        <v>136027</v>
      </c>
      <c r="C53" s="85">
        <v>3536905</v>
      </c>
      <c r="D53" s="85" t="s">
        <v>420</v>
      </c>
      <c r="E53" s="85" t="s">
        <v>82</v>
      </c>
      <c r="F53" s="85" t="s">
        <v>404</v>
      </c>
      <c r="G53" s="2">
        <v>40422</v>
      </c>
      <c r="H53" s="85" t="s">
        <v>275</v>
      </c>
      <c r="I53" s="85" t="s">
        <v>255</v>
      </c>
      <c r="J53" s="85" t="s">
        <v>257</v>
      </c>
      <c r="K53" s="85" t="s">
        <v>405</v>
      </c>
      <c r="L53" s="85" t="s">
        <v>258</v>
      </c>
      <c r="M53" s="85" t="s">
        <v>148</v>
      </c>
      <c r="N53" s="85" t="s">
        <v>148</v>
      </c>
      <c r="O53" s="85" t="s">
        <v>152</v>
      </c>
      <c r="P53" s="85" t="s">
        <v>421</v>
      </c>
      <c r="Q53" s="85" t="s">
        <v>422</v>
      </c>
      <c r="R53" s="85">
        <v>5</v>
      </c>
      <c r="S53" s="85">
        <v>1426</v>
      </c>
      <c r="T53" s="2">
        <v>44103</v>
      </c>
      <c r="U53" s="2">
        <v>44123</v>
      </c>
    </row>
    <row r="54" spans="1:21" x14ac:dyDescent="0.2">
      <c r="A54" s="3" t="str">
        <f>HYPERLINK("http://www.ofsted.gov.uk/inspection-reports/find-inspection-report/provider/ELS/140285 ","Ofsted School Webpage")</f>
        <v>Ofsted School Webpage</v>
      </c>
      <c r="B54" s="85">
        <v>140285</v>
      </c>
      <c r="C54" s="85">
        <v>8612092</v>
      </c>
      <c r="D54" s="85" t="s">
        <v>423</v>
      </c>
      <c r="E54" s="85" t="s">
        <v>81</v>
      </c>
      <c r="F54" s="85" t="s">
        <v>400</v>
      </c>
      <c r="G54" s="2">
        <v>41579</v>
      </c>
      <c r="H54" s="85" t="s">
        <v>255</v>
      </c>
      <c r="I54" s="85" t="s">
        <v>256</v>
      </c>
      <c r="J54" s="85" t="s">
        <v>257</v>
      </c>
      <c r="K54" s="85" t="s">
        <v>257</v>
      </c>
      <c r="L54" s="85" t="s">
        <v>258</v>
      </c>
      <c r="M54" s="85" t="s">
        <v>203</v>
      </c>
      <c r="N54" s="85" t="s">
        <v>203</v>
      </c>
      <c r="O54" s="85" t="s">
        <v>211</v>
      </c>
      <c r="P54" s="85" t="s">
        <v>424</v>
      </c>
      <c r="Q54" s="85" t="s">
        <v>425</v>
      </c>
      <c r="R54" s="85">
        <v>5</v>
      </c>
      <c r="S54" s="85">
        <v>404</v>
      </c>
      <c r="T54" s="2">
        <v>44103</v>
      </c>
      <c r="U54" s="2">
        <v>44140</v>
      </c>
    </row>
    <row r="55" spans="1:21" x14ac:dyDescent="0.2">
      <c r="A55" s="3" t="str">
        <f>HYPERLINK("http://www.ofsted.gov.uk/inspection-reports/find-inspection-report/provider/ELS/119103 ","Ofsted School Webpage")</f>
        <v>Ofsted School Webpage</v>
      </c>
      <c r="B55" s="85">
        <v>119103</v>
      </c>
      <c r="C55" s="85">
        <v>8881100</v>
      </c>
      <c r="D55" s="85" t="s">
        <v>426</v>
      </c>
      <c r="E55" s="85" t="s">
        <v>84</v>
      </c>
      <c r="F55" s="85" t="s">
        <v>396</v>
      </c>
      <c r="G55" s="85" t="s">
        <v>262</v>
      </c>
      <c r="H55" s="85" t="s">
        <v>255</v>
      </c>
      <c r="I55" s="85" t="s">
        <v>255</v>
      </c>
      <c r="J55" s="85" t="s">
        <v>257</v>
      </c>
      <c r="K55" s="85" t="s">
        <v>257</v>
      </c>
      <c r="L55" s="85" t="s">
        <v>258</v>
      </c>
      <c r="M55" s="85" t="s">
        <v>148</v>
      </c>
      <c r="N55" s="85" t="s">
        <v>148</v>
      </c>
      <c r="O55" s="85" t="s">
        <v>149</v>
      </c>
      <c r="P55" s="85" t="s">
        <v>427</v>
      </c>
      <c r="Q55" s="85" t="s">
        <v>428</v>
      </c>
      <c r="R55" s="85">
        <v>1</v>
      </c>
      <c r="S55" s="85">
        <v>11</v>
      </c>
      <c r="T55" s="2">
        <v>44103</v>
      </c>
      <c r="U55" s="2">
        <v>44154</v>
      </c>
    </row>
    <row r="56" spans="1:21" x14ac:dyDescent="0.2">
      <c r="A56" s="3" t="str">
        <f>HYPERLINK("http://www.ofsted.gov.uk/inspection-reports/find-inspection-report/provider/ELS/137358 ","Ofsted School Webpage")</f>
        <v>Ofsted School Webpage</v>
      </c>
      <c r="B56" s="85">
        <v>137358</v>
      </c>
      <c r="C56" s="85">
        <v>8572316</v>
      </c>
      <c r="D56" s="85" t="s">
        <v>429</v>
      </c>
      <c r="E56" s="85" t="s">
        <v>81</v>
      </c>
      <c r="F56" s="85" t="s">
        <v>400</v>
      </c>
      <c r="G56" s="2">
        <v>40787</v>
      </c>
      <c r="H56" s="85" t="s">
        <v>255</v>
      </c>
      <c r="I56" s="85" t="s">
        <v>255</v>
      </c>
      <c r="J56" s="85" t="s">
        <v>257</v>
      </c>
      <c r="K56" s="85" t="s">
        <v>257</v>
      </c>
      <c r="L56" s="85" t="s">
        <v>258</v>
      </c>
      <c r="M56" s="85" t="s">
        <v>85</v>
      </c>
      <c r="N56" s="85" t="s">
        <v>85</v>
      </c>
      <c r="O56" s="85" t="s">
        <v>88</v>
      </c>
      <c r="P56" s="85" t="s">
        <v>430</v>
      </c>
      <c r="Q56" s="85" t="s">
        <v>431</v>
      </c>
      <c r="R56" s="85">
        <v>1</v>
      </c>
      <c r="S56" s="85">
        <v>346</v>
      </c>
      <c r="T56" s="2">
        <v>44103</v>
      </c>
      <c r="U56" s="2">
        <v>44119</v>
      </c>
    </row>
    <row r="57" spans="1:21" x14ac:dyDescent="0.2">
      <c r="A57" s="3" t="str">
        <f>HYPERLINK("http://www.ofsted.gov.uk/inspection-reports/find-inspection-report/provider/ELS/137193 ","Ofsted School Webpage")</f>
        <v>Ofsted School Webpage</v>
      </c>
      <c r="B57" s="85">
        <v>137193</v>
      </c>
      <c r="C57" s="85">
        <v>9334451</v>
      </c>
      <c r="D57" s="85" t="s">
        <v>432</v>
      </c>
      <c r="E57" s="85" t="s">
        <v>82</v>
      </c>
      <c r="F57" s="85" t="s">
        <v>400</v>
      </c>
      <c r="G57" s="2">
        <v>40756</v>
      </c>
      <c r="H57" s="85" t="s">
        <v>275</v>
      </c>
      <c r="I57" s="85" t="s">
        <v>256</v>
      </c>
      <c r="J57" s="85" t="s">
        <v>257</v>
      </c>
      <c r="K57" s="85" t="s">
        <v>257</v>
      </c>
      <c r="L57" s="85" t="s">
        <v>258</v>
      </c>
      <c r="M57" s="85" t="s">
        <v>188</v>
      </c>
      <c r="N57" s="85" t="s">
        <v>188</v>
      </c>
      <c r="O57" s="85" t="s">
        <v>195</v>
      </c>
      <c r="P57" s="85" t="s">
        <v>433</v>
      </c>
      <c r="Q57" s="85" t="s">
        <v>434</v>
      </c>
      <c r="R57" s="85">
        <v>4</v>
      </c>
      <c r="S57" s="85">
        <v>795</v>
      </c>
      <c r="T57" s="2">
        <v>44103</v>
      </c>
      <c r="U57" s="2">
        <v>44144</v>
      </c>
    </row>
    <row r="58" spans="1:21" x14ac:dyDescent="0.2">
      <c r="A58" s="3" t="str">
        <f>HYPERLINK("http://www.ofsted.gov.uk/inspection-reports/find-inspection-report/provider/ELS/140183 ","Ofsted School Webpage")</f>
        <v>Ofsted School Webpage</v>
      </c>
      <c r="B58" s="85">
        <v>140183</v>
      </c>
      <c r="C58" s="85">
        <v>8842002</v>
      </c>
      <c r="D58" s="85" t="s">
        <v>435</v>
      </c>
      <c r="E58" s="85" t="s">
        <v>81</v>
      </c>
      <c r="F58" s="85" t="s">
        <v>404</v>
      </c>
      <c r="G58" s="2">
        <v>41640</v>
      </c>
      <c r="H58" s="85" t="s">
        <v>255</v>
      </c>
      <c r="I58" s="85" t="s">
        <v>256</v>
      </c>
      <c r="J58" s="85" t="s">
        <v>342</v>
      </c>
      <c r="K58" s="85" t="s">
        <v>405</v>
      </c>
      <c r="L58" s="85" t="s">
        <v>335</v>
      </c>
      <c r="M58" s="85" t="s">
        <v>203</v>
      </c>
      <c r="N58" s="85" t="s">
        <v>203</v>
      </c>
      <c r="O58" s="85" t="s">
        <v>204</v>
      </c>
      <c r="P58" s="85" t="s">
        <v>373</v>
      </c>
      <c r="Q58" s="85" t="s">
        <v>436</v>
      </c>
      <c r="R58" s="85">
        <v>3</v>
      </c>
      <c r="S58" s="85">
        <v>203</v>
      </c>
      <c r="T58" s="2">
        <v>44103</v>
      </c>
      <c r="U58" s="2">
        <v>44123</v>
      </c>
    </row>
    <row r="59" spans="1:21" x14ac:dyDescent="0.2">
      <c r="A59" s="3" t="str">
        <f>HYPERLINK("http://www.ofsted.gov.uk/inspection-reports/find-inspection-report/provider/ELS/136463 ","Ofsted School Webpage")</f>
        <v>Ofsted School Webpage</v>
      </c>
      <c r="B59" s="85">
        <v>136463</v>
      </c>
      <c r="C59" s="85">
        <v>8735406</v>
      </c>
      <c r="D59" s="85" t="s">
        <v>437</v>
      </c>
      <c r="E59" s="85" t="s">
        <v>82</v>
      </c>
      <c r="F59" s="85" t="s">
        <v>400</v>
      </c>
      <c r="G59" s="2">
        <v>40575</v>
      </c>
      <c r="H59" s="85" t="s">
        <v>275</v>
      </c>
      <c r="I59" s="85" t="s">
        <v>276</v>
      </c>
      <c r="J59" s="85" t="s">
        <v>405</v>
      </c>
      <c r="K59" s="85" t="s">
        <v>257</v>
      </c>
      <c r="L59" s="85" t="s">
        <v>258</v>
      </c>
      <c r="M59" s="85" t="s">
        <v>95</v>
      </c>
      <c r="N59" s="85" t="s">
        <v>95</v>
      </c>
      <c r="O59" s="85" t="s">
        <v>97</v>
      </c>
      <c r="P59" s="85" t="s">
        <v>438</v>
      </c>
      <c r="Q59" s="85" t="s">
        <v>439</v>
      </c>
      <c r="R59" s="85">
        <v>1</v>
      </c>
      <c r="S59" s="85">
        <v>1906</v>
      </c>
      <c r="T59" s="2">
        <v>44103</v>
      </c>
      <c r="U59" s="2">
        <v>44123</v>
      </c>
    </row>
    <row r="60" spans="1:21" x14ac:dyDescent="0.2">
      <c r="A60" s="3" t="str">
        <f>HYPERLINK("http://www.ofsted.gov.uk/inspection-reports/find-inspection-report/provider/ELS/141187 ","Ofsted School Webpage")</f>
        <v>Ofsted School Webpage</v>
      </c>
      <c r="B60" s="85">
        <v>141187</v>
      </c>
      <c r="C60" s="85">
        <v>8507004</v>
      </c>
      <c r="D60" s="85" t="s">
        <v>440</v>
      </c>
      <c r="E60" s="85" t="s">
        <v>83</v>
      </c>
      <c r="F60" s="85" t="s">
        <v>441</v>
      </c>
      <c r="G60" s="2">
        <v>41883</v>
      </c>
      <c r="H60" s="85" t="s">
        <v>255</v>
      </c>
      <c r="I60" s="85" t="s">
        <v>256</v>
      </c>
      <c r="J60" s="85" t="s">
        <v>257</v>
      </c>
      <c r="K60" s="85" t="s">
        <v>405</v>
      </c>
      <c r="L60" s="85" t="s">
        <v>258</v>
      </c>
      <c r="M60" s="85" t="s">
        <v>169</v>
      </c>
      <c r="N60" s="85" t="s">
        <v>169</v>
      </c>
      <c r="O60" s="85" t="s">
        <v>170</v>
      </c>
      <c r="P60" s="85" t="s">
        <v>442</v>
      </c>
      <c r="Q60" s="85" t="s">
        <v>443</v>
      </c>
      <c r="R60" s="85">
        <v>3</v>
      </c>
      <c r="S60" s="85">
        <v>70</v>
      </c>
      <c r="T60" s="2">
        <v>44103</v>
      </c>
      <c r="U60" s="2">
        <v>44130</v>
      </c>
    </row>
    <row r="61" spans="1:21" x14ac:dyDescent="0.2">
      <c r="A61" s="3" t="str">
        <f>HYPERLINK("http://www.ofsted.gov.uk/inspection-reports/find-inspection-report/provider/ELS/136613 ","Ofsted School Webpage")</f>
        <v>Ofsted School Webpage</v>
      </c>
      <c r="B61" s="85">
        <v>136613</v>
      </c>
      <c r="C61" s="85">
        <v>3844026</v>
      </c>
      <c r="D61" s="85" t="s">
        <v>444</v>
      </c>
      <c r="E61" s="85" t="s">
        <v>82</v>
      </c>
      <c r="F61" s="85" t="s">
        <v>400</v>
      </c>
      <c r="G61" s="2">
        <v>40634</v>
      </c>
      <c r="H61" s="85" t="s">
        <v>275</v>
      </c>
      <c r="I61" s="85" t="s">
        <v>276</v>
      </c>
      <c r="J61" s="85" t="s">
        <v>257</v>
      </c>
      <c r="K61" s="85" t="s">
        <v>257</v>
      </c>
      <c r="L61" s="85" t="s">
        <v>258</v>
      </c>
      <c r="M61" s="85" t="s">
        <v>236</v>
      </c>
      <c r="N61" s="85" t="s">
        <v>218</v>
      </c>
      <c r="O61" s="85" t="s">
        <v>223</v>
      </c>
      <c r="P61" s="85" t="s">
        <v>445</v>
      </c>
      <c r="Q61" s="85" t="s">
        <v>446</v>
      </c>
      <c r="R61" s="85">
        <v>5</v>
      </c>
      <c r="S61" s="85">
        <v>1025</v>
      </c>
      <c r="T61" s="2">
        <v>44103</v>
      </c>
      <c r="U61" s="2">
        <v>44146</v>
      </c>
    </row>
    <row r="62" spans="1:21" x14ac:dyDescent="0.2">
      <c r="A62" s="3" t="str">
        <f>HYPERLINK("http://www.ofsted.gov.uk/inspection-reports/find-inspection-report/provider/ELS/137549 ","Ofsted School Webpage")</f>
        <v>Ofsted School Webpage</v>
      </c>
      <c r="B62" s="85">
        <v>137549</v>
      </c>
      <c r="C62" s="85">
        <v>8834394</v>
      </c>
      <c r="D62" s="85" t="s">
        <v>447</v>
      </c>
      <c r="E62" s="85" t="s">
        <v>82</v>
      </c>
      <c r="F62" s="85" t="s">
        <v>400</v>
      </c>
      <c r="G62" s="2">
        <v>40817</v>
      </c>
      <c r="H62" s="85" t="s">
        <v>275</v>
      </c>
      <c r="I62" s="85" t="s">
        <v>276</v>
      </c>
      <c r="J62" s="85" t="s">
        <v>405</v>
      </c>
      <c r="K62" s="85" t="s">
        <v>257</v>
      </c>
      <c r="L62" s="85" t="s">
        <v>258</v>
      </c>
      <c r="M62" s="85" t="s">
        <v>95</v>
      </c>
      <c r="N62" s="85" t="s">
        <v>95</v>
      </c>
      <c r="O62" s="85" t="s">
        <v>98</v>
      </c>
      <c r="P62" s="85" t="s">
        <v>98</v>
      </c>
      <c r="Q62" s="85" t="s">
        <v>448</v>
      </c>
      <c r="R62" s="85">
        <v>2</v>
      </c>
      <c r="S62" s="85">
        <v>1354</v>
      </c>
      <c r="T62" s="2">
        <v>44103</v>
      </c>
      <c r="U62" s="2">
        <v>44123</v>
      </c>
    </row>
    <row r="63" spans="1:21" x14ac:dyDescent="0.2">
      <c r="A63" s="3" t="str">
        <f>HYPERLINK("http://www.ofsted.gov.uk/inspection-reports/find-inspection-report/provider/ELS/142817 ","Ofsted School Webpage")</f>
        <v>Ofsted School Webpage</v>
      </c>
      <c r="B63" s="85">
        <v>142817</v>
      </c>
      <c r="C63" s="85">
        <v>8872017</v>
      </c>
      <c r="D63" s="85" t="s">
        <v>449</v>
      </c>
      <c r="E63" s="85" t="s">
        <v>81</v>
      </c>
      <c r="F63" s="85" t="s">
        <v>404</v>
      </c>
      <c r="G63" s="2">
        <v>42522</v>
      </c>
      <c r="H63" s="85" t="s">
        <v>255</v>
      </c>
      <c r="I63" s="85" t="s">
        <v>256</v>
      </c>
      <c r="J63" s="85" t="s">
        <v>257</v>
      </c>
      <c r="K63" s="85" t="s">
        <v>450</v>
      </c>
      <c r="L63" s="85" t="s">
        <v>258</v>
      </c>
      <c r="M63" s="85" t="s">
        <v>169</v>
      </c>
      <c r="N63" s="85" t="s">
        <v>169</v>
      </c>
      <c r="O63" s="85" t="s">
        <v>172</v>
      </c>
      <c r="P63" s="85" t="s">
        <v>451</v>
      </c>
      <c r="Q63" s="85" t="s">
        <v>452</v>
      </c>
      <c r="R63" s="85">
        <v>4</v>
      </c>
      <c r="S63" s="85">
        <v>623</v>
      </c>
      <c r="T63" s="2">
        <v>44103</v>
      </c>
      <c r="U63" s="2">
        <v>44119</v>
      </c>
    </row>
    <row r="64" spans="1:21" x14ac:dyDescent="0.2">
      <c r="A64" s="3" t="str">
        <f>HYPERLINK("http://www.ofsted.gov.uk/inspection-reports/find-inspection-report/provider/ELS/142221 ","Ofsted School Webpage")</f>
        <v>Ofsted School Webpage</v>
      </c>
      <c r="B64" s="85">
        <v>142221</v>
      </c>
      <c r="C64" s="85">
        <v>9192051</v>
      </c>
      <c r="D64" s="85" t="s">
        <v>453</v>
      </c>
      <c r="E64" s="85" t="s">
        <v>81</v>
      </c>
      <c r="F64" s="85" t="s">
        <v>454</v>
      </c>
      <c r="G64" s="2">
        <v>42620</v>
      </c>
      <c r="H64" s="85" t="s">
        <v>450</v>
      </c>
      <c r="I64" s="85" t="s">
        <v>256</v>
      </c>
      <c r="J64" s="85" t="s">
        <v>455</v>
      </c>
      <c r="K64" s="85" t="s">
        <v>342</v>
      </c>
      <c r="L64" s="85" t="s">
        <v>335</v>
      </c>
      <c r="M64" s="85" t="s">
        <v>95</v>
      </c>
      <c r="N64" s="85" t="s">
        <v>95</v>
      </c>
      <c r="O64" s="85" t="s">
        <v>102</v>
      </c>
      <c r="P64" s="85" t="s">
        <v>456</v>
      </c>
      <c r="Q64" s="85" t="s">
        <v>457</v>
      </c>
      <c r="R64" s="85">
        <v>2</v>
      </c>
      <c r="S64" s="85">
        <v>177</v>
      </c>
      <c r="T64" s="2">
        <v>44103</v>
      </c>
      <c r="U64" s="2">
        <v>44145</v>
      </c>
    </row>
    <row r="65" spans="1:21" x14ac:dyDescent="0.2">
      <c r="A65" s="3" t="str">
        <f>HYPERLINK("http://www.ofsted.gov.uk/inspection-reports/find-inspection-report/provider/ELS/135904 ","Ofsted School Webpage")</f>
        <v>Ofsted School Webpage</v>
      </c>
      <c r="B65" s="85">
        <v>135904</v>
      </c>
      <c r="C65" s="85">
        <v>9266906</v>
      </c>
      <c r="D65" s="85" t="s">
        <v>458</v>
      </c>
      <c r="E65" s="85" t="s">
        <v>82</v>
      </c>
      <c r="F65" s="85" t="s">
        <v>404</v>
      </c>
      <c r="G65" s="2">
        <v>40057</v>
      </c>
      <c r="H65" s="85" t="s">
        <v>275</v>
      </c>
      <c r="I65" s="85" t="s">
        <v>276</v>
      </c>
      <c r="J65" s="85" t="s">
        <v>257</v>
      </c>
      <c r="K65" s="85" t="s">
        <v>405</v>
      </c>
      <c r="L65" s="85" t="s">
        <v>258</v>
      </c>
      <c r="M65" s="85" t="s">
        <v>95</v>
      </c>
      <c r="N65" s="85" t="s">
        <v>95</v>
      </c>
      <c r="O65" s="85" t="s">
        <v>103</v>
      </c>
      <c r="P65" s="85" t="s">
        <v>459</v>
      </c>
      <c r="Q65" s="85" t="s">
        <v>460</v>
      </c>
      <c r="R65" s="85">
        <v>5</v>
      </c>
      <c r="S65" s="85">
        <v>604</v>
      </c>
      <c r="T65" s="2">
        <v>44103</v>
      </c>
      <c r="U65" s="2">
        <v>44147</v>
      </c>
    </row>
    <row r="66" spans="1:21" x14ac:dyDescent="0.2">
      <c r="A66" s="3" t="str">
        <f>HYPERLINK("http://www.ofsted.gov.uk/inspection-reports/find-inspection-report/provider/ELS/136146 ","Ofsted School Webpage")</f>
        <v>Ofsted School Webpage</v>
      </c>
      <c r="B66" s="85">
        <v>136146</v>
      </c>
      <c r="C66" s="85">
        <v>8086906</v>
      </c>
      <c r="D66" s="85" t="s">
        <v>461</v>
      </c>
      <c r="E66" s="85" t="s">
        <v>82</v>
      </c>
      <c r="F66" s="85" t="s">
        <v>404</v>
      </c>
      <c r="G66" s="2">
        <v>40422</v>
      </c>
      <c r="H66" s="85" t="s">
        <v>275</v>
      </c>
      <c r="I66" s="85" t="s">
        <v>255</v>
      </c>
      <c r="J66" s="85" t="s">
        <v>257</v>
      </c>
      <c r="K66" s="85" t="s">
        <v>405</v>
      </c>
      <c r="L66" s="85" t="s">
        <v>258</v>
      </c>
      <c r="M66" s="85" t="s">
        <v>236</v>
      </c>
      <c r="N66" s="85" t="s">
        <v>135</v>
      </c>
      <c r="O66" s="85" t="s">
        <v>139</v>
      </c>
      <c r="P66" s="85" t="s">
        <v>462</v>
      </c>
      <c r="Q66" s="85" t="s">
        <v>463</v>
      </c>
      <c r="R66" s="85">
        <v>5</v>
      </c>
      <c r="S66" s="85">
        <v>633</v>
      </c>
      <c r="T66" s="2">
        <v>44103</v>
      </c>
      <c r="U66" s="2">
        <v>44151</v>
      </c>
    </row>
    <row r="67" spans="1:21" x14ac:dyDescent="0.2">
      <c r="A67" s="3" t="str">
        <f>HYPERLINK("http://www.ofsted.gov.uk/inspection-reports/find-inspection-report/provider/ELS/136576 ","Ofsted School Webpage")</f>
        <v>Ofsted School Webpage</v>
      </c>
      <c r="B67" s="85">
        <v>136576</v>
      </c>
      <c r="C67" s="85">
        <v>3114003</v>
      </c>
      <c r="D67" s="85" t="s">
        <v>464</v>
      </c>
      <c r="E67" s="85" t="s">
        <v>82</v>
      </c>
      <c r="F67" s="85" t="s">
        <v>400</v>
      </c>
      <c r="G67" s="2">
        <v>40634</v>
      </c>
      <c r="H67" s="85" t="s">
        <v>275</v>
      </c>
      <c r="I67" s="85" t="s">
        <v>256</v>
      </c>
      <c r="J67" s="85" t="s">
        <v>405</v>
      </c>
      <c r="K67" s="85" t="s">
        <v>257</v>
      </c>
      <c r="L67" s="85" t="s">
        <v>258</v>
      </c>
      <c r="M67" s="85" t="s">
        <v>107</v>
      </c>
      <c r="N67" s="85" t="s">
        <v>107</v>
      </c>
      <c r="O67" s="85" t="s">
        <v>109</v>
      </c>
      <c r="P67" s="85" t="s">
        <v>465</v>
      </c>
      <c r="Q67" s="85" t="s">
        <v>466</v>
      </c>
      <c r="R67" s="85">
        <v>4</v>
      </c>
      <c r="S67" s="85">
        <v>690</v>
      </c>
      <c r="T67" s="2">
        <v>44103</v>
      </c>
      <c r="U67" s="2">
        <v>44119</v>
      </c>
    </row>
    <row r="68" spans="1:21" x14ac:dyDescent="0.2">
      <c r="A68" s="3" t="str">
        <f>HYPERLINK("http://www.ofsted.gov.uk/inspection-reports/find-inspection-report/provider/ELS/141038 ","Ofsted School Webpage")</f>
        <v>Ofsted School Webpage</v>
      </c>
      <c r="B68" s="85">
        <v>141038</v>
      </c>
      <c r="C68" s="85">
        <v>9384011</v>
      </c>
      <c r="D68" s="85" t="s">
        <v>467</v>
      </c>
      <c r="E68" s="85" t="s">
        <v>82</v>
      </c>
      <c r="F68" s="85" t="s">
        <v>454</v>
      </c>
      <c r="G68" s="2">
        <v>41883</v>
      </c>
      <c r="H68" s="85" t="s">
        <v>450</v>
      </c>
      <c r="I68" s="85" t="s">
        <v>256</v>
      </c>
      <c r="J68" s="85" t="s">
        <v>405</v>
      </c>
      <c r="K68" s="85" t="s">
        <v>405</v>
      </c>
      <c r="L68" s="85" t="s">
        <v>258</v>
      </c>
      <c r="M68" s="85" t="s">
        <v>169</v>
      </c>
      <c r="N68" s="85" t="s">
        <v>169</v>
      </c>
      <c r="O68" s="85" t="s">
        <v>177</v>
      </c>
      <c r="P68" s="85" t="s">
        <v>468</v>
      </c>
      <c r="Q68" s="85" t="s">
        <v>469</v>
      </c>
      <c r="R68" s="85">
        <v>3</v>
      </c>
      <c r="S68" s="85">
        <v>761</v>
      </c>
      <c r="T68" s="2">
        <v>44103</v>
      </c>
      <c r="U68" s="2">
        <v>44139</v>
      </c>
    </row>
    <row r="69" spans="1:21" x14ac:dyDescent="0.2">
      <c r="A69" s="3" t="str">
        <f>HYPERLINK("http://www.ofsted.gov.uk/inspection-reports/find-inspection-report/provider/ELS/139691 ","Ofsted School Webpage")</f>
        <v>Ofsted School Webpage</v>
      </c>
      <c r="B69" s="85">
        <v>139691</v>
      </c>
      <c r="C69" s="85">
        <v>8417000</v>
      </c>
      <c r="D69" s="85" t="s">
        <v>470</v>
      </c>
      <c r="E69" s="85" t="s">
        <v>83</v>
      </c>
      <c r="F69" s="85" t="s">
        <v>471</v>
      </c>
      <c r="G69" s="2">
        <v>41518</v>
      </c>
      <c r="H69" s="85" t="s">
        <v>255</v>
      </c>
      <c r="I69" s="85" t="s">
        <v>256</v>
      </c>
      <c r="J69" s="85" t="s">
        <v>257</v>
      </c>
      <c r="K69" s="85" t="s">
        <v>405</v>
      </c>
      <c r="L69" s="85" t="s">
        <v>258</v>
      </c>
      <c r="M69" s="85" t="s">
        <v>236</v>
      </c>
      <c r="N69" s="85" t="s">
        <v>135</v>
      </c>
      <c r="O69" s="85" t="s">
        <v>140</v>
      </c>
      <c r="P69" s="85" t="s">
        <v>140</v>
      </c>
      <c r="Q69" s="85" t="s">
        <v>472</v>
      </c>
      <c r="R69" s="85">
        <v>4</v>
      </c>
      <c r="S69" s="85">
        <v>32</v>
      </c>
      <c r="T69" s="2">
        <v>44103</v>
      </c>
      <c r="U69" s="2">
        <v>44150</v>
      </c>
    </row>
    <row r="70" spans="1:21" x14ac:dyDescent="0.2">
      <c r="A70" s="3" t="str">
        <f>HYPERLINK("http://www.ofsted.gov.uk/inspection-reports/find-inspection-report/provider/ELS/142469 ","Ofsted School Webpage")</f>
        <v>Ofsted School Webpage</v>
      </c>
      <c r="B70" s="85">
        <v>142469</v>
      </c>
      <c r="C70" s="85">
        <v>8904003</v>
      </c>
      <c r="D70" s="85" t="s">
        <v>473</v>
      </c>
      <c r="E70" s="85" t="s">
        <v>82</v>
      </c>
      <c r="F70" s="85" t="s">
        <v>404</v>
      </c>
      <c r="G70" s="2">
        <v>42461</v>
      </c>
      <c r="H70" s="85" t="s">
        <v>275</v>
      </c>
      <c r="I70" s="85" t="s">
        <v>256</v>
      </c>
      <c r="J70" s="85" t="s">
        <v>257</v>
      </c>
      <c r="K70" s="85" t="s">
        <v>405</v>
      </c>
      <c r="L70" s="85" t="s">
        <v>258</v>
      </c>
      <c r="M70" s="85" t="s">
        <v>148</v>
      </c>
      <c r="N70" s="85" t="s">
        <v>148</v>
      </c>
      <c r="O70" s="85" t="s">
        <v>157</v>
      </c>
      <c r="P70" s="85" t="s">
        <v>474</v>
      </c>
      <c r="Q70" s="85" t="s">
        <v>475</v>
      </c>
      <c r="R70" s="85">
        <v>5</v>
      </c>
      <c r="S70" s="85">
        <v>727</v>
      </c>
      <c r="T70" s="2">
        <v>44103</v>
      </c>
      <c r="U70" s="2">
        <v>44145</v>
      </c>
    </row>
    <row r="71" spans="1:21" x14ac:dyDescent="0.2">
      <c r="A71" s="3" t="str">
        <f>HYPERLINK("http://www.ofsted.gov.uk/inspection-reports/find-inspection-report/provider/ELS/145348 ","Ofsted School Webpage")</f>
        <v>Ofsted School Webpage</v>
      </c>
      <c r="B71" s="85">
        <v>145348</v>
      </c>
      <c r="C71" s="85">
        <v>3074030</v>
      </c>
      <c r="D71" s="85" t="s">
        <v>476</v>
      </c>
      <c r="E71" s="85" t="s">
        <v>82</v>
      </c>
      <c r="F71" s="85" t="s">
        <v>400</v>
      </c>
      <c r="G71" s="2">
        <v>43101</v>
      </c>
      <c r="H71" s="85" t="s">
        <v>275</v>
      </c>
      <c r="I71" s="85" t="s">
        <v>276</v>
      </c>
      <c r="J71" s="85" t="s">
        <v>257</v>
      </c>
      <c r="K71" s="85" t="s">
        <v>257</v>
      </c>
      <c r="L71" s="85" t="s">
        <v>258</v>
      </c>
      <c r="M71" s="85" t="s">
        <v>107</v>
      </c>
      <c r="N71" s="85" t="s">
        <v>107</v>
      </c>
      <c r="O71" s="85" t="s">
        <v>108</v>
      </c>
      <c r="P71" s="85" t="s">
        <v>477</v>
      </c>
      <c r="Q71" s="85" t="s">
        <v>478</v>
      </c>
      <c r="R71" s="85">
        <v>3</v>
      </c>
      <c r="S71" s="85">
        <v>1442</v>
      </c>
      <c r="T71" s="2">
        <v>44103</v>
      </c>
      <c r="U71" s="2">
        <v>44131</v>
      </c>
    </row>
    <row r="72" spans="1:21" x14ac:dyDescent="0.2">
      <c r="A72" s="3" t="str">
        <f>HYPERLINK("http://www.ofsted.gov.uk/inspection-reports/find-inspection-report/provider/ELS/145450 ","Ofsted School Webpage")</f>
        <v>Ofsted School Webpage</v>
      </c>
      <c r="B72" s="85">
        <v>145450</v>
      </c>
      <c r="C72" s="85">
        <v>8512658</v>
      </c>
      <c r="D72" s="85" t="s">
        <v>479</v>
      </c>
      <c r="E72" s="85" t="s">
        <v>81</v>
      </c>
      <c r="F72" s="85" t="s">
        <v>400</v>
      </c>
      <c r="G72" s="2">
        <v>43132</v>
      </c>
      <c r="H72" s="85" t="s">
        <v>255</v>
      </c>
      <c r="I72" s="85" t="s">
        <v>256</v>
      </c>
      <c r="J72" s="85" t="s">
        <v>257</v>
      </c>
      <c r="K72" s="85" t="s">
        <v>257</v>
      </c>
      <c r="L72" s="85" t="s">
        <v>258</v>
      </c>
      <c r="M72" s="85" t="s">
        <v>169</v>
      </c>
      <c r="N72" s="85" t="s">
        <v>169</v>
      </c>
      <c r="O72" s="85" t="s">
        <v>173</v>
      </c>
      <c r="P72" s="85" t="s">
        <v>480</v>
      </c>
      <c r="Q72" s="85" t="s">
        <v>481</v>
      </c>
      <c r="R72" s="85">
        <v>4</v>
      </c>
      <c r="S72" s="85">
        <v>472</v>
      </c>
      <c r="T72" s="2">
        <v>44103</v>
      </c>
      <c r="U72" s="2">
        <v>44119</v>
      </c>
    </row>
    <row r="73" spans="1:21" x14ac:dyDescent="0.2">
      <c r="A73" s="3" t="str">
        <f>HYPERLINK("http://www.ofsted.gov.uk/inspection-reports/find-inspection-report/provider/ELS/145671 ","Ofsted School Webpage")</f>
        <v>Ofsted School Webpage</v>
      </c>
      <c r="B73" s="85">
        <v>145671</v>
      </c>
      <c r="C73" s="85">
        <v>8073007</v>
      </c>
      <c r="D73" s="85" t="s">
        <v>482</v>
      </c>
      <c r="E73" s="85" t="s">
        <v>81</v>
      </c>
      <c r="F73" s="85" t="s">
        <v>400</v>
      </c>
      <c r="G73" s="2">
        <v>43191</v>
      </c>
      <c r="H73" s="85" t="s">
        <v>255</v>
      </c>
      <c r="I73" s="85" t="s">
        <v>256</v>
      </c>
      <c r="J73" s="85" t="s">
        <v>342</v>
      </c>
      <c r="K73" s="85" t="s">
        <v>257</v>
      </c>
      <c r="L73" s="85" t="s">
        <v>335</v>
      </c>
      <c r="M73" s="85" t="s">
        <v>236</v>
      </c>
      <c r="N73" s="85" t="s">
        <v>135</v>
      </c>
      <c r="O73" s="85" t="s">
        <v>141</v>
      </c>
      <c r="P73" s="85" t="s">
        <v>483</v>
      </c>
      <c r="Q73" s="85" t="s">
        <v>484</v>
      </c>
      <c r="R73" s="85">
        <v>5</v>
      </c>
      <c r="S73" s="85">
        <v>346</v>
      </c>
      <c r="T73" s="2">
        <v>44103</v>
      </c>
      <c r="U73" s="2">
        <v>44154</v>
      </c>
    </row>
    <row r="74" spans="1:21" x14ac:dyDescent="0.2">
      <c r="A74" s="3" t="str">
        <f>HYPERLINK("http://www.ofsted.gov.uk/inspection-reports/find-inspection-report/provider/ELS/143181 ","Ofsted School Webpage")</f>
        <v>Ofsted School Webpage</v>
      </c>
      <c r="B74" s="85">
        <v>143181</v>
      </c>
      <c r="C74" s="85">
        <v>8302240</v>
      </c>
      <c r="D74" s="85" t="s">
        <v>485</v>
      </c>
      <c r="E74" s="85" t="s">
        <v>81</v>
      </c>
      <c r="F74" s="85" t="s">
        <v>400</v>
      </c>
      <c r="G74" s="2">
        <v>42614</v>
      </c>
      <c r="H74" s="85" t="s">
        <v>255</v>
      </c>
      <c r="I74" s="85" t="s">
        <v>256</v>
      </c>
      <c r="J74" s="85" t="s">
        <v>257</v>
      </c>
      <c r="K74" s="85" t="s">
        <v>257</v>
      </c>
      <c r="L74" s="85" t="s">
        <v>258</v>
      </c>
      <c r="M74" s="85" t="s">
        <v>85</v>
      </c>
      <c r="N74" s="85" t="s">
        <v>85</v>
      </c>
      <c r="O74" s="85" t="s">
        <v>86</v>
      </c>
      <c r="P74" s="85" t="s">
        <v>289</v>
      </c>
      <c r="Q74" s="85" t="s">
        <v>486</v>
      </c>
      <c r="R74" s="85">
        <v>5</v>
      </c>
      <c r="S74" s="85">
        <v>104</v>
      </c>
      <c r="T74" s="2">
        <v>44103</v>
      </c>
      <c r="U74" s="2">
        <v>44144</v>
      </c>
    </row>
    <row r="75" spans="1:21" x14ac:dyDescent="0.2">
      <c r="A75" s="3" t="str">
        <f>HYPERLINK("http://www.ofsted.gov.uk/inspection-reports/find-inspection-report/provider/ELS/140586 ","Ofsted School Webpage")</f>
        <v>Ofsted School Webpage</v>
      </c>
      <c r="B75" s="85">
        <v>140586</v>
      </c>
      <c r="C75" s="85">
        <v>3364117</v>
      </c>
      <c r="D75" s="85" t="s">
        <v>487</v>
      </c>
      <c r="E75" s="85" t="s">
        <v>82</v>
      </c>
      <c r="F75" s="85" t="s">
        <v>400</v>
      </c>
      <c r="G75" s="2">
        <v>41671</v>
      </c>
      <c r="H75" s="85" t="s">
        <v>275</v>
      </c>
      <c r="I75" s="85" t="s">
        <v>276</v>
      </c>
      <c r="J75" s="85" t="s">
        <v>257</v>
      </c>
      <c r="K75" s="85" t="s">
        <v>257</v>
      </c>
      <c r="L75" s="85" t="s">
        <v>258</v>
      </c>
      <c r="M75" s="85" t="s">
        <v>203</v>
      </c>
      <c r="N75" s="85" t="s">
        <v>203</v>
      </c>
      <c r="O75" s="85" t="s">
        <v>208</v>
      </c>
      <c r="P75" s="85" t="s">
        <v>259</v>
      </c>
      <c r="Q75" s="85" t="s">
        <v>488</v>
      </c>
      <c r="R75" s="85">
        <v>4</v>
      </c>
      <c r="S75" s="85">
        <v>862</v>
      </c>
      <c r="T75" s="2">
        <v>44103</v>
      </c>
      <c r="U75" s="2">
        <v>44144</v>
      </c>
    </row>
    <row r="76" spans="1:21" x14ac:dyDescent="0.2">
      <c r="A76" s="3" t="str">
        <f>HYPERLINK("http://www.ofsted.gov.uk/inspection-reports/find-inspection-report/provider/ELS/139517 ","Ofsted School Webpage")</f>
        <v>Ofsted School Webpage</v>
      </c>
      <c r="B76" s="85">
        <v>139517</v>
      </c>
      <c r="C76" s="85">
        <v>8224605</v>
      </c>
      <c r="D76" s="85" t="s">
        <v>489</v>
      </c>
      <c r="E76" s="85" t="s">
        <v>82</v>
      </c>
      <c r="F76" s="85" t="s">
        <v>400</v>
      </c>
      <c r="G76" s="2">
        <v>41365</v>
      </c>
      <c r="H76" s="85" t="s">
        <v>275</v>
      </c>
      <c r="I76" s="85" t="s">
        <v>276</v>
      </c>
      <c r="J76" s="85" t="s">
        <v>334</v>
      </c>
      <c r="K76" s="85" t="s">
        <v>257</v>
      </c>
      <c r="L76" s="85" t="s">
        <v>335</v>
      </c>
      <c r="M76" s="85" t="s">
        <v>95</v>
      </c>
      <c r="N76" s="85" t="s">
        <v>95</v>
      </c>
      <c r="O76" s="85" t="s">
        <v>96</v>
      </c>
      <c r="P76" s="85" t="s">
        <v>490</v>
      </c>
      <c r="Q76" s="85" t="s">
        <v>491</v>
      </c>
      <c r="R76" s="85">
        <v>3</v>
      </c>
      <c r="S76" s="85">
        <v>971</v>
      </c>
      <c r="T76" s="2">
        <v>44103</v>
      </c>
      <c r="U76" s="2">
        <v>44123</v>
      </c>
    </row>
    <row r="77" spans="1:21" x14ac:dyDescent="0.2">
      <c r="A77" s="3" t="str">
        <f>HYPERLINK("http://www.ofsted.gov.uk/inspection-reports/find-inspection-report/provider/ELS/144136 ","Ofsted School Webpage")</f>
        <v>Ofsted School Webpage</v>
      </c>
      <c r="B77" s="85">
        <v>144136</v>
      </c>
      <c r="C77" s="85">
        <v>8062331</v>
      </c>
      <c r="D77" s="85" t="s">
        <v>492</v>
      </c>
      <c r="E77" s="85" t="s">
        <v>81</v>
      </c>
      <c r="F77" s="85" t="s">
        <v>400</v>
      </c>
      <c r="G77" s="2">
        <v>42826</v>
      </c>
      <c r="H77" s="85" t="s">
        <v>255</v>
      </c>
      <c r="I77" s="85" t="s">
        <v>256</v>
      </c>
      <c r="J77" s="85" t="s">
        <v>257</v>
      </c>
      <c r="K77" s="85" t="s">
        <v>257</v>
      </c>
      <c r="L77" s="85" t="s">
        <v>258</v>
      </c>
      <c r="M77" s="85" t="s">
        <v>236</v>
      </c>
      <c r="N77" s="85" t="s">
        <v>135</v>
      </c>
      <c r="O77" s="85" t="s">
        <v>142</v>
      </c>
      <c r="P77" s="85" t="s">
        <v>142</v>
      </c>
      <c r="Q77" s="85" t="s">
        <v>493</v>
      </c>
      <c r="R77" s="85">
        <v>5</v>
      </c>
      <c r="S77" s="85">
        <v>649</v>
      </c>
      <c r="T77" s="2">
        <v>44103</v>
      </c>
      <c r="U77" s="2">
        <v>44145</v>
      </c>
    </row>
    <row r="78" spans="1:21" x14ac:dyDescent="0.2">
      <c r="A78" s="3" t="str">
        <f>HYPERLINK("http://www.ofsted.gov.uk/inspection-reports/find-inspection-report/provider/ELS/144072 ","Ofsted School Webpage")</f>
        <v>Ofsted School Webpage</v>
      </c>
      <c r="B78" s="85">
        <v>144072</v>
      </c>
      <c r="C78" s="85">
        <v>8782022</v>
      </c>
      <c r="D78" s="85" t="s">
        <v>494</v>
      </c>
      <c r="E78" s="85" t="s">
        <v>81</v>
      </c>
      <c r="F78" s="85" t="s">
        <v>400</v>
      </c>
      <c r="G78" s="2">
        <v>42826</v>
      </c>
      <c r="H78" s="85" t="s">
        <v>255</v>
      </c>
      <c r="I78" s="85" t="s">
        <v>256</v>
      </c>
      <c r="J78" s="85" t="s">
        <v>257</v>
      </c>
      <c r="K78" s="85" t="s">
        <v>257</v>
      </c>
      <c r="L78" s="85" t="s">
        <v>258</v>
      </c>
      <c r="M78" s="85" t="s">
        <v>188</v>
      </c>
      <c r="N78" s="85" t="s">
        <v>188</v>
      </c>
      <c r="O78" s="85" t="s">
        <v>197</v>
      </c>
      <c r="P78" s="85" t="s">
        <v>495</v>
      </c>
      <c r="Q78" s="85" t="s">
        <v>496</v>
      </c>
      <c r="R78" s="85">
        <v>3</v>
      </c>
      <c r="S78" s="85">
        <v>612</v>
      </c>
      <c r="T78" s="2">
        <v>44103</v>
      </c>
      <c r="U78" s="2">
        <v>44144</v>
      </c>
    </row>
    <row r="79" spans="1:21" x14ac:dyDescent="0.2">
      <c r="A79" s="3" t="str">
        <f>HYPERLINK("http://www.ofsted.gov.uk/inspection-reports/find-inspection-report/provider/ELS/144355 ","Ofsted School Webpage")</f>
        <v>Ofsted School Webpage</v>
      </c>
      <c r="B79" s="85">
        <v>144355</v>
      </c>
      <c r="C79" s="85">
        <v>3402006</v>
      </c>
      <c r="D79" s="85" t="s">
        <v>497</v>
      </c>
      <c r="E79" s="85" t="s">
        <v>81</v>
      </c>
      <c r="F79" s="85" t="s">
        <v>404</v>
      </c>
      <c r="G79" s="2">
        <v>42979</v>
      </c>
      <c r="H79" s="85" t="s">
        <v>255</v>
      </c>
      <c r="I79" s="85" t="s">
        <v>256</v>
      </c>
      <c r="J79" s="85" t="s">
        <v>257</v>
      </c>
      <c r="K79" s="85" t="s">
        <v>450</v>
      </c>
      <c r="L79" s="85" t="s">
        <v>258</v>
      </c>
      <c r="M79" s="85" t="s">
        <v>148</v>
      </c>
      <c r="N79" s="85" t="s">
        <v>148</v>
      </c>
      <c r="O79" s="85" t="s">
        <v>158</v>
      </c>
      <c r="P79" s="85" t="s">
        <v>158</v>
      </c>
      <c r="Q79" s="85" t="s">
        <v>498</v>
      </c>
      <c r="R79" s="85">
        <v>4</v>
      </c>
      <c r="S79" s="85">
        <v>225</v>
      </c>
      <c r="T79" s="2">
        <v>44103</v>
      </c>
      <c r="U79" s="2">
        <v>44154</v>
      </c>
    </row>
    <row r="80" spans="1:21" x14ac:dyDescent="0.2">
      <c r="A80" s="3" t="str">
        <f>HYPERLINK("http://www.ofsted.gov.uk/inspection-reports/find-inspection-report/provider/ELS/143466 ","Ofsted School Webpage")</f>
        <v>Ofsted School Webpage</v>
      </c>
      <c r="B80" s="85">
        <v>143466</v>
      </c>
      <c r="C80" s="85">
        <v>8153245</v>
      </c>
      <c r="D80" s="85" t="s">
        <v>499</v>
      </c>
      <c r="E80" s="85" t="s">
        <v>81</v>
      </c>
      <c r="F80" s="85" t="s">
        <v>400</v>
      </c>
      <c r="G80" s="2">
        <v>42767</v>
      </c>
      <c r="H80" s="85" t="s">
        <v>255</v>
      </c>
      <c r="I80" s="85" t="s">
        <v>256</v>
      </c>
      <c r="J80" s="85" t="s">
        <v>342</v>
      </c>
      <c r="K80" s="85" t="s">
        <v>257</v>
      </c>
      <c r="L80" s="85" t="s">
        <v>335</v>
      </c>
      <c r="M80" s="85" t="s">
        <v>236</v>
      </c>
      <c r="N80" s="85" t="s">
        <v>218</v>
      </c>
      <c r="O80" s="85" t="s">
        <v>224</v>
      </c>
      <c r="P80" s="85" t="s">
        <v>500</v>
      </c>
      <c r="Q80" s="85" t="s">
        <v>501</v>
      </c>
      <c r="R80" s="85">
        <v>1</v>
      </c>
      <c r="S80" s="85">
        <v>151</v>
      </c>
      <c r="T80" s="2">
        <v>44103</v>
      </c>
      <c r="U80" s="2">
        <v>44139</v>
      </c>
    </row>
    <row r="81" spans="1:21" x14ac:dyDescent="0.2">
      <c r="A81" s="3" t="str">
        <f>HYPERLINK("http://www.ofsted.gov.uk/inspection-reports/find-inspection-report/provider/ELS/143497 ","Ofsted School Webpage")</f>
        <v>Ofsted School Webpage</v>
      </c>
      <c r="B81" s="85">
        <v>143497</v>
      </c>
      <c r="C81" s="85">
        <v>9372049</v>
      </c>
      <c r="D81" s="85" t="s">
        <v>502</v>
      </c>
      <c r="E81" s="85" t="s">
        <v>81</v>
      </c>
      <c r="F81" s="85" t="s">
        <v>400</v>
      </c>
      <c r="G81" s="2">
        <v>43132</v>
      </c>
      <c r="H81" s="85" t="s">
        <v>255</v>
      </c>
      <c r="I81" s="85" t="s">
        <v>256</v>
      </c>
      <c r="J81" s="85" t="s">
        <v>257</v>
      </c>
      <c r="K81" s="85" t="s">
        <v>257</v>
      </c>
      <c r="L81" s="85" t="s">
        <v>258</v>
      </c>
      <c r="M81" s="85" t="s">
        <v>203</v>
      </c>
      <c r="N81" s="85" t="s">
        <v>203</v>
      </c>
      <c r="O81" s="85" t="s">
        <v>212</v>
      </c>
      <c r="P81" s="85" t="s">
        <v>503</v>
      </c>
      <c r="Q81" s="85" t="s">
        <v>504</v>
      </c>
      <c r="R81" s="85">
        <v>1</v>
      </c>
      <c r="S81" s="85">
        <v>99</v>
      </c>
      <c r="T81" s="2">
        <v>44105</v>
      </c>
      <c r="U81" s="2">
        <v>44147</v>
      </c>
    </row>
    <row r="82" spans="1:21" x14ac:dyDescent="0.2">
      <c r="A82" s="3" t="str">
        <f>HYPERLINK("http://www.ofsted.gov.uk/inspection-reports/find-inspection-report/provider/ELS/143331 ","Ofsted School Webpage")</f>
        <v>Ofsted School Webpage</v>
      </c>
      <c r="B82" s="85">
        <v>143331</v>
      </c>
      <c r="C82" s="85">
        <v>9333232</v>
      </c>
      <c r="D82" s="85" t="s">
        <v>505</v>
      </c>
      <c r="E82" s="85" t="s">
        <v>81</v>
      </c>
      <c r="F82" s="85" t="s">
        <v>400</v>
      </c>
      <c r="G82" s="2">
        <v>42675</v>
      </c>
      <c r="H82" s="85" t="s">
        <v>255</v>
      </c>
      <c r="I82" s="85" t="s">
        <v>256</v>
      </c>
      <c r="J82" s="85" t="s">
        <v>342</v>
      </c>
      <c r="K82" s="85" t="s">
        <v>257</v>
      </c>
      <c r="L82" s="85" t="s">
        <v>335</v>
      </c>
      <c r="M82" s="85" t="s">
        <v>188</v>
      </c>
      <c r="N82" s="85" t="s">
        <v>188</v>
      </c>
      <c r="O82" s="85" t="s">
        <v>195</v>
      </c>
      <c r="P82" s="85" t="s">
        <v>506</v>
      </c>
      <c r="Q82" s="85" t="s">
        <v>507</v>
      </c>
      <c r="R82" s="85">
        <v>3</v>
      </c>
      <c r="S82" s="85">
        <v>82</v>
      </c>
      <c r="T82" s="2">
        <v>44105</v>
      </c>
      <c r="U82" s="2">
        <v>44145</v>
      </c>
    </row>
    <row r="83" spans="1:21" x14ac:dyDescent="0.2">
      <c r="A83" s="3" t="str">
        <f>HYPERLINK("http://www.ofsted.gov.uk/inspection-reports/find-inspection-report/provider/ELS/141159 ","Ofsted School Webpage")</f>
        <v>Ofsted School Webpage</v>
      </c>
      <c r="B83" s="85">
        <v>141159</v>
      </c>
      <c r="C83" s="85">
        <v>9333189</v>
      </c>
      <c r="D83" s="85" t="s">
        <v>508</v>
      </c>
      <c r="E83" s="85" t="s">
        <v>81</v>
      </c>
      <c r="F83" s="85" t="s">
        <v>400</v>
      </c>
      <c r="G83" s="2">
        <v>41852</v>
      </c>
      <c r="H83" s="85" t="s">
        <v>255</v>
      </c>
      <c r="I83" s="85" t="s">
        <v>256</v>
      </c>
      <c r="J83" s="85" t="s">
        <v>342</v>
      </c>
      <c r="K83" s="85" t="s">
        <v>257</v>
      </c>
      <c r="L83" s="85" t="s">
        <v>335</v>
      </c>
      <c r="M83" s="85" t="s">
        <v>188</v>
      </c>
      <c r="N83" s="85" t="s">
        <v>188</v>
      </c>
      <c r="O83" s="85" t="s">
        <v>195</v>
      </c>
      <c r="P83" s="85" t="s">
        <v>509</v>
      </c>
      <c r="Q83" s="85" t="s">
        <v>510</v>
      </c>
      <c r="R83" s="85">
        <v>2</v>
      </c>
      <c r="S83" s="85">
        <v>207</v>
      </c>
      <c r="T83" s="2">
        <v>44105</v>
      </c>
      <c r="U83" s="2">
        <v>44146</v>
      </c>
    </row>
    <row r="84" spans="1:21" x14ac:dyDescent="0.2">
      <c r="A84" s="3" t="str">
        <f>HYPERLINK("http://www.ofsted.gov.uk/inspection-reports/find-inspection-report/provider/ELS/144528 ","Ofsted School Webpage")</f>
        <v>Ofsted School Webpage</v>
      </c>
      <c r="B84" s="85">
        <v>144528</v>
      </c>
      <c r="C84" s="85">
        <v>8222294</v>
      </c>
      <c r="D84" s="85" t="s">
        <v>511</v>
      </c>
      <c r="E84" s="85" t="s">
        <v>81</v>
      </c>
      <c r="F84" s="85" t="s">
        <v>400</v>
      </c>
      <c r="G84" s="2">
        <v>42887</v>
      </c>
      <c r="H84" s="85" t="s">
        <v>255</v>
      </c>
      <c r="I84" s="85" t="s">
        <v>256</v>
      </c>
      <c r="J84" s="85" t="s">
        <v>257</v>
      </c>
      <c r="K84" s="85" t="s">
        <v>257</v>
      </c>
      <c r="L84" s="85" t="s">
        <v>258</v>
      </c>
      <c r="M84" s="85" t="s">
        <v>95</v>
      </c>
      <c r="N84" s="85" t="s">
        <v>95</v>
      </c>
      <c r="O84" s="85" t="s">
        <v>96</v>
      </c>
      <c r="P84" s="85" t="s">
        <v>96</v>
      </c>
      <c r="Q84" s="85" t="s">
        <v>512</v>
      </c>
      <c r="R84" s="85">
        <v>4</v>
      </c>
      <c r="S84" s="85">
        <v>401</v>
      </c>
      <c r="T84" s="2">
        <v>44105</v>
      </c>
      <c r="U84" s="2">
        <v>44146</v>
      </c>
    </row>
    <row r="85" spans="1:21" x14ac:dyDescent="0.2">
      <c r="A85" s="3" t="str">
        <f>HYPERLINK("http://www.ofsted.gov.uk/inspection-reports/find-inspection-report/provider/ELS/144708 ","Ofsted School Webpage")</f>
        <v>Ofsted School Webpage</v>
      </c>
      <c r="B85" s="85">
        <v>144708</v>
      </c>
      <c r="C85" s="85">
        <v>8162028</v>
      </c>
      <c r="D85" s="85" t="s">
        <v>513</v>
      </c>
      <c r="E85" s="85" t="s">
        <v>81</v>
      </c>
      <c r="F85" s="85" t="s">
        <v>400</v>
      </c>
      <c r="G85" s="2">
        <v>43221</v>
      </c>
      <c r="H85" s="85" t="s">
        <v>255</v>
      </c>
      <c r="I85" s="85" t="s">
        <v>256</v>
      </c>
      <c r="J85" s="85" t="s">
        <v>257</v>
      </c>
      <c r="K85" s="85" t="s">
        <v>257</v>
      </c>
      <c r="L85" s="85" t="s">
        <v>258</v>
      </c>
      <c r="M85" s="85" t="s">
        <v>236</v>
      </c>
      <c r="N85" s="85" t="s">
        <v>218</v>
      </c>
      <c r="O85" s="85" t="s">
        <v>222</v>
      </c>
      <c r="P85" s="85" t="s">
        <v>397</v>
      </c>
      <c r="Q85" s="85" t="s">
        <v>514</v>
      </c>
      <c r="R85" s="85">
        <v>4</v>
      </c>
      <c r="S85" s="85">
        <v>313</v>
      </c>
      <c r="T85" s="2">
        <v>44105</v>
      </c>
      <c r="U85" s="2">
        <v>44146</v>
      </c>
    </row>
    <row r="86" spans="1:21" x14ac:dyDescent="0.2">
      <c r="A86" s="3" t="str">
        <f>HYPERLINK("http://www.ofsted.gov.uk/inspection-reports/find-inspection-report/provider/ELS/138776 ","Ofsted School Webpage")</f>
        <v>Ofsted School Webpage</v>
      </c>
      <c r="B86" s="85">
        <v>138776</v>
      </c>
      <c r="C86" s="85">
        <v>8314000</v>
      </c>
      <c r="D86" s="85" t="s">
        <v>515</v>
      </c>
      <c r="E86" s="85" t="s">
        <v>81</v>
      </c>
      <c r="F86" s="85" t="s">
        <v>454</v>
      </c>
      <c r="G86" s="2">
        <v>41153</v>
      </c>
      <c r="H86" s="85" t="s">
        <v>255</v>
      </c>
      <c r="I86" s="85" t="s">
        <v>256</v>
      </c>
      <c r="J86" s="85" t="s">
        <v>516</v>
      </c>
      <c r="K86" s="85" t="s">
        <v>405</v>
      </c>
      <c r="L86" s="85" t="s">
        <v>516</v>
      </c>
      <c r="M86" s="85" t="s">
        <v>85</v>
      </c>
      <c r="N86" s="85" t="s">
        <v>85</v>
      </c>
      <c r="O86" s="85" t="s">
        <v>91</v>
      </c>
      <c r="P86" s="85" t="s">
        <v>517</v>
      </c>
      <c r="Q86" s="85" t="s">
        <v>518</v>
      </c>
      <c r="R86" s="85">
        <v>5</v>
      </c>
      <c r="S86" s="85">
        <v>302</v>
      </c>
      <c r="T86" s="2">
        <v>44105</v>
      </c>
      <c r="U86" s="2">
        <v>44146</v>
      </c>
    </row>
    <row r="87" spans="1:21" x14ac:dyDescent="0.2">
      <c r="A87" s="3" t="str">
        <f>HYPERLINK("http://www.ofsted.gov.uk/inspection-reports/find-inspection-report/provider/ELS/139354 ","Ofsted School Webpage")</f>
        <v>Ofsted School Webpage</v>
      </c>
      <c r="B87" s="85">
        <v>139354</v>
      </c>
      <c r="C87" s="85">
        <v>3833363</v>
      </c>
      <c r="D87" s="85" t="s">
        <v>519</v>
      </c>
      <c r="E87" s="85" t="s">
        <v>81</v>
      </c>
      <c r="F87" s="85" t="s">
        <v>400</v>
      </c>
      <c r="G87" s="2">
        <v>41365</v>
      </c>
      <c r="H87" s="85" t="s">
        <v>255</v>
      </c>
      <c r="I87" s="85" t="s">
        <v>256</v>
      </c>
      <c r="J87" s="85" t="s">
        <v>334</v>
      </c>
      <c r="K87" s="85" t="s">
        <v>257</v>
      </c>
      <c r="L87" s="85" t="s">
        <v>335</v>
      </c>
      <c r="M87" s="85" t="s">
        <v>236</v>
      </c>
      <c r="N87" s="85" t="s">
        <v>218</v>
      </c>
      <c r="O87" s="85" t="s">
        <v>221</v>
      </c>
      <c r="P87" s="85" t="s">
        <v>520</v>
      </c>
      <c r="Q87" s="85" t="s">
        <v>521</v>
      </c>
      <c r="R87" s="85">
        <v>2</v>
      </c>
      <c r="S87" s="85">
        <v>215</v>
      </c>
      <c r="T87" s="2">
        <v>44105</v>
      </c>
      <c r="U87" s="2">
        <v>44158</v>
      </c>
    </row>
    <row r="88" spans="1:21" x14ac:dyDescent="0.2">
      <c r="A88" s="3" t="str">
        <f>HYPERLINK("http://www.ofsted.gov.uk/inspection-reports/find-inspection-report/provider/ELS/136974 ","Ofsted School Webpage")</f>
        <v>Ofsted School Webpage</v>
      </c>
      <c r="B88" s="85">
        <v>136974</v>
      </c>
      <c r="C88" s="85">
        <v>8735403</v>
      </c>
      <c r="D88" s="85" t="s">
        <v>522</v>
      </c>
      <c r="E88" s="85" t="s">
        <v>82</v>
      </c>
      <c r="F88" s="85" t="s">
        <v>400</v>
      </c>
      <c r="G88" s="2">
        <v>40756</v>
      </c>
      <c r="H88" s="85" t="s">
        <v>275</v>
      </c>
      <c r="I88" s="85" t="s">
        <v>276</v>
      </c>
      <c r="J88" s="85" t="s">
        <v>405</v>
      </c>
      <c r="K88" s="85" t="s">
        <v>257</v>
      </c>
      <c r="L88" s="85" t="s">
        <v>258</v>
      </c>
      <c r="M88" s="85" t="s">
        <v>95</v>
      </c>
      <c r="N88" s="85" t="s">
        <v>95</v>
      </c>
      <c r="O88" s="85" t="s">
        <v>97</v>
      </c>
      <c r="P88" s="85" t="s">
        <v>523</v>
      </c>
      <c r="Q88" s="85" t="s">
        <v>524</v>
      </c>
      <c r="R88" s="85">
        <v>1</v>
      </c>
      <c r="S88" s="85">
        <v>850</v>
      </c>
      <c r="T88" s="2">
        <v>44105</v>
      </c>
      <c r="U88" s="2">
        <v>44145</v>
      </c>
    </row>
    <row r="89" spans="1:21" x14ac:dyDescent="0.2">
      <c r="A89" s="3" t="str">
        <f>HYPERLINK("http://www.ofsted.gov.uk/inspection-reports/find-inspection-report/provider/ELS/145286 ","Ofsted School Webpage")</f>
        <v>Ofsted School Webpage</v>
      </c>
      <c r="B89" s="85">
        <v>145286</v>
      </c>
      <c r="C89" s="85">
        <v>8724048</v>
      </c>
      <c r="D89" s="85" t="s">
        <v>525</v>
      </c>
      <c r="E89" s="85" t="s">
        <v>82</v>
      </c>
      <c r="F89" s="85" t="s">
        <v>400</v>
      </c>
      <c r="G89" s="2">
        <v>43132</v>
      </c>
      <c r="H89" s="85" t="s">
        <v>275</v>
      </c>
      <c r="I89" s="85" t="s">
        <v>276</v>
      </c>
      <c r="J89" s="85" t="s">
        <v>257</v>
      </c>
      <c r="K89" s="85" t="s">
        <v>257</v>
      </c>
      <c r="L89" s="85" t="s">
        <v>258</v>
      </c>
      <c r="M89" s="85" t="s">
        <v>169</v>
      </c>
      <c r="N89" s="85" t="s">
        <v>169</v>
      </c>
      <c r="O89" s="85" t="s">
        <v>178</v>
      </c>
      <c r="P89" s="85" t="s">
        <v>178</v>
      </c>
      <c r="Q89" s="85" t="s">
        <v>526</v>
      </c>
      <c r="R89" s="85">
        <v>1</v>
      </c>
      <c r="S89" s="85">
        <v>1181</v>
      </c>
      <c r="T89" s="2">
        <v>44105</v>
      </c>
      <c r="U89" s="2">
        <v>44144</v>
      </c>
    </row>
    <row r="90" spans="1:21" x14ac:dyDescent="0.2">
      <c r="A90" s="3" t="str">
        <f>HYPERLINK("http://www.ofsted.gov.uk/inspection-reports/find-inspection-report/provider/ELS/145955 ","Ofsted School Webpage")</f>
        <v>Ofsted School Webpage</v>
      </c>
      <c r="B90" s="85">
        <v>145955</v>
      </c>
      <c r="C90" s="85">
        <v>3082022</v>
      </c>
      <c r="D90" s="85" t="s">
        <v>527</v>
      </c>
      <c r="E90" s="85" t="s">
        <v>81</v>
      </c>
      <c r="F90" s="85" t="s">
        <v>400</v>
      </c>
      <c r="G90" s="2">
        <v>43221</v>
      </c>
      <c r="H90" s="85" t="s">
        <v>275</v>
      </c>
      <c r="I90" s="85" t="s">
        <v>255</v>
      </c>
      <c r="J90" s="85" t="s">
        <v>405</v>
      </c>
      <c r="K90" s="85" t="s">
        <v>257</v>
      </c>
      <c r="L90" s="85" t="s">
        <v>258</v>
      </c>
      <c r="M90" s="85" t="s">
        <v>107</v>
      </c>
      <c r="N90" s="85" t="s">
        <v>107</v>
      </c>
      <c r="O90" s="85" t="s">
        <v>115</v>
      </c>
      <c r="P90" s="85" t="s">
        <v>528</v>
      </c>
      <c r="Q90" s="85" t="s">
        <v>529</v>
      </c>
      <c r="R90" s="85">
        <v>5</v>
      </c>
      <c r="S90" s="85">
        <v>121</v>
      </c>
      <c r="T90" s="2">
        <v>44105</v>
      </c>
      <c r="U90" s="2">
        <v>44157</v>
      </c>
    </row>
    <row r="91" spans="1:21" x14ac:dyDescent="0.2">
      <c r="A91" s="3" t="str">
        <f>HYPERLINK("http://www.ofsted.gov.uk/inspection-reports/find-inspection-report/provider/ELS/146170 ","Ofsted School Webpage")</f>
        <v>Ofsted School Webpage</v>
      </c>
      <c r="B91" s="85">
        <v>146170</v>
      </c>
      <c r="C91" s="85">
        <v>9283048</v>
      </c>
      <c r="D91" s="85" t="s">
        <v>530</v>
      </c>
      <c r="E91" s="85" t="s">
        <v>81</v>
      </c>
      <c r="F91" s="85" t="s">
        <v>400</v>
      </c>
      <c r="G91" s="2">
        <v>43435</v>
      </c>
      <c r="H91" s="85" t="s">
        <v>255</v>
      </c>
      <c r="I91" s="85" t="s">
        <v>256</v>
      </c>
      <c r="J91" s="85" t="s">
        <v>342</v>
      </c>
      <c r="K91" s="85" t="s">
        <v>257</v>
      </c>
      <c r="L91" s="85" t="s">
        <v>335</v>
      </c>
      <c r="M91" s="85" t="s">
        <v>85</v>
      </c>
      <c r="N91" s="85" t="s">
        <v>85</v>
      </c>
      <c r="O91" s="85" t="s">
        <v>92</v>
      </c>
      <c r="P91" s="85" t="s">
        <v>531</v>
      </c>
      <c r="Q91" s="85" t="s">
        <v>532</v>
      </c>
      <c r="R91" s="85">
        <v>1</v>
      </c>
      <c r="S91" s="85">
        <v>385</v>
      </c>
      <c r="T91" s="2">
        <v>44105</v>
      </c>
      <c r="U91" s="2">
        <v>44144</v>
      </c>
    </row>
    <row r="92" spans="1:21" x14ac:dyDescent="0.2">
      <c r="A92" s="3" t="str">
        <f>HYPERLINK("http://www.ofsted.gov.uk/inspection-reports/find-inspection-report/provider/ELS/142464 ","Ofsted School Webpage")</f>
        <v>Ofsted School Webpage</v>
      </c>
      <c r="B92" s="85">
        <v>142464</v>
      </c>
      <c r="C92" s="85">
        <v>3712005</v>
      </c>
      <c r="D92" s="85" t="s">
        <v>533</v>
      </c>
      <c r="E92" s="85" t="s">
        <v>81</v>
      </c>
      <c r="F92" s="85" t="s">
        <v>404</v>
      </c>
      <c r="G92" s="2">
        <v>42461</v>
      </c>
      <c r="H92" s="85" t="s">
        <v>255</v>
      </c>
      <c r="I92" s="85" t="s">
        <v>256</v>
      </c>
      <c r="J92" s="85" t="s">
        <v>257</v>
      </c>
      <c r="K92" s="85" t="s">
        <v>405</v>
      </c>
      <c r="L92" s="85" t="s">
        <v>258</v>
      </c>
      <c r="M92" s="85" t="s">
        <v>236</v>
      </c>
      <c r="N92" s="85" t="s">
        <v>218</v>
      </c>
      <c r="O92" s="85" t="s">
        <v>225</v>
      </c>
      <c r="P92" s="85" t="s">
        <v>534</v>
      </c>
      <c r="Q92" s="85" t="s">
        <v>535</v>
      </c>
      <c r="R92" s="85">
        <v>4</v>
      </c>
      <c r="S92" s="85">
        <v>289</v>
      </c>
      <c r="T92" s="2">
        <v>44105</v>
      </c>
      <c r="U92" s="2">
        <v>44154</v>
      </c>
    </row>
    <row r="93" spans="1:21" x14ac:dyDescent="0.2">
      <c r="A93" s="3" t="str">
        <f>HYPERLINK("http://www.ofsted.gov.uk/inspection-reports/find-inspection-report/provider/ELS/145272 ","Ofsted School Webpage")</f>
        <v>Ofsted School Webpage</v>
      </c>
      <c r="B93" s="85">
        <v>145272</v>
      </c>
      <c r="C93" s="85">
        <v>8742451</v>
      </c>
      <c r="D93" s="85" t="s">
        <v>536</v>
      </c>
      <c r="E93" s="85" t="s">
        <v>81</v>
      </c>
      <c r="F93" s="85" t="s">
        <v>400</v>
      </c>
      <c r="G93" s="2">
        <v>43101</v>
      </c>
      <c r="H93" s="85" t="s">
        <v>255</v>
      </c>
      <c r="I93" s="85" t="s">
        <v>256</v>
      </c>
      <c r="J93" s="85" t="s">
        <v>257</v>
      </c>
      <c r="K93" s="85" t="s">
        <v>257</v>
      </c>
      <c r="L93" s="85" t="s">
        <v>258</v>
      </c>
      <c r="M93" s="85" t="s">
        <v>95</v>
      </c>
      <c r="N93" s="85" t="s">
        <v>95</v>
      </c>
      <c r="O93" s="85" t="s">
        <v>100</v>
      </c>
      <c r="P93" s="85" t="s">
        <v>100</v>
      </c>
      <c r="Q93" s="85" t="s">
        <v>537</v>
      </c>
      <c r="R93" s="85">
        <v>3</v>
      </c>
      <c r="S93" s="85">
        <v>411</v>
      </c>
      <c r="T93" s="2">
        <v>44105</v>
      </c>
      <c r="U93" s="2">
        <v>44147</v>
      </c>
    </row>
    <row r="94" spans="1:21" x14ac:dyDescent="0.2">
      <c r="A94" s="3" t="str">
        <f>HYPERLINK("http://www.ofsted.gov.uk/inspection-reports/find-inspection-report/provider/ELS/138641 ","Ofsted School Webpage")</f>
        <v>Ofsted School Webpage</v>
      </c>
      <c r="B94" s="85">
        <v>138641</v>
      </c>
      <c r="C94" s="85">
        <v>8914226</v>
      </c>
      <c r="D94" s="85" t="s">
        <v>538</v>
      </c>
      <c r="E94" s="85" t="s">
        <v>82</v>
      </c>
      <c r="F94" s="85" t="s">
        <v>400</v>
      </c>
      <c r="G94" s="2">
        <v>41153</v>
      </c>
      <c r="H94" s="85" t="s">
        <v>275</v>
      </c>
      <c r="I94" s="85" t="s">
        <v>276</v>
      </c>
      <c r="J94" s="85" t="s">
        <v>405</v>
      </c>
      <c r="K94" s="85" t="s">
        <v>257</v>
      </c>
      <c r="L94" s="85" t="s">
        <v>258</v>
      </c>
      <c r="M94" s="85" t="s">
        <v>85</v>
      </c>
      <c r="N94" s="85" t="s">
        <v>85</v>
      </c>
      <c r="O94" s="85" t="s">
        <v>90</v>
      </c>
      <c r="P94" s="85" t="s">
        <v>539</v>
      </c>
      <c r="Q94" s="85" t="s">
        <v>540</v>
      </c>
      <c r="R94" s="85">
        <v>3</v>
      </c>
      <c r="S94" s="85">
        <v>1326</v>
      </c>
      <c r="T94" s="2">
        <v>44105</v>
      </c>
      <c r="U94" s="2">
        <v>44146</v>
      </c>
    </row>
    <row r="95" spans="1:21" x14ac:dyDescent="0.2">
      <c r="A95" s="3" t="str">
        <f>HYPERLINK("http://www.ofsted.gov.uk/inspection-reports/find-inspection-report/provider/ELS/137294 ","Ofsted School Webpage")</f>
        <v>Ofsted School Webpage</v>
      </c>
      <c r="B95" s="85">
        <v>137294</v>
      </c>
      <c r="C95" s="85">
        <v>3534605</v>
      </c>
      <c r="D95" s="85" t="s">
        <v>541</v>
      </c>
      <c r="E95" s="85" t="s">
        <v>82</v>
      </c>
      <c r="F95" s="85" t="s">
        <v>400</v>
      </c>
      <c r="G95" s="2">
        <v>40772</v>
      </c>
      <c r="H95" s="85" t="s">
        <v>275</v>
      </c>
      <c r="I95" s="85" t="s">
        <v>276</v>
      </c>
      <c r="J95" s="85" t="s">
        <v>342</v>
      </c>
      <c r="K95" s="85" t="s">
        <v>257</v>
      </c>
      <c r="L95" s="85" t="s">
        <v>335</v>
      </c>
      <c r="M95" s="85" t="s">
        <v>148</v>
      </c>
      <c r="N95" s="85" t="s">
        <v>148</v>
      </c>
      <c r="O95" s="85" t="s">
        <v>152</v>
      </c>
      <c r="P95" s="85" t="s">
        <v>542</v>
      </c>
      <c r="Q95" s="85" t="s">
        <v>543</v>
      </c>
      <c r="R95" s="85">
        <v>3</v>
      </c>
      <c r="S95" s="85">
        <v>1494</v>
      </c>
      <c r="T95" s="2">
        <v>44105</v>
      </c>
      <c r="U95" s="2">
        <v>44158</v>
      </c>
    </row>
    <row r="96" spans="1:21" x14ac:dyDescent="0.2">
      <c r="A96" s="3" t="str">
        <f>HYPERLINK("http://www.ofsted.gov.uk/inspection-reports/find-inspection-report/provider/ELS/137008 ","Ofsted School Webpage")</f>
        <v>Ofsted School Webpage</v>
      </c>
      <c r="B96" s="85">
        <v>137008</v>
      </c>
      <c r="C96" s="85">
        <v>3344019</v>
      </c>
      <c r="D96" s="85" t="s">
        <v>544</v>
      </c>
      <c r="E96" s="85" t="s">
        <v>82</v>
      </c>
      <c r="F96" s="85" t="s">
        <v>400</v>
      </c>
      <c r="G96" s="2">
        <v>40756</v>
      </c>
      <c r="H96" s="85" t="s">
        <v>275</v>
      </c>
      <c r="I96" s="85" t="s">
        <v>256</v>
      </c>
      <c r="J96" s="85" t="s">
        <v>257</v>
      </c>
      <c r="K96" s="85" t="s">
        <v>257</v>
      </c>
      <c r="L96" s="85" t="s">
        <v>258</v>
      </c>
      <c r="M96" s="85" t="s">
        <v>203</v>
      </c>
      <c r="N96" s="85" t="s">
        <v>203</v>
      </c>
      <c r="O96" s="85" t="s">
        <v>213</v>
      </c>
      <c r="P96" s="85" t="s">
        <v>213</v>
      </c>
      <c r="Q96" s="85" t="s">
        <v>545</v>
      </c>
      <c r="R96" s="85">
        <v>2</v>
      </c>
      <c r="S96" s="85">
        <v>1160</v>
      </c>
      <c r="T96" s="2">
        <v>44105</v>
      </c>
      <c r="U96" s="2">
        <v>44140</v>
      </c>
    </row>
    <row r="97" spans="1:21" x14ac:dyDescent="0.2">
      <c r="A97" s="3" t="str">
        <f>HYPERLINK("http://www.ofsted.gov.uk/inspection-reports/find-inspection-report/provider/ELS/138773 ","Ofsted School Webpage")</f>
        <v>Ofsted School Webpage</v>
      </c>
      <c r="B97" s="85">
        <v>138773</v>
      </c>
      <c r="C97" s="85">
        <v>8802003</v>
      </c>
      <c r="D97" s="85" t="s">
        <v>546</v>
      </c>
      <c r="E97" s="85" t="s">
        <v>81</v>
      </c>
      <c r="F97" s="85" t="s">
        <v>400</v>
      </c>
      <c r="G97" s="2">
        <v>41153</v>
      </c>
      <c r="H97" s="85" t="s">
        <v>275</v>
      </c>
      <c r="I97" s="85" t="s">
        <v>255</v>
      </c>
      <c r="J97" s="85" t="s">
        <v>257</v>
      </c>
      <c r="K97" s="85" t="s">
        <v>257</v>
      </c>
      <c r="L97" s="85" t="s">
        <v>258</v>
      </c>
      <c r="M97" s="85" t="s">
        <v>188</v>
      </c>
      <c r="N97" s="85" t="s">
        <v>188</v>
      </c>
      <c r="O97" s="85" t="s">
        <v>192</v>
      </c>
      <c r="P97" s="85" t="s">
        <v>418</v>
      </c>
      <c r="Q97" s="85" t="s">
        <v>547</v>
      </c>
      <c r="R97" s="85">
        <v>5</v>
      </c>
      <c r="S97" s="85">
        <v>448</v>
      </c>
      <c r="T97" s="2">
        <v>44105</v>
      </c>
      <c r="U97" s="2">
        <v>44119</v>
      </c>
    </row>
    <row r="98" spans="1:21" x14ac:dyDescent="0.2">
      <c r="A98" s="3" t="str">
        <f>HYPERLINK("http://www.ofsted.gov.uk/inspection-reports/find-inspection-report/provider/ELS/139212 ","Ofsted School Webpage")</f>
        <v>Ofsted School Webpage</v>
      </c>
      <c r="B98" s="85">
        <v>139212</v>
      </c>
      <c r="C98" s="85">
        <v>3032022</v>
      </c>
      <c r="D98" s="85" t="s">
        <v>548</v>
      </c>
      <c r="E98" s="85" t="s">
        <v>81</v>
      </c>
      <c r="F98" s="85" t="s">
        <v>404</v>
      </c>
      <c r="G98" s="2">
        <v>41395</v>
      </c>
      <c r="H98" s="85" t="s">
        <v>255</v>
      </c>
      <c r="I98" s="85" t="s">
        <v>256</v>
      </c>
      <c r="J98" s="85" t="s">
        <v>342</v>
      </c>
      <c r="K98" s="85" t="s">
        <v>405</v>
      </c>
      <c r="L98" s="85" t="s">
        <v>335</v>
      </c>
      <c r="M98" s="85" t="s">
        <v>107</v>
      </c>
      <c r="N98" s="85" t="s">
        <v>107</v>
      </c>
      <c r="O98" s="85" t="s">
        <v>116</v>
      </c>
      <c r="P98" s="85" t="s">
        <v>549</v>
      </c>
      <c r="Q98" s="85" t="s">
        <v>550</v>
      </c>
      <c r="R98" s="85">
        <v>5</v>
      </c>
      <c r="S98" s="85">
        <v>551</v>
      </c>
      <c r="T98" s="2">
        <v>44105</v>
      </c>
      <c r="U98" s="2">
        <v>44152</v>
      </c>
    </row>
    <row r="99" spans="1:21" x14ac:dyDescent="0.2">
      <c r="A99" s="3" t="str">
        <f>HYPERLINK("http://www.ofsted.gov.uk/inspection-reports/find-inspection-report/provider/ELS/140858 ","Ofsted School Webpage")</f>
        <v>Ofsted School Webpage</v>
      </c>
      <c r="B99" s="85">
        <v>140858</v>
      </c>
      <c r="C99" s="85">
        <v>8602011</v>
      </c>
      <c r="D99" s="85" t="s">
        <v>551</v>
      </c>
      <c r="E99" s="85" t="s">
        <v>81</v>
      </c>
      <c r="F99" s="85" t="s">
        <v>404</v>
      </c>
      <c r="G99" s="2">
        <v>41821</v>
      </c>
      <c r="H99" s="85" t="s">
        <v>255</v>
      </c>
      <c r="I99" s="85" t="s">
        <v>256</v>
      </c>
      <c r="J99" s="85" t="s">
        <v>342</v>
      </c>
      <c r="K99" s="85" t="s">
        <v>405</v>
      </c>
      <c r="L99" s="85" t="s">
        <v>335</v>
      </c>
      <c r="M99" s="85" t="s">
        <v>203</v>
      </c>
      <c r="N99" s="85" t="s">
        <v>203</v>
      </c>
      <c r="O99" s="85" t="s">
        <v>206</v>
      </c>
      <c r="P99" s="85" t="s">
        <v>552</v>
      </c>
      <c r="Q99" s="85" t="s">
        <v>553</v>
      </c>
      <c r="R99" s="85">
        <v>3</v>
      </c>
      <c r="S99" s="85">
        <v>164</v>
      </c>
      <c r="T99" s="2">
        <v>44105</v>
      </c>
      <c r="U99" s="2">
        <v>44145</v>
      </c>
    </row>
    <row r="100" spans="1:21" x14ac:dyDescent="0.2">
      <c r="A100" s="3" t="str">
        <f>HYPERLINK("http://www.ofsted.gov.uk/inspection-reports/find-inspection-report/provider/ELS/136957 ","Ofsted School Webpage")</f>
        <v>Ofsted School Webpage</v>
      </c>
      <c r="B100" s="85">
        <v>136957</v>
      </c>
      <c r="C100" s="85">
        <v>9082754</v>
      </c>
      <c r="D100" s="85" t="s">
        <v>554</v>
      </c>
      <c r="E100" s="85" t="s">
        <v>81</v>
      </c>
      <c r="F100" s="85" t="s">
        <v>400</v>
      </c>
      <c r="G100" s="2">
        <v>40756</v>
      </c>
      <c r="H100" s="85" t="s">
        <v>255</v>
      </c>
      <c r="I100" s="85" t="s">
        <v>255</v>
      </c>
      <c r="J100" s="85" t="s">
        <v>257</v>
      </c>
      <c r="K100" s="85" t="s">
        <v>257</v>
      </c>
      <c r="L100" s="85" t="s">
        <v>258</v>
      </c>
      <c r="M100" s="85" t="s">
        <v>188</v>
      </c>
      <c r="N100" s="85" t="s">
        <v>188</v>
      </c>
      <c r="O100" s="85" t="s">
        <v>196</v>
      </c>
      <c r="P100" s="85" t="s">
        <v>555</v>
      </c>
      <c r="Q100" s="85" t="s">
        <v>556</v>
      </c>
      <c r="R100" s="85">
        <v>3</v>
      </c>
      <c r="S100" s="85">
        <v>332</v>
      </c>
      <c r="T100" s="2">
        <v>44105</v>
      </c>
      <c r="U100" s="2">
        <v>44138</v>
      </c>
    </row>
    <row r="101" spans="1:21" x14ac:dyDescent="0.2">
      <c r="A101" s="3" t="str">
        <f>HYPERLINK("http://www.ofsted.gov.uk/inspection-reports/find-inspection-report/provider/ELS/138452 ","Ofsted School Webpage")</f>
        <v>Ofsted School Webpage</v>
      </c>
      <c r="B101" s="85">
        <v>138452</v>
      </c>
      <c r="C101" s="85">
        <v>3352010</v>
      </c>
      <c r="D101" s="85" t="s">
        <v>557</v>
      </c>
      <c r="E101" s="85" t="s">
        <v>81</v>
      </c>
      <c r="F101" s="85" t="s">
        <v>404</v>
      </c>
      <c r="G101" s="2">
        <v>41153</v>
      </c>
      <c r="H101" s="85" t="s">
        <v>450</v>
      </c>
      <c r="I101" s="85" t="s">
        <v>255</v>
      </c>
      <c r="J101" s="85" t="s">
        <v>405</v>
      </c>
      <c r="K101" s="85" t="s">
        <v>405</v>
      </c>
      <c r="L101" s="85" t="s">
        <v>258</v>
      </c>
      <c r="M101" s="85" t="s">
        <v>203</v>
      </c>
      <c r="N101" s="85" t="s">
        <v>203</v>
      </c>
      <c r="O101" s="85" t="s">
        <v>207</v>
      </c>
      <c r="P101" s="85" t="s">
        <v>558</v>
      </c>
      <c r="Q101" s="85" t="s">
        <v>559</v>
      </c>
      <c r="R101" s="85">
        <v>5</v>
      </c>
      <c r="S101" s="85">
        <v>484</v>
      </c>
      <c r="T101" s="2">
        <v>44105</v>
      </c>
      <c r="U101" s="2">
        <v>44147</v>
      </c>
    </row>
    <row r="102" spans="1:21" x14ac:dyDescent="0.2">
      <c r="A102" s="3" t="str">
        <f>HYPERLINK("http://www.ofsted.gov.uk/inspection-reports/find-inspection-report/provider/ELS/141248 ","Ofsted School Webpage")</f>
        <v>Ofsted School Webpage</v>
      </c>
      <c r="B102" s="85">
        <v>141248</v>
      </c>
      <c r="C102" s="85">
        <v>3534027</v>
      </c>
      <c r="D102" s="85" t="s">
        <v>560</v>
      </c>
      <c r="E102" s="85" t="s">
        <v>82</v>
      </c>
      <c r="F102" s="85" t="s">
        <v>400</v>
      </c>
      <c r="G102" s="2">
        <v>41883</v>
      </c>
      <c r="H102" s="85" t="s">
        <v>275</v>
      </c>
      <c r="I102" s="85" t="s">
        <v>276</v>
      </c>
      <c r="J102" s="85" t="s">
        <v>405</v>
      </c>
      <c r="K102" s="85" t="s">
        <v>257</v>
      </c>
      <c r="L102" s="85" t="s">
        <v>258</v>
      </c>
      <c r="M102" s="85" t="s">
        <v>148</v>
      </c>
      <c r="N102" s="85" t="s">
        <v>148</v>
      </c>
      <c r="O102" s="85" t="s">
        <v>152</v>
      </c>
      <c r="P102" s="85" t="s">
        <v>421</v>
      </c>
      <c r="Q102" s="85" t="s">
        <v>561</v>
      </c>
      <c r="R102" s="85">
        <v>3</v>
      </c>
      <c r="S102" s="85">
        <v>1551</v>
      </c>
      <c r="T102" s="2">
        <v>44105</v>
      </c>
      <c r="U102" s="2">
        <v>44151</v>
      </c>
    </row>
    <row r="103" spans="1:21" x14ac:dyDescent="0.2">
      <c r="A103" s="3" t="str">
        <f>HYPERLINK("http://www.ofsted.gov.uk/inspection-reports/find-inspection-report/provider/ELS/136656 ","Ofsted School Webpage")</f>
        <v>Ofsted School Webpage</v>
      </c>
      <c r="B103" s="85">
        <v>136656</v>
      </c>
      <c r="C103" s="85">
        <v>3045400</v>
      </c>
      <c r="D103" s="85" t="s">
        <v>562</v>
      </c>
      <c r="E103" s="85" t="s">
        <v>82</v>
      </c>
      <c r="F103" s="85" t="s">
        <v>400</v>
      </c>
      <c r="G103" s="2">
        <v>40634</v>
      </c>
      <c r="H103" s="85" t="s">
        <v>275</v>
      </c>
      <c r="I103" s="85" t="s">
        <v>276</v>
      </c>
      <c r="J103" s="85" t="s">
        <v>405</v>
      </c>
      <c r="K103" s="85" t="s">
        <v>257</v>
      </c>
      <c r="L103" s="85" t="s">
        <v>258</v>
      </c>
      <c r="M103" s="85" t="s">
        <v>107</v>
      </c>
      <c r="N103" s="85" t="s">
        <v>107</v>
      </c>
      <c r="O103" s="85" t="s">
        <v>117</v>
      </c>
      <c r="P103" s="85" t="s">
        <v>563</v>
      </c>
      <c r="Q103" s="85" t="s">
        <v>564</v>
      </c>
      <c r="R103" s="85">
        <v>2</v>
      </c>
      <c r="S103" s="85">
        <v>1643</v>
      </c>
      <c r="T103" s="2">
        <v>44105</v>
      </c>
      <c r="U103" s="2">
        <v>44147</v>
      </c>
    </row>
    <row r="104" spans="1:21" x14ac:dyDescent="0.2">
      <c r="A104" s="3" t="str">
        <f>HYPERLINK("http://www.ofsted.gov.uk/inspection-reports/find-inspection-report/provider/ELS/141767 ","Ofsted School Webpage")</f>
        <v>Ofsted School Webpage</v>
      </c>
      <c r="B104" s="85">
        <v>141767</v>
      </c>
      <c r="C104" s="85">
        <v>8002239</v>
      </c>
      <c r="D104" s="85" t="s">
        <v>565</v>
      </c>
      <c r="E104" s="85" t="s">
        <v>81</v>
      </c>
      <c r="F104" s="85" t="s">
        <v>400</v>
      </c>
      <c r="G104" s="2">
        <v>42064</v>
      </c>
      <c r="H104" s="85" t="s">
        <v>255</v>
      </c>
      <c r="I104" s="85" t="s">
        <v>256</v>
      </c>
      <c r="J104" s="85" t="s">
        <v>257</v>
      </c>
      <c r="K104" s="85" t="s">
        <v>257</v>
      </c>
      <c r="L104" s="85" t="s">
        <v>258</v>
      </c>
      <c r="M104" s="85" t="s">
        <v>188</v>
      </c>
      <c r="N104" s="85" t="s">
        <v>188</v>
      </c>
      <c r="O104" s="85" t="s">
        <v>198</v>
      </c>
      <c r="P104" s="85" t="s">
        <v>566</v>
      </c>
      <c r="Q104" s="85" t="s">
        <v>567</v>
      </c>
      <c r="R104" s="85">
        <v>2</v>
      </c>
      <c r="S104" s="85">
        <v>132</v>
      </c>
      <c r="T104" s="2">
        <v>44105</v>
      </c>
      <c r="U104" s="2">
        <v>44147</v>
      </c>
    </row>
    <row r="105" spans="1:21" x14ac:dyDescent="0.2">
      <c r="A105" s="3" t="str">
        <f>HYPERLINK("http://www.ofsted.gov.uk/inspection-reports/find-inspection-report/provider/ELS/113051 ","Ofsted School Webpage")</f>
        <v>Ofsted School Webpage</v>
      </c>
      <c r="B105" s="85">
        <v>113051</v>
      </c>
      <c r="C105" s="85">
        <v>8791008</v>
      </c>
      <c r="D105" s="85" t="s">
        <v>568</v>
      </c>
      <c r="E105" s="85" t="s">
        <v>80</v>
      </c>
      <c r="F105" s="85" t="s">
        <v>569</v>
      </c>
      <c r="G105" s="85" t="s">
        <v>262</v>
      </c>
      <c r="H105" s="85" t="s">
        <v>255</v>
      </c>
      <c r="I105" s="85" t="s">
        <v>255</v>
      </c>
      <c r="J105" s="85" t="s">
        <v>257</v>
      </c>
      <c r="K105" s="85" t="s">
        <v>257</v>
      </c>
      <c r="L105" s="85" t="s">
        <v>258</v>
      </c>
      <c r="M105" s="85" t="s">
        <v>188</v>
      </c>
      <c r="N105" s="85" t="s">
        <v>188</v>
      </c>
      <c r="O105" s="85" t="s">
        <v>191</v>
      </c>
      <c r="P105" s="85" t="s">
        <v>570</v>
      </c>
      <c r="Q105" s="85" t="s">
        <v>571</v>
      </c>
      <c r="R105" s="85">
        <v>4</v>
      </c>
      <c r="S105" s="85">
        <v>68</v>
      </c>
      <c r="T105" s="2">
        <v>44105</v>
      </c>
      <c r="U105" s="2">
        <v>44123</v>
      </c>
    </row>
    <row r="106" spans="1:21" x14ac:dyDescent="0.2">
      <c r="A106" s="3" t="str">
        <f>HYPERLINK("http://www.ofsted.gov.uk/inspection-reports/find-inspection-report/provider/ELS/119093 ","Ofsted School Webpage")</f>
        <v>Ofsted School Webpage</v>
      </c>
      <c r="B106" s="85">
        <v>119093</v>
      </c>
      <c r="C106" s="85">
        <v>8881031</v>
      </c>
      <c r="D106" s="85" t="s">
        <v>572</v>
      </c>
      <c r="E106" s="85" t="s">
        <v>80</v>
      </c>
      <c r="F106" s="85" t="s">
        <v>569</v>
      </c>
      <c r="G106" s="85" t="s">
        <v>262</v>
      </c>
      <c r="H106" s="85" t="s">
        <v>255</v>
      </c>
      <c r="I106" s="85" t="s">
        <v>255</v>
      </c>
      <c r="J106" s="85" t="s">
        <v>257</v>
      </c>
      <c r="K106" s="85" t="s">
        <v>257</v>
      </c>
      <c r="L106" s="85" t="s">
        <v>258</v>
      </c>
      <c r="M106" s="85" t="s">
        <v>148</v>
      </c>
      <c r="N106" s="85" t="s">
        <v>148</v>
      </c>
      <c r="O106" s="85" t="s">
        <v>149</v>
      </c>
      <c r="P106" s="85" t="s">
        <v>352</v>
      </c>
      <c r="Q106" s="85" t="s">
        <v>573</v>
      </c>
      <c r="R106" s="85">
        <v>2</v>
      </c>
      <c r="S106" s="85">
        <v>60</v>
      </c>
      <c r="T106" s="2">
        <v>44105</v>
      </c>
      <c r="U106" s="2">
        <v>44153</v>
      </c>
    </row>
    <row r="107" spans="1:21" x14ac:dyDescent="0.2">
      <c r="A107" s="3" t="str">
        <f>HYPERLINK("http://www.ofsted.gov.uk/inspection-reports/find-inspection-report/provider/ELS/137100 ","Ofsted School Webpage")</f>
        <v>Ofsted School Webpage</v>
      </c>
      <c r="B107" s="85">
        <v>137100</v>
      </c>
      <c r="C107" s="85">
        <v>8604002</v>
      </c>
      <c r="D107" s="85" t="s">
        <v>574</v>
      </c>
      <c r="E107" s="85" t="s">
        <v>82</v>
      </c>
      <c r="F107" s="85" t="s">
        <v>404</v>
      </c>
      <c r="G107" s="2">
        <v>40787</v>
      </c>
      <c r="H107" s="85" t="s">
        <v>275</v>
      </c>
      <c r="I107" s="85" t="s">
        <v>276</v>
      </c>
      <c r="J107" s="85" t="s">
        <v>405</v>
      </c>
      <c r="K107" s="85" t="s">
        <v>405</v>
      </c>
      <c r="L107" s="85" t="s">
        <v>258</v>
      </c>
      <c r="M107" s="85" t="s">
        <v>203</v>
      </c>
      <c r="N107" s="85" t="s">
        <v>203</v>
      </c>
      <c r="O107" s="85" t="s">
        <v>206</v>
      </c>
      <c r="P107" s="85" t="s">
        <v>386</v>
      </c>
      <c r="Q107" s="85" t="s">
        <v>575</v>
      </c>
      <c r="R107" s="85">
        <v>3</v>
      </c>
      <c r="S107" s="85">
        <v>1179</v>
      </c>
      <c r="T107" s="2">
        <v>44105</v>
      </c>
      <c r="U107" s="2">
        <v>44146</v>
      </c>
    </row>
    <row r="108" spans="1:21" x14ac:dyDescent="0.2">
      <c r="A108" s="3" t="str">
        <f>HYPERLINK("http://www.ofsted.gov.uk/inspection-reports/find-inspection-report/provider/ELS/137566 ","Ofsted School Webpage")</f>
        <v>Ofsted School Webpage</v>
      </c>
      <c r="B108" s="85">
        <v>137566</v>
      </c>
      <c r="C108" s="85">
        <v>2062643</v>
      </c>
      <c r="D108" s="85" t="s">
        <v>576</v>
      </c>
      <c r="E108" s="85" t="s">
        <v>81</v>
      </c>
      <c r="F108" s="85" t="s">
        <v>400</v>
      </c>
      <c r="G108" s="2">
        <v>40817</v>
      </c>
      <c r="H108" s="85" t="s">
        <v>255</v>
      </c>
      <c r="I108" s="85" t="s">
        <v>255</v>
      </c>
      <c r="J108" s="85" t="s">
        <v>257</v>
      </c>
      <c r="K108" s="85" t="s">
        <v>257</v>
      </c>
      <c r="L108" s="85" t="s">
        <v>258</v>
      </c>
      <c r="M108" s="85" t="s">
        <v>107</v>
      </c>
      <c r="N108" s="85" t="s">
        <v>107</v>
      </c>
      <c r="O108" s="85" t="s">
        <v>118</v>
      </c>
      <c r="P108" s="85" t="s">
        <v>577</v>
      </c>
      <c r="Q108" s="85" t="s">
        <v>578</v>
      </c>
      <c r="R108" s="85">
        <v>5</v>
      </c>
      <c r="S108" s="85">
        <v>446</v>
      </c>
      <c r="T108" s="2">
        <v>44105</v>
      </c>
      <c r="U108" s="2">
        <v>44146</v>
      </c>
    </row>
    <row r="109" spans="1:21" x14ac:dyDescent="0.2">
      <c r="A109" s="3" t="str">
        <f>HYPERLINK("http://www.ofsted.gov.uk/inspection-reports/find-inspection-report/provider/ELS/123630 ","Ofsted School Webpage")</f>
        <v>Ofsted School Webpage</v>
      </c>
      <c r="B109" s="85">
        <v>123630</v>
      </c>
      <c r="C109" s="85">
        <v>8937006</v>
      </c>
      <c r="D109" s="85" t="s">
        <v>579</v>
      </c>
      <c r="E109" s="85" t="s">
        <v>83</v>
      </c>
      <c r="F109" s="85" t="s">
        <v>389</v>
      </c>
      <c r="G109" s="85" t="s">
        <v>262</v>
      </c>
      <c r="H109" s="85" t="s">
        <v>255</v>
      </c>
      <c r="I109" s="85" t="s">
        <v>255</v>
      </c>
      <c r="J109" s="85" t="s">
        <v>257</v>
      </c>
      <c r="K109" s="85" t="s">
        <v>257</v>
      </c>
      <c r="L109" s="85" t="s">
        <v>258</v>
      </c>
      <c r="M109" s="85" t="s">
        <v>203</v>
      </c>
      <c r="N109" s="85" t="s">
        <v>203</v>
      </c>
      <c r="O109" s="85" t="s">
        <v>214</v>
      </c>
      <c r="P109" s="85" t="s">
        <v>580</v>
      </c>
      <c r="Q109" s="85" t="s">
        <v>581</v>
      </c>
      <c r="R109" s="85">
        <v>4</v>
      </c>
      <c r="S109" s="85">
        <v>69</v>
      </c>
      <c r="T109" s="2">
        <v>44105</v>
      </c>
      <c r="U109" s="2">
        <v>44146</v>
      </c>
    </row>
    <row r="110" spans="1:21" x14ac:dyDescent="0.2">
      <c r="A110" s="3" t="str">
        <f>HYPERLINK("http://www.ofsted.gov.uk/inspection-reports/find-inspection-report/provider/ELS/131099 ","Ofsted School Webpage")</f>
        <v>Ofsted School Webpage</v>
      </c>
      <c r="B110" s="85">
        <v>131099</v>
      </c>
      <c r="C110" s="85">
        <v>8567221</v>
      </c>
      <c r="D110" s="85" t="s">
        <v>582</v>
      </c>
      <c r="E110" s="85" t="s">
        <v>83</v>
      </c>
      <c r="F110" s="85" t="s">
        <v>583</v>
      </c>
      <c r="G110" s="2">
        <v>38718</v>
      </c>
      <c r="H110" s="85" t="s">
        <v>255</v>
      </c>
      <c r="I110" s="85" t="s">
        <v>276</v>
      </c>
      <c r="J110" s="85" t="s">
        <v>257</v>
      </c>
      <c r="K110" s="85" t="s">
        <v>257</v>
      </c>
      <c r="L110" s="85" t="s">
        <v>258</v>
      </c>
      <c r="M110" s="85" t="s">
        <v>85</v>
      </c>
      <c r="N110" s="85" t="s">
        <v>85</v>
      </c>
      <c r="O110" s="85" t="s">
        <v>87</v>
      </c>
      <c r="P110" s="85" t="s">
        <v>584</v>
      </c>
      <c r="Q110" s="85" t="s">
        <v>585</v>
      </c>
      <c r="R110" s="85">
        <v>5</v>
      </c>
      <c r="S110" s="85">
        <v>178</v>
      </c>
      <c r="T110" s="2">
        <v>44105</v>
      </c>
      <c r="U110" s="2">
        <v>44119</v>
      </c>
    </row>
    <row r="111" spans="1:21" x14ac:dyDescent="0.2">
      <c r="A111" s="3" t="str">
        <f>HYPERLINK("http://www.ofsted.gov.uk/inspection-reports/find-inspection-report/provider/ELS/119889 ","Ofsted School Webpage")</f>
        <v>Ofsted School Webpage</v>
      </c>
      <c r="B111" s="85">
        <v>119889</v>
      </c>
      <c r="C111" s="85">
        <v>8887089</v>
      </c>
      <c r="D111" s="85" t="s">
        <v>586</v>
      </c>
      <c r="E111" s="85" t="s">
        <v>83</v>
      </c>
      <c r="F111" s="85" t="s">
        <v>389</v>
      </c>
      <c r="G111" s="85" t="s">
        <v>262</v>
      </c>
      <c r="H111" s="85" t="s">
        <v>255</v>
      </c>
      <c r="I111" s="85" t="s">
        <v>276</v>
      </c>
      <c r="J111" s="85" t="s">
        <v>257</v>
      </c>
      <c r="K111" s="85" t="s">
        <v>257</v>
      </c>
      <c r="L111" s="85" t="s">
        <v>258</v>
      </c>
      <c r="M111" s="85" t="s">
        <v>148</v>
      </c>
      <c r="N111" s="85" t="s">
        <v>148</v>
      </c>
      <c r="O111" s="85" t="s">
        <v>149</v>
      </c>
      <c r="P111" s="85" t="s">
        <v>587</v>
      </c>
      <c r="Q111" s="85" t="s">
        <v>588</v>
      </c>
      <c r="R111" s="85">
        <v>3</v>
      </c>
      <c r="S111" s="85">
        <v>122</v>
      </c>
      <c r="T111" s="2">
        <v>44105</v>
      </c>
      <c r="U111" s="2">
        <v>44124</v>
      </c>
    </row>
    <row r="112" spans="1:21" x14ac:dyDescent="0.2">
      <c r="A112" s="3" t="str">
        <f>HYPERLINK("http://www.ofsted.gov.uk/inspection-reports/find-inspection-report/provider/ELS/116116 ","Ofsted School Webpage")</f>
        <v>Ofsted School Webpage</v>
      </c>
      <c r="B112" s="85">
        <v>116116</v>
      </c>
      <c r="C112" s="85">
        <v>8522440</v>
      </c>
      <c r="D112" s="85" t="s">
        <v>589</v>
      </c>
      <c r="E112" s="85" t="s">
        <v>81</v>
      </c>
      <c r="F112" s="85" t="s">
        <v>382</v>
      </c>
      <c r="G112" s="85" t="s">
        <v>262</v>
      </c>
      <c r="H112" s="85" t="s">
        <v>255</v>
      </c>
      <c r="I112" s="85" t="s">
        <v>256</v>
      </c>
      <c r="J112" s="85" t="s">
        <v>257</v>
      </c>
      <c r="K112" s="85" t="s">
        <v>257</v>
      </c>
      <c r="L112" s="85" t="s">
        <v>258</v>
      </c>
      <c r="M112" s="85" t="s">
        <v>169</v>
      </c>
      <c r="N112" s="85" t="s">
        <v>169</v>
      </c>
      <c r="O112" s="85" t="s">
        <v>179</v>
      </c>
      <c r="P112" s="85" t="s">
        <v>590</v>
      </c>
      <c r="Q112" s="85" t="s">
        <v>591</v>
      </c>
      <c r="R112" s="85">
        <v>4</v>
      </c>
      <c r="S112" s="85">
        <v>405</v>
      </c>
      <c r="T112" s="2">
        <v>44105</v>
      </c>
      <c r="U112" s="2">
        <v>44158</v>
      </c>
    </row>
    <row r="113" spans="1:21" x14ac:dyDescent="0.2">
      <c r="A113" s="3" t="str">
        <f>HYPERLINK("http://www.ofsted.gov.uk/inspection-reports/find-inspection-report/provider/ELS/111396 ","Ofsted School Webpage")</f>
        <v>Ofsted School Webpage</v>
      </c>
      <c r="B113" s="85">
        <v>111396</v>
      </c>
      <c r="C113" s="85">
        <v>8964006</v>
      </c>
      <c r="D113" s="85" t="s">
        <v>592</v>
      </c>
      <c r="E113" s="85" t="s">
        <v>82</v>
      </c>
      <c r="F113" s="85" t="s">
        <v>382</v>
      </c>
      <c r="G113" s="85" t="s">
        <v>262</v>
      </c>
      <c r="H113" s="85" t="s">
        <v>275</v>
      </c>
      <c r="I113" s="85" t="s">
        <v>256</v>
      </c>
      <c r="J113" s="85" t="s">
        <v>405</v>
      </c>
      <c r="K113" s="85" t="s">
        <v>257</v>
      </c>
      <c r="L113" s="85" t="s">
        <v>258</v>
      </c>
      <c r="M113" s="85" t="s">
        <v>148</v>
      </c>
      <c r="N113" s="85" t="s">
        <v>148</v>
      </c>
      <c r="O113" s="85" t="s">
        <v>155</v>
      </c>
      <c r="P113" s="85" t="s">
        <v>593</v>
      </c>
      <c r="Q113" s="85" t="s">
        <v>594</v>
      </c>
      <c r="R113" s="85">
        <v>5</v>
      </c>
      <c r="S113" s="85">
        <v>607</v>
      </c>
      <c r="T113" s="2">
        <v>44105</v>
      </c>
      <c r="U113" s="2">
        <v>44157</v>
      </c>
    </row>
    <row r="114" spans="1:21" x14ac:dyDescent="0.2">
      <c r="A114" s="3" t="str">
        <f>HYPERLINK("http://www.ofsted.gov.uk/inspection-reports/find-inspection-report/provider/ELS/114505 ","Ofsted School Webpage")</f>
        <v>Ofsted School Webpage</v>
      </c>
      <c r="B114" s="85">
        <v>114505</v>
      </c>
      <c r="C114" s="85">
        <v>8453029</v>
      </c>
      <c r="D114" s="85" t="s">
        <v>595</v>
      </c>
      <c r="E114" s="85" t="s">
        <v>81</v>
      </c>
      <c r="F114" s="85" t="s">
        <v>360</v>
      </c>
      <c r="G114" s="85" t="s">
        <v>262</v>
      </c>
      <c r="H114" s="85" t="s">
        <v>255</v>
      </c>
      <c r="I114" s="85" t="s">
        <v>256</v>
      </c>
      <c r="J114" s="85" t="s">
        <v>342</v>
      </c>
      <c r="K114" s="85" t="s">
        <v>257</v>
      </c>
      <c r="L114" s="85" t="s">
        <v>335</v>
      </c>
      <c r="M114" s="85" t="s">
        <v>169</v>
      </c>
      <c r="N114" s="85" t="s">
        <v>169</v>
      </c>
      <c r="O114" s="85" t="s">
        <v>180</v>
      </c>
      <c r="P114" s="85" t="s">
        <v>596</v>
      </c>
      <c r="Q114" s="85" t="s">
        <v>597</v>
      </c>
      <c r="R114" s="85">
        <v>1</v>
      </c>
      <c r="S114" s="85">
        <v>97</v>
      </c>
      <c r="T114" s="2">
        <v>44105</v>
      </c>
      <c r="U114" s="2">
        <v>44145</v>
      </c>
    </row>
    <row r="115" spans="1:21" x14ac:dyDescent="0.2">
      <c r="A115" s="3" t="str">
        <f>HYPERLINK("http://www.ofsted.gov.uk/inspection-reports/find-inspection-report/provider/ELS/115471 ","Ofsted School Webpage")</f>
        <v>Ofsted School Webpage</v>
      </c>
      <c r="B115" s="85">
        <v>115471</v>
      </c>
      <c r="C115" s="85">
        <v>8817060</v>
      </c>
      <c r="D115" s="85" t="s">
        <v>598</v>
      </c>
      <c r="E115" s="85" t="s">
        <v>83</v>
      </c>
      <c r="F115" s="85" t="s">
        <v>389</v>
      </c>
      <c r="G115" s="85" t="s">
        <v>262</v>
      </c>
      <c r="H115" s="85" t="s">
        <v>255</v>
      </c>
      <c r="I115" s="85" t="s">
        <v>276</v>
      </c>
      <c r="J115" s="85" t="s">
        <v>257</v>
      </c>
      <c r="K115" s="85" t="s">
        <v>257</v>
      </c>
      <c r="L115" s="85" t="s">
        <v>258</v>
      </c>
      <c r="M115" s="85" t="s">
        <v>95</v>
      </c>
      <c r="N115" s="85" t="s">
        <v>95</v>
      </c>
      <c r="O115" s="85" t="s">
        <v>104</v>
      </c>
      <c r="P115" s="85" t="s">
        <v>599</v>
      </c>
      <c r="Q115" s="85" t="s">
        <v>600</v>
      </c>
      <c r="R115" s="85">
        <v>5</v>
      </c>
      <c r="S115" s="85">
        <v>141</v>
      </c>
      <c r="T115" s="2">
        <v>44105</v>
      </c>
      <c r="U115" s="2">
        <v>44146</v>
      </c>
    </row>
    <row r="116" spans="1:21" x14ac:dyDescent="0.2">
      <c r="A116" s="3" t="str">
        <f>HYPERLINK("http://www.ofsted.gov.uk/inspection-reports/find-inspection-report/provider/ELS/121486 ","Ofsted School Webpage")</f>
        <v>Ofsted School Webpage</v>
      </c>
      <c r="B116" s="85">
        <v>121486</v>
      </c>
      <c r="C116" s="85">
        <v>8153025</v>
      </c>
      <c r="D116" s="85" t="s">
        <v>601</v>
      </c>
      <c r="E116" s="85" t="s">
        <v>81</v>
      </c>
      <c r="F116" s="85" t="s">
        <v>360</v>
      </c>
      <c r="G116" s="85" t="s">
        <v>262</v>
      </c>
      <c r="H116" s="85" t="s">
        <v>255</v>
      </c>
      <c r="I116" s="85" t="s">
        <v>256</v>
      </c>
      <c r="J116" s="85" t="s">
        <v>342</v>
      </c>
      <c r="K116" s="85" t="s">
        <v>257</v>
      </c>
      <c r="L116" s="85" t="s">
        <v>335</v>
      </c>
      <c r="M116" s="85" t="s">
        <v>236</v>
      </c>
      <c r="N116" s="85" t="s">
        <v>218</v>
      </c>
      <c r="O116" s="85" t="s">
        <v>224</v>
      </c>
      <c r="P116" s="85" t="s">
        <v>602</v>
      </c>
      <c r="Q116" s="85" t="s">
        <v>603</v>
      </c>
      <c r="R116" s="85">
        <v>4</v>
      </c>
      <c r="S116" s="85">
        <v>32</v>
      </c>
      <c r="T116" s="2">
        <v>44105</v>
      </c>
      <c r="U116" s="2">
        <v>44139</v>
      </c>
    </row>
    <row r="117" spans="1:21" x14ac:dyDescent="0.2">
      <c r="A117" s="3" t="str">
        <f>HYPERLINK("http://www.ofsted.gov.uk/inspection-reports/find-inspection-report/provider/ELS/109252 ","Ofsted School Webpage")</f>
        <v>Ofsted School Webpage</v>
      </c>
      <c r="B117" s="85">
        <v>109252</v>
      </c>
      <c r="C117" s="85">
        <v>8013413</v>
      </c>
      <c r="D117" s="85" t="s">
        <v>604</v>
      </c>
      <c r="E117" s="85" t="s">
        <v>81</v>
      </c>
      <c r="F117" s="85" t="s">
        <v>333</v>
      </c>
      <c r="G117" s="2">
        <v>1</v>
      </c>
      <c r="H117" s="85" t="s">
        <v>255</v>
      </c>
      <c r="I117" s="85" t="s">
        <v>256</v>
      </c>
      <c r="J117" s="85" t="s">
        <v>334</v>
      </c>
      <c r="K117" s="85" t="s">
        <v>257</v>
      </c>
      <c r="L117" s="85" t="s">
        <v>335</v>
      </c>
      <c r="M117" s="85" t="s">
        <v>188</v>
      </c>
      <c r="N117" s="85" t="s">
        <v>188</v>
      </c>
      <c r="O117" s="85" t="s">
        <v>189</v>
      </c>
      <c r="P117" s="85" t="s">
        <v>406</v>
      </c>
      <c r="Q117" s="85" t="s">
        <v>605</v>
      </c>
      <c r="R117" s="85">
        <v>5</v>
      </c>
      <c r="S117" s="85">
        <v>106</v>
      </c>
      <c r="T117" s="2">
        <v>44105</v>
      </c>
      <c r="U117" s="2">
        <v>44119</v>
      </c>
    </row>
    <row r="118" spans="1:21" x14ac:dyDescent="0.2">
      <c r="A118" s="3" t="str">
        <f>HYPERLINK("http://www.ofsted.gov.uk/inspection-reports/find-inspection-report/provider/ELS/139122 ","Ofsted School Webpage")</f>
        <v>Ofsted School Webpage</v>
      </c>
      <c r="B118" s="85">
        <v>139122</v>
      </c>
      <c r="C118" s="85">
        <v>3182000</v>
      </c>
      <c r="D118" s="85" t="s">
        <v>606</v>
      </c>
      <c r="E118" s="85" t="s">
        <v>81</v>
      </c>
      <c r="F118" s="85" t="s">
        <v>333</v>
      </c>
      <c r="G118" s="2">
        <v>41533</v>
      </c>
      <c r="H118" s="85" t="s">
        <v>255</v>
      </c>
      <c r="I118" s="85" t="s">
        <v>256</v>
      </c>
      <c r="J118" s="85" t="s">
        <v>334</v>
      </c>
      <c r="K118" s="85" t="s">
        <v>257</v>
      </c>
      <c r="L118" s="85" t="s">
        <v>335</v>
      </c>
      <c r="M118" s="85" t="s">
        <v>107</v>
      </c>
      <c r="N118" s="85" t="s">
        <v>107</v>
      </c>
      <c r="O118" s="85" t="s">
        <v>119</v>
      </c>
      <c r="P118" s="85" t="s">
        <v>607</v>
      </c>
      <c r="Q118" s="85" t="s">
        <v>608</v>
      </c>
      <c r="R118" s="85">
        <v>1</v>
      </c>
      <c r="S118" s="85">
        <v>209</v>
      </c>
      <c r="T118" s="2">
        <v>44105</v>
      </c>
      <c r="U118" s="2">
        <v>44150</v>
      </c>
    </row>
    <row r="119" spans="1:21" x14ac:dyDescent="0.2">
      <c r="A119" s="3" t="str">
        <f>HYPERLINK("http://www.ofsted.gov.uk/inspection-reports/find-inspection-report/provider/ELS/116814 ","Ofsted School Webpage")</f>
        <v>Ofsted School Webpage</v>
      </c>
      <c r="B119" s="85">
        <v>116814</v>
      </c>
      <c r="C119" s="85">
        <v>8843047</v>
      </c>
      <c r="D119" s="85" t="s">
        <v>609</v>
      </c>
      <c r="E119" s="85" t="s">
        <v>81</v>
      </c>
      <c r="F119" s="85" t="s">
        <v>360</v>
      </c>
      <c r="G119" s="85" t="s">
        <v>262</v>
      </c>
      <c r="H119" s="85" t="s">
        <v>255</v>
      </c>
      <c r="I119" s="85" t="s">
        <v>256</v>
      </c>
      <c r="J119" s="85" t="s">
        <v>405</v>
      </c>
      <c r="K119" s="85" t="s">
        <v>257</v>
      </c>
      <c r="L119" s="85" t="s">
        <v>258</v>
      </c>
      <c r="M119" s="85" t="s">
        <v>203</v>
      </c>
      <c r="N119" s="85" t="s">
        <v>203</v>
      </c>
      <c r="O119" s="85" t="s">
        <v>204</v>
      </c>
      <c r="P119" s="85" t="s">
        <v>373</v>
      </c>
      <c r="Q119" s="85" t="s">
        <v>610</v>
      </c>
      <c r="R119" s="85">
        <v>2</v>
      </c>
      <c r="S119" s="85">
        <v>201</v>
      </c>
      <c r="T119" s="2">
        <v>44105</v>
      </c>
      <c r="U119" s="2">
        <v>44145</v>
      </c>
    </row>
    <row r="120" spans="1:21" x14ac:dyDescent="0.2">
      <c r="A120" s="3" t="str">
        <f>HYPERLINK("http://www.ofsted.gov.uk/inspection-reports/find-inspection-report/provider/ELS/112876 ","Ofsted School Webpage")</f>
        <v>Ofsted School Webpage</v>
      </c>
      <c r="B120" s="85">
        <v>112876</v>
      </c>
      <c r="C120" s="85">
        <v>8303162</v>
      </c>
      <c r="D120" s="85" t="s">
        <v>611</v>
      </c>
      <c r="E120" s="85" t="s">
        <v>81</v>
      </c>
      <c r="F120" s="85" t="s">
        <v>360</v>
      </c>
      <c r="G120" s="85" t="s">
        <v>262</v>
      </c>
      <c r="H120" s="85" t="s">
        <v>255</v>
      </c>
      <c r="I120" s="85" t="s">
        <v>256</v>
      </c>
      <c r="J120" s="85" t="s">
        <v>342</v>
      </c>
      <c r="K120" s="85" t="s">
        <v>257</v>
      </c>
      <c r="L120" s="85" t="s">
        <v>335</v>
      </c>
      <c r="M120" s="85" t="s">
        <v>85</v>
      </c>
      <c r="N120" s="85" t="s">
        <v>85</v>
      </c>
      <c r="O120" s="85" t="s">
        <v>86</v>
      </c>
      <c r="P120" s="85" t="s">
        <v>612</v>
      </c>
      <c r="Q120" s="85" t="s">
        <v>613</v>
      </c>
      <c r="R120" s="85">
        <v>3</v>
      </c>
      <c r="S120" s="85">
        <v>176</v>
      </c>
      <c r="T120" s="2">
        <v>44105</v>
      </c>
      <c r="U120" s="2">
        <v>44146</v>
      </c>
    </row>
    <row r="121" spans="1:21" x14ac:dyDescent="0.2">
      <c r="A121" s="3" t="str">
        <f>HYPERLINK("http://www.ofsted.gov.uk/inspection-reports/find-inspection-report/provider/ELS/108496 ","Ofsted School Webpage")</f>
        <v>Ofsted School Webpage</v>
      </c>
      <c r="B121" s="85">
        <v>108496</v>
      </c>
      <c r="C121" s="85">
        <v>3913472</v>
      </c>
      <c r="D121" s="85" t="s">
        <v>614</v>
      </c>
      <c r="E121" s="85" t="s">
        <v>81</v>
      </c>
      <c r="F121" s="85" t="s">
        <v>333</v>
      </c>
      <c r="G121" s="85" t="s">
        <v>262</v>
      </c>
      <c r="H121" s="85" t="s">
        <v>255</v>
      </c>
      <c r="I121" s="85" t="s">
        <v>256</v>
      </c>
      <c r="J121" s="85" t="s">
        <v>334</v>
      </c>
      <c r="K121" s="85" t="s">
        <v>257</v>
      </c>
      <c r="L121" s="85" t="s">
        <v>335</v>
      </c>
      <c r="M121" s="85" t="s">
        <v>236</v>
      </c>
      <c r="N121" s="85" t="s">
        <v>135</v>
      </c>
      <c r="O121" s="85" t="s">
        <v>136</v>
      </c>
      <c r="P121" s="85" t="s">
        <v>615</v>
      </c>
      <c r="Q121" s="85" t="s">
        <v>616</v>
      </c>
      <c r="R121" s="85">
        <v>2</v>
      </c>
      <c r="S121" s="85">
        <v>248</v>
      </c>
      <c r="T121" s="2">
        <v>44105</v>
      </c>
      <c r="U121" s="2">
        <v>44119</v>
      </c>
    </row>
    <row r="122" spans="1:21" x14ac:dyDescent="0.2">
      <c r="A122" s="3" t="str">
        <f>HYPERLINK("http://www.ofsted.gov.uk/inspection-reports/find-inspection-report/provider/ELS/114542 ","Ofsted School Webpage")</f>
        <v>Ofsted School Webpage</v>
      </c>
      <c r="B122" s="85">
        <v>114542</v>
      </c>
      <c r="C122" s="85">
        <v>8463314</v>
      </c>
      <c r="D122" s="85" t="s">
        <v>617</v>
      </c>
      <c r="E122" s="85" t="s">
        <v>81</v>
      </c>
      <c r="F122" s="85" t="s">
        <v>333</v>
      </c>
      <c r="G122" s="85" t="s">
        <v>262</v>
      </c>
      <c r="H122" s="85" t="s">
        <v>255</v>
      </c>
      <c r="I122" s="85" t="s">
        <v>256</v>
      </c>
      <c r="J122" s="85" t="s">
        <v>334</v>
      </c>
      <c r="K122" s="85" t="s">
        <v>257</v>
      </c>
      <c r="L122" s="85" t="s">
        <v>335</v>
      </c>
      <c r="M122" s="85" t="s">
        <v>169</v>
      </c>
      <c r="N122" s="85" t="s">
        <v>169</v>
      </c>
      <c r="O122" s="85" t="s">
        <v>181</v>
      </c>
      <c r="P122" s="85" t="s">
        <v>618</v>
      </c>
      <c r="Q122" s="85" t="s">
        <v>619</v>
      </c>
      <c r="R122" s="85">
        <v>5</v>
      </c>
      <c r="S122" s="85">
        <v>142</v>
      </c>
      <c r="T122" s="2">
        <v>44105</v>
      </c>
      <c r="U122" s="2">
        <v>44146</v>
      </c>
    </row>
    <row r="123" spans="1:21" x14ac:dyDescent="0.2">
      <c r="A123" s="3" t="str">
        <f>HYPERLINK("http://www.ofsted.gov.uk/inspection-reports/find-inspection-report/provider/ELS/118199 ","Ofsted School Webpage")</f>
        <v>Ofsted School Webpage</v>
      </c>
      <c r="B123" s="85">
        <v>118199</v>
      </c>
      <c r="C123" s="85">
        <v>9213314</v>
      </c>
      <c r="D123" s="85" t="s">
        <v>620</v>
      </c>
      <c r="E123" s="85" t="s">
        <v>81</v>
      </c>
      <c r="F123" s="85" t="s">
        <v>333</v>
      </c>
      <c r="G123" s="85" t="s">
        <v>262</v>
      </c>
      <c r="H123" s="85" t="s">
        <v>255</v>
      </c>
      <c r="I123" s="85" t="s">
        <v>256</v>
      </c>
      <c r="J123" s="85" t="s">
        <v>334</v>
      </c>
      <c r="K123" s="85" t="s">
        <v>257</v>
      </c>
      <c r="L123" s="85" t="s">
        <v>335</v>
      </c>
      <c r="M123" s="85" t="s">
        <v>169</v>
      </c>
      <c r="N123" s="85" t="s">
        <v>169</v>
      </c>
      <c r="O123" s="85" t="s">
        <v>182</v>
      </c>
      <c r="P123" s="85" t="s">
        <v>182</v>
      </c>
      <c r="Q123" s="85" t="s">
        <v>621</v>
      </c>
      <c r="R123" s="85">
        <v>3</v>
      </c>
      <c r="S123" s="85">
        <v>192</v>
      </c>
      <c r="T123" s="2">
        <v>44105</v>
      </c>
      <c r="U123" s="2">
        <v>44146</v>
      </c>
    </row>
    <row r="124" spans="1:21" x14ac:dyDescent="0.2">
      <c r="A124" s="3" t="str">
        <f>HYPERLINK("http://www.ofsted.gov.uk/inspection-reports/find-inspection-report/provider/ELS/121469 ","Ofsted School Webpage")</f>
        <v>Ofsted School Webpage</v>
      </c>
      <c r="B124" s="85">
        <v>121469</v>
      </c>
      <c r="C124" s="85">
        <v>8152430</v>
      </c>
      <c r="D124" s="85" t="s">
        <v>622</v>
      </c>
      <c r="E124" s="85" t="s">
        <v>81</v>
      </c>
      <c r="F124" s="85" t="s">
        <v>254</v>
      </c>
      <c r="G124" s="2">
        <v>1</v>
      </c>
      <c r="H124" s="85" t="s">
        <v>255</v>
      </c>
      <c r="I124" s="85" t="s">
        <v>256</v>
      </c>
      <c r="J124" s="85" t="s">
        <v>257</v>
      </c>
      <c r="K124" s="85" t="s">
        <v>257</v>
      </c>
      <c r="L124" s="85" t="s">
        <v>258</v>
      </c>
      <c r="M124" s="85" t="s">
        <v>236</v>
      </c>
      <c r="N124" s="85" t="s">
        <v>218</v>
      </c>
      <c r="O124" s="85" t="s">
        <v>224</v>
      </c>
      <c r="P124" s="85" t="s">
        <v>500</v>
      </c>
      <c r="Q124" s="85" t="s">
        <v>623</v>
      </c>
      <c r="R124" s="85">
        <v>2</v>
      </c>
      <c r="S124" s="85">
        <v>84</v>
      </c>
      <c r="T124" s="2">
        <v>44105</v>
      </c>
      <c r="U124" s="2">
        <v>44146</v>
      </c>
    </row>
    <row r="125" spans="1:21" x14ac:dyDescent="0.2">
      <c r="A125" s="3" t="str">
        <f>HYPERLINK("http://www.ofsted.gov.uk/inspection-reports/find-inspection-report/provider/ELS/105508 ","Ofsted School Webpage")</f>
        <v>Ofsted School Webpage</v>
      </c>
      <c r="B125" s="85">
        <v>105508</v>
      </c>
      <c r="C125" s="85">
        <v>3523316</v>
      </c>
      <c r="D125" s="85" t="s">
        <v>624</v>
      </c>
      <c r="E125" s="85" t="s">
        <v>81</v>
      </c>
      <c r="F125" s="85" t="s">
        <v>333</v>
      </c>
      <c r="G125" s="85" t="s">
        <v>262</v>
      </c>
      <c r="H125" s="85" t="s">
        <v>255</v>
      </c>
      <c r="I125" s="85" t="s">
        <v>256</v>
      </c>
      <c r="J125" s="85" t="s">
        <v>342</v>
      </c>
      <c r="K125" s="85" t="s">
        <v>257</v>
      </c>
      <c r="L125" s="85" t="s">
        <v>335</v>
      </c>
      <c r="M125" s="85" t="s">
        <v>148</v>
      </c>
      <c r="N125" s="85" t="s">
        <v>148</v>
      </c>
      <c r="O125" s="85" t="s">
        <v>151</v>
      </c>
      <c r="P125" s="85" t="s">
        <v>625</v>
      </c>
      <c r="Q125" s="85" t="s">
        <v>626</v>
      </c>
      <c r="R125" s="85">
        <v>5</v>
      </c>
      <c r="S125" s="85">
        <v>237</v>
      </c>
      <c r="T125" s="2">
        <v>44105</v>
      </c>
      <c r="U125" s="2">
        <v>44140</v>
      </c>
    </row>
    <row r="126" spans="1:21" x14ac:dyDescent="0.2">
      <c r="A126" s="3" t="str">
        <f>HYPERLINK("http://www.ofsted.gov.uk/inspection-reports/find-inspection-report/provider/ELS/119655 ","Ofsted School Webpage")</f>
        <v>Ofsted School Webpage</v>
      </c>
      <c r="B126" s="85">
        <v>119655</v>
      </c>
      <c r="C126" s="85">
        <v>8883759</v>
      </c>
      <c r="D126" s="85" t="s">
        <v>627</v>
      </c>
      <c r="E126" s="85" t="s">
        <v>81</v>
      </c>
      <c r="F126" s="85" t="s">
        <v>333</v>
      </c>
      <c r="G126" s="85" t="s">
        <v>262</v>
      </c>
      <c r="H126" s="85" t="s">
        <v>255</v>
      </c>
      <c r="I126" s="85" t="s">
        <v>256</v>
      </c>
      <c r="J126" s="85" t="s">
        <v>334</v>
      </c>
      <c r="K126" s="85" t="s">
        <v>257</v>
      </c>
      <c r="L126" s="85" t="s">
        <v>335</v>
      </c>
      <c r="M126" s="85" t="s">
        <v>148</v>
      </c>
      <c r="N126" s="85" t="s">
        <v>148</v>
      </c>
      <c r="O126" s="85" t="s">
        <v>149</v>
      </c>
      <c r="P126" s="85" t="s">
        <v>628</v>
      </c>
      <c r="Q126" s="85" t="s">
        <v>629</v>
      </c>
      <c r="R126" s="85">
        <v>4</v>
      </c>
      <c r="S126" s="85">
        <v>213</v>
      </c>
      <c r="T126" s="2">
        <v>44105</v>
      </c>
      <c r="U126" s="2">
        <v>44140</v>
      </c>
    </row>
    <row r="127" spans="1:21" x14ac:dyDescent="0.2">
      <c r="A127" s="3" t="str">
        <f>HYPERLINK("http://www.ofsted.gov.uk/inspection-reports/find-inspection-report/provider/ELS/109793 ","Ofsted School Webpage")</f>
        <v>Ofsted School Webpage</v>
      </c>
      <c r="B127" s="85">
        <v>109793</v>
      </c>
      <c r="C127" s="85">
        <v>8702024</v>
      </c>
      <c r="D127" s="85" t="s">
        <v>630</v>
      </c>
      <c r="E127" s="85" t="s">
        <v>81</v>
      </c>
      <c r="F127" s="85" t="s">
        <v>254</v>
      </c>
      <c r="G127" s="85" t="s">
        <v>262</v>
      </c>
      <c r="H127" s="85" t="s">
        <v>255</v>
      </c>
      <c r="I127" s="85" t="s">
        <v>256</v>
      </c>
      <c r="J127" s="85" t="s">
        <v>257</v>
      </c>
      <c r="K127" s="85" t="s">
        <v>257</v>
      </c>
      <c r="L127" s="85" t="s">
        <v>258</v>
      </c>
      <c r="M127" s="85" t="s">
        <v>169</v>
      </c>
      <c r="N127" s="85" t="s">
        <v>169</v>
      </c>
      <c r="O127" s="85" t="s">
        <v>183</v>
      </c>
      <c r="P127" s="85" t="s">
        <v>631</v>
      </c>
      <c r="Q127" s="85" t="s">
        <v>632</v>
      </c>
      <c r="R127" s="85">
        <v>3</v>
      </c>
      <c r="S127" s="85">
        <v>466</v>
      </c>
      <c r="T127" s="2">
        <v>44105</v>
      </c>
      <c r="U127" s="2">
        <v>44136</v>
      </c>
    </row>
    <row r="128" spans="1:21" x14ac:dyDescent="0.2">
      <c r="A128" s="3" t="str">
        <f>HYPERLINK("http://www.ofsted.gov.uk/inspection-reports/find-inspection-report/provider/ELS/112958 ","Ofsted School Webpage")</f>
        <v>Ofsted School Webpage</v>
      </c>
      <c r="B128" s="85">
        <v>112958</v>
      </c>
      <c r="C128" s="85">
        <v>8304192</v>
      </c>
      <c r="D128" s="85" t="s">
        <v>633</v>
      </c>
      <c r="E128" s="85" t="s">
        <v>82</v>
      </c>
      <c r="F128" s="85" t="s">
        <v>254</v>
      </c>
      <c r="G128" s="85" t="s">
        <v>262</v>
      </c>
      <c r="H128" s="85" t="s">
        <v>275</v>
      </c>
      <c r="I128" s="85" t="s">
        <v>256</v>
      </c>
      <c r="J128" s="85" t="s">
        <v>257</v>
      </c>
      <c r="K128" s="85" t="s">
        <v>257</v>
      </c>
      <c r="L128" s="85" t="s">
        <v>258</v>
      </c>
      <c r="M128" s="85" t="s">
        <v>85</v>
      </c>
      <c r="N128" s="85" t="s">
        <v>85</v>
      </c>
      <c r="O128" s="85" t="s">
        <v>86</v>
      </c>
      <c r="P128" s="85" t="s">
        <v>634</v>
      </c>
      <c r="Q128" s="85" t="s">
        <v>635</v>
      </c>
      <c r="R128" s="85">
        <v>4</v>
      </c>
      <c r="S128" s="85">
        <v>377</v>
      </c>
      <c r="T128" s="2">
        <v>44105</v>
      </c>
      <c r="U128" s="2">
        <v>44143</v>
      </c>
    </row>
    <row r="129" spans="1:21" x14ac:dyDescent="0.2">
      <c r="A129" s="3" t="str">
        <f>HYPERLINK("http://www.ofsted.gov.uk/inspection-reports/find-inspection-report/provider/ELS/114557 ","Ofsted School Webpage")</f>
        <v>Ofsted School Webpage</v>
      </c>
      <c r="B129" s="85">
        <v>114557</v>
      </c>
      <c r="C129" s="85">
        <v>8453330</v>
      </c>
      <c r="D129" s="85" t="s">
        <v>636</v>
      </c>
      <c r="E129" s="85" t="s">
        <v>81</v>
      </c>
      <c r="F129" s="85" t="s">
        <v>333</v>
      </c>
      <c r="G129" s="85" t="s">
        <v>262</v>
      </c>
      <c r="H129" s="85" t="s">
        <v>255</v>
      </c>
      <c r="I129" s="85" t="s">
        <v>256</v>
      </c>
      <c r="J129" s="85" t="s">
        <v>342</v>
      </c>
      <c r="K129" s="85" t="s">
        <v>257</v>
      </c>
      <c r="L129" s="85" t="s">
        <v>335</v>
      </c>
      <c r="M129" s="85" t="s">
        <v>169</v>
      </c>
      <c r="N129" s="85" t="s">
        <v>169</v>
      </c>
      <c r="O129" s="85" t="s">
        <v>180</v>
      </c>
      <c r="P129" s="85" t="s">
        <v>596</v>
      </c>
      <c r="Q129" s="85" t="s">
        <v>637</v>
      </c>
      <c r="R129" s="85">
        <v>1</v>
      </c>
      <c r="S129" s="85">
        <v>126</v>
      </c>
      <c r="T129" s="2">
        <v>44105</v>
      </c>
      <c r="U129" s="2">
        <v>44146</v>
      </c>
    </row>
    <row r="130" spans="1:21" x14ac:dyDescent="0.2">
      <c r="A130" s="3" t="str">
        <f>HYPERLINK("http://www.ofsted.gov.uk/inspection-reports/find-inspection-report/provider/ELS/105505 ","Ofsted School Webpage")</f>
        <v>Ofsted School Webpage</v>
      </c>
      <c r="B130" s="85">
        <v>105505</v>
      </c>
      <c r="C130" s="85">
        <v>3523301</v>
      </c>
      <c r="D130" s="85" t="s">
        <v>638</v>
      </c>
      <c r="E130" s="85" t="s">
        <v>81</v>
      </c>
      <c r="F130" s="85" t="s">
        <v>333</v>
      </c>
      <c r="G130" s="85" t="s">
        <v>262</v>
      </c>
      <c r="H130" s="85" t="s">
        <v>255</v>
      </c>
      <c r="I130" s="85" t="s">
        <v>256</v>
      </c>
      <c r="J130" s="85" t="s">
        <v>342</v>
      </c>
      <c r="K130" s="85" t="s">
        <v>257</v>
      </c>
      <c r="L130" s="85" t="s">
        <v>335</v>
      </c>
      <c r="M130" s="85" t="s">
        <v>148</v>
      </c>
      <c r="N130" s="85" t="s">
        <v>148</v>
      </c>
      <c r="O130" s="85" t="s">
        <v>151</v>
      </c>
      <c r="P130" s="85" t="s">
        <v>639</v>
      </c>
      <c r="Q130" s="85" t="s">
        <v>640</v>
      </c>
      <c r="R130" s="85">
        <v>5</v>
      </c>
      <c r="S130" s="85">
        <v>241</v>
      </c>
      <c r="T130" s="2">
        <v>44105</v>
      </c>
      <c r="U130" s="2">
        <v>44161</v>
      </c>
    </row>
    <row r="131" spans="1:21" x14ac:dyDescent="0.2">
      <c r="A131" s="3" t="str">
        <f>HYPERLINK("http://www.ofsted.gov.uk/inspection-reports/find-inspection-report/provider/ELS/110852 ","Ofsted School Webpage")</f>
        <v>Ofsted School Webpage</v>
      </c>
      <c r="B131" s="85">
        <v>110852</v>
      </c>
      <c r="C131" s="85">
        <v>8743376</v>
      </c>
      <c r="D131" s="85" t="s">
        <v>641</v>
      </c>
      <c r="E131" s="85" t="s">
        <v>81</v>
      </c>
      <c r="F131" s="85" t="s">
        <v>333</v>
      </c>
      <c r="G131" s="2">
        <v>1</v>
      </c>
      <c r="H131" s="85" t="s">
        <v>255</v>
      </c>
      <c r="I131" s="85" t="s">
        <v>256</v>
      </c>
      <c r="J131" s="85" t="s">
        <v>342</v>
      </c>
      <c r="K131" s="85" t="s">
        <v>257</v>
      </c>
      <c r="L131" s="85" t="s">
        <v>335</v>
      </c>
      <c r="M131" s="85" t="s">
        <v>95</v>
      </c>
      <c r="N131" s="85" t="s">
        <v>95</v>
      </c>
      <c r="O131" s="85" t="s">
        <v>100</v>
      </c>
      <c r="P131" s="85" t="s">
        <v>100</v>
      </c>
      <c r="Q131" s="85" t="s">
        <v>642</v>
      </c>
      <c r="R131" s="85">
        <v>4</v>
      </c>
      <c r="S131" s="85">
        <v>417</v>
      </c>
      <c r="T131" s="2">
        <v>44105</v>
      </c>
      <c r="U131" s="2">
        <v>44145</v>
      </c>
    </row>
    <row r="132" spans="1:21" x14ac:dyDescent="0.2">
      <c r="A132" s="3" t="str">
        <f>HYPERLINK("http://www.ofsted.gov.uk/inspection-reports/find-inspection-report/provider/ELS/119779 ","Ofsted School Webpage")</f>
        <v>Ofsted School Webpage</v>
      </c>
      <c r="B132" s="85">
        <v>119779</v>
      </c>
      <c r="C132" s="85">
        <v>8884606</v>
      </c>
      <c r="D132" s="85" t="s">
        <v>643</v>
      </c>
      <c r="E132" s="85" t="s">
        <v>82</v>
      </c>
      <c r="F132" s="85" t="s">
        <v>333</v>
      </c>
      <c r="G132" s="85" t="s">
        <v>262</v>
      </c>
      <c r="H132" s="85" t="s">
        <v>275</v>
      </c>
      <c r="I132" s="85" t="s">
        <v>256</v>
      </c>
      <c r="J132" s="85" t="s">
        <v>334</v>
      </c>
      <c r="K132" s="85" t="s">
        <v>257</v>
      </c>
      <c r="L132" s="85" t="s">
        <v>335</v>
      </c>
      <c r="M132" s="85" t="s">
        <v>148</v>
      </c>
      <c r="N132" s="85" t="s">
        <v>148</v>
      </c>
      <c r="O132" s="85" t="s">
        <v>149</v>
      </c>
      <c r="P132" s="85" t="s">
        <v>644</v>
      </c>
      <c r="Q132" s="85" t="s">
        <v>645</v>
      </c>
      <c r="R132" s="85">
        <v>2</v>
      </c>
      <c r="S132" s="85">
        <v>899</v>
      </c>
      <c r="T132" s="2">
        <v>44105</v>
      </c>
      <c r="U132" s="2">
        <v>44146</v>
      </c>
    </row>
    <row r="133" spans="1:21" x14ac:dyDescent="0.2">
      <c r="A133" s="3" t="str">
        <f>HYPERLINK("http://www.ofsted.gov.uk/inspection-reports/find-inspection-report/provider/ELS/104345 ","Ofsted School Webpage")</f>
        <v>Ofsted School Webpage</v>
      </c>
      <c r="B133" s="85">
        <v>104345</v>
      </c>
      <c r="C133" s="85">
        <v>3362106</v>
      </c>
      <c r="D133" s="85" t="s">
        <v>646</v>
      </c>
      <c r="E133" s="85" t="s">
        <v>81</v>
      </c>
      <c r="F133" s="85" t="s">
        <v>254</v>
      </c>
      <c r="G133" s="85" t="s">
        <v>262</v>
      </c>
      <c r="H133" s="85" t="s">
        <v>255</v>
      </c>
      <c r="I133" s="85" t="s">
        <v>256</v>
      </c>
      <c r="J133" s="85" t="s">
        <v>257</v>
      </c>
      <c r="K133" s="85" t="s">
        <v>257</v>
      </c>
      <c r="L133" s="85" t="s">
        <v>258</v>
      </c>
      <c r="M133" s="85" t="s">
        <v>203</v>
      </c>
      <c r="N133" s="85" t="s">
        <v>203</v>
      </c>
      <c r="O133" s="85" t="s">
        <v>208</v>
      </c>
      <c r="P133" s="85" t="s">
        <v>647</v>
      </c>
      <c r="Q133" s="85" t="s">
        <v>648</v>
      </c>
      <c r="R133" s="85">
        <v>4</v>
      </c>
      <c r="S133" s="85">
        <v>486</v>
      </c>
      <c r="T133" s="2">
        <v>44105</v>
      </c>
      <c r="U133" s="2">
        <v>44144</v>
      </c>
    </row>
    <row r="134" spans="1:21" x14ac:dyDescent="0.2">
      <c r="A134" s="3" t="str">
        <f>HYPERLINK("http://www.ofsted.gov.uk/inspection-reports/find-inspection-report/provider/ELS/124619 ","Ofsted School Webpage")</f>
        <v>Ofsted School Webpage</v>
      </c>
      <c r="B134" s="85">
        <v>124619</v>
      </c>
      <c r="C134" s="85">
        <v>9352125</v>
      </c>
      <c r="D134" s="85" t="s">
        <v>649</v>
      </c>
      <c r="E134" s="85" t="s">
        <v>81</v>
      </c>
      <c r="F134" s="85" t="s">
        <v>254</v>
      </c>
      <c r="G134" s="2">
        <v>1</v>
      </c>
      <c r="H134" s="85" t="s">
        <v>255</v>
      </c>
      <c r="I134" s="85" t="s">
        <v>256</v>
      </c>
      <c r="J134" s="85" t="s">
        <v>257</v>
      </c>
      <c r="K134" s="85" t="s">
        <v>257</v>
      </c>
      <c r="L134" s="85" t="s">
        <v>258</v>
      </c>
      <c r="M134" s="85" t="s">
        <v>95</v>
      </c>
      <c r="N134" s="85" t="s">
        <v>95</v>
      </c>
      <c r="O134" s="85" t="s">
        <v>99</v>
      </c>
      <c r="P134" s="85" t="s">
        <v>650</v>
      </c>
      <c r="Q134" s="85" t="s">
        <v>651</v>
      </c>
      <c r="R134" s="85">
        <v>2</v>
      </c>
      <c r="S134" s="85">
        <v>211</v>
      </c>
      <c r="T134" s="2">
        <v>44105</v>
      </c>
      <c r="U134" s="2">
        <v>44139</v>
      </c>
    </row>
    <row r="135" spans="1:21" x14ac:dyDescent="0.2">
      <c r="A135" s="3" t="str">
        <f>HYPERLINK("http://www.ofsted.gov.uk/inspection-reports/find-inspection-report/provider/ELS/112647 ","Ofsted School Webpage")</f>
        <v>Ofsted School Webpage</v>
      </c>
      <c r="B135" s="85">
        <v>112647</v>
      </c>
      <c r="C135" s="85">
        <v>8302268</v>
      </c>
      <c r="D135" s="85" t="s">
        <v>652</v>
      </c>
      <c r="E135" s="85" t="s">
        <v>81</v>
      </c>
      <c r="F135" s="85" t="s">
        <v>254</v>
      </c>
      <c r="G135" s="85" t="s">
        <v>262</v>
      </c>
      <c r="H135" s="85" t="s">
        <v>255</v>
      </c>
      <c r="I135" s="85" t="s">
        <v>256</v>
      </c>
      <c r="J135" s="85" t="s">
        <v>257</v>
      </c>
      <c r="K135" s="85" t="s">
        <v>257</v>
      </c>
      <c r="L135" s="85" t="s">
        <v>258</v>
      </c>
      <c r="M135" s="85" t="s">
        <v>85</v>
      </c>
      <c r="N135" s="85" t="s">
        <v>85</v>
      </c>
      <c r="O135" s="85" t="s">
        <v>86</v>
      </c>
      <c r="P135" s="85" t="s">
        <v>277</v>
      </c>
      <c r="Q135" s="85" t="s">
        <v>653</v>
      </c>
      <c r="R135" s="85">
        <v>1</v>
      </c>
      <c r="S135" s="85">
        <v>188</v>
      </c>
      <c r="T135" s="2">
        <v>44105</v>
      </c>
      <c r="U135" s="2">
        <v>44144</v>
      </c>
    </row>
    <row r="136" spans="1:21" x14ac:dyDescent="0.2">
      <c r="A136" s="3" t="str">
        <f>HYPERLINK("http://www.ofsted.gov.uk/inspection-reports/find-inspection-report/provider/ELS/121614 ","Ofsted School Webpage")</f>
        <v>Ofsted School Webpage</v>
      </c>
      <c r="B136" s="85">
        <v>121614</v>
      </c>
      <c r="C136" s="85">
        <v>8153320</v>
      </c>
      <c r="D136" s="85" t="s">
        <v>654</v>
      </c>
      <c r="E136" s="85" t="s">
        <v>81</v>
      </c>
      <c r="F136" s="85" t="s">
        <v>333</v>
      </c>
      <c r="G136" s="85" t="s">
        <v>262</v>
      </c>
      <c r="H136" s="85" t="s">
        <v>255</v>
      </c>
      <c r="I136" s="85" t="s">
        <v>256</v>
      </c>
      <c r="J136" s="85" t="s">
        <v>342</v>
      </c>
      <c r="K136" s="85" t="s">
        <v>257</v>
      </c>
      <c r="L136" s="85" t="s">
        <v>335</v>
      </c>
      <c r="M136" s="85" t="s">
        <v>236</v>
      </c>
      <c r="N136" s="85" t="s">
        <v>218</v>
      </c>
      <c r="O136" s="85" t="s">
        <v>224</v>
      </c>
      <c r="P136" s="85" t="s">
        <v>655</v>
      </c>
      <c r="Q136" s="85" t="s">
        <v>656</v>
      </c>
      <c r="R136" s="85">
        <v>1</v>
      </c>
      <c r="S136" s="85">
        <v>40</v>
      </c>
      <c r="T136" s="2">
        <v>44105</v>
      </c>
      <c r="U136" s="2">
        <v>44144</v>
      </c>
    </row>
    <row r="137" spans="1:21" x14ac:dyDescent="0.2">
      <c r="A137" s="3" t="str">
        <f>HYPERLINK("http://www.ofsted.gov.uk/inspection-reports/find-inspection-report/provider/ELS/117299 ","Ofsted School Webpage")</f>
        <v>Ofsted School Webpage</v>
      </c>
      <c r="B137" s="85">
        <v>117299</v>
      </c>
      <c r="C137" s="85">
        <v>9192365</v>
      </c>
      <c r="D137" s="85" t="s">
        <v>657</v>
      </c>
      <c r="E137" s="85" t="s">
        <v>81</v>
      </c>
      <c r="F137" s="85" t="s">
        <v>254</v>
      </c>
      <c r="G137" s="85" t="s">
        <v>262</v>
      </c>
      <c r="H137" s="85" t="s">
        <v>255</v>
      </c>
      <c r="I137" s="85" t="s">
        <v>256</v>
      </c>
      <c r="J137" s="85" t="s">
        <v>257</v>
      </c>
      <c r="K137" s="85" t="s">
        <v>257</v>
      </c>
      <c r="L137" s="85" t="s">
        <v>258</v>
      </c>
      <c r="M137" s="85" t="s">
        <v>95</v>
      </c>
      <c r="N137" s="85" t="s">
        <v>95</v>
      </c>
      <c r="O137" s="85" t="s">
        <v>102</v>
      </c>
      <c r="P137" s="85" t="s">
        <v>658</v>
      </c>
      <c r="Q137" s="85" t="s">
        <v>659</v>
      </c>
      <c r="R137" s="85">
        <v>2</v>
      </c>
      <c r="S137" s="85">
        <v>482</v>
      </c>
      <c r="T137" s="2">
        <v>44105</v>
      </c>
      <c r="U137" s="2">
        <v>44147</v>
      </c>
    </row>
    <row r="138" spans="1:21" x14ac:dyDescent="0.2">
      <c r="A138" s="3" t="str">
        <f>HYPERLINK("http://www.ofsted.gov.uk/inspection-reports/find-inspection-report/provider/ELS/110690 ","Ofsted School Webpage")</f>
        <v>Ofsted School Webpage</v>
      </c>
      <c r="B138" s="85">
        <v>110690</v>
      </c>
      <c r="C138" s="85">
        <v>8732222</v>
      </c>
      <c r="D138" s="85" t="s">
        <v>660</v>
      </c>
      <c r="E138" s="85" t="s">
        <v>81</v>
      </c>
      <c r="F138" s="85" t="s">
        <v>254</v>
      </c>
      <c r="G138" s="85" t="s">
        <v>262</v>
      </c>
      <c r="H138" s="85" t="s">
        <v>255</v>
      </c>
      <c r="I138" s="85" t="s">
        <v>256</v>
      </c>
      <c r="J138" s="85" t="s">
        <v>257</v>
      </c>
      <c r="K138" s="85" t="s">
        <v>257</v>
      </c>
      <c r="L138" s="85" t="s">
        <v>258</v>
      </c>
      <c r="M138" s="85" t="s">
        <v>95</v>
      </c>
      <c r="N138" s="85" t="s">
        <v>95</v>
      </c>
      <c r="O138" s="85" t="s">
        <v>97</v>
      </c>
      <c r="P138" s="85" t="s">
        <v>523</v>
      </c>
      <c r="Q138" s="85" t="s">
        <v>661</v>
      </c>
      <c r="R138" s="85">
        <v>1</v>
      </c>
      <c r="S138" s="85">
        <v>102</v>
      </c>
      <c r="T138" s="2">
        <v>44105</v>
      </c>
      <c r="U138" s="2">
        <v>44146</v>
      </c>
    </row>
    <row r="139" spans="1:21" x14ac:dyDescent="0.2">
      <c r="A139" s="3" t="str">
        <f>HYPERLINK("http://www.ofsted.gov.uk/inspection-reports/find-inspection-report/provider/ELS/134855 ","Ofsted School Webpage")</f>
        <v>Ofsted School Webpage</v>
      </c>
      <c r="B139" s="85">
        <v>134855</v>
      </c>
      <c r="C139" s="85">
        <v>8403516</v>
      </c>
      <c r="D139" s="85" t="s">
        <v>662</v>
      </c>
      <c r="E139" s="85" t="s">
        <v>81</v>
      </c>
      <c r="F139" s="85" t="s">
        <v>254</v>
      </c>
      <c r="G139" s="2">
        <v>38961</v>
      </c>
      <c r="H139" s="85" t="s">
        <v>255</v>
      </c>
      <c r="I139" s="85" t="s">
        <v>256</v>
      </c>
      <c r="J139" s="85" t="s">
        <v>257</v>
      </c>
      <c r="K139" s="85" t="s">
        <v>257</v>
      </c>
      <c r="L139" s="85" t="s">
        <v>258</v>
      </c>
      <c r="M139" s="85" t="s">
        <v>236</v>
      </c>
      <c r="N139" s="85" t="s">
        <v>135</v>
      </c>
      <c r="O139" s="85" t="s">
        <v>143</v>
      </c>
      <c r="P139" s="85" t="s">
        <v>663</v>
      </c>
      <c r="Q139" s="85" t="s">
        <v>664</v>
      </c>
      <c r="R139" s="85">
        <v>5</v>
      </c>
      <c r="S139" s="85">
        <v>225</v>
      </c>
      <c r="T139" s="2">
        <v>44105</v>
      </c>
      <c r="U139" s="2">
        <v>44154</v>
      </c>
    </row>
    <row r="140" spans="1:21" x14ac:dyDescent="0.2">
      <c r="A140" s="3" t="str">
        <f>HYPERLINK("http://www.ofsted.gov.uk/inspection-reports/find-inspection-report/provider/ELS/113112 ","Ofsted School Webpage")</f>
        <v>Ofsted School Webpage</v>
      </c>
      <c r="B140" s="85">
        <v>113112</v>
      </c>
      <c r="C140" s="85">
        <v>8782073</v>
      </c>
      <c r="D140" s="85" t="s">
        <v>665</v>
      </c>
      <c r="E140" s="85" t="s">
        <v>81</v>
      </c>
      <c r="F140" s="85" t="s">
        <v>254</v>
      </c>
      <c r="G140" s="85" t="s">
        <v>262</v>
      </c>
      <c r="H140" s="85" t="s">
        <v>255</v>
      </c>
      <c r="I140" s="85" t="s">
        <v>256</v>
      </c>
      <c r="J140" s="85" t="s">
        <v>257</v>
      </c>
      <c r="K140" s="85" t="s">
        <v>257</v>
      </c>
      <c r="L140" s="85" t="s">
        <v>258</v>
      </c>
      <c r="M140" s="85" t="s">
        <v>188</v>
      </c>
      <c r="N140" s="85" t="s">
        <v>188</v>
      </c>
      <c r="O140" s="85" t="s">
        <v>197</v>
      </c>
      <c r="P140" s="85" t="s">
        <v>666</v>
      </c>
      <c r="Q140" s="85" t="s">
        <v>667</v>
      </c>
      <c r="R140" s="85">
        <v>1</v>
      </c>
      <c r="S140" s="85">
        <v>108</v>
      </c>
      <c r="T140" s="2">
        <v>44105</v>
      </c>
      <c r="U140" s="2">
        <v>44139</v>
      </c>
    </row>
    <row r="141" spans="1:21" x14ac:dyDescent="0.2">
      <c r="A141" s="3" t="str">
        <f>HYPERLINK("http://www.ofsted.gov.uk/inspection-reports/find-inspection-report/provider/ELS/115931 ","Ofsted School Webpage")</f>
        <v>Ofsted School Webpage</v>
      </c>
      <c r="B141" s="85">
        <v>115931</v>
      </c>
      <c r="C141" s="85">
        <v>8502147</v>
      </c>
      <c r="D141" s="85" t="s">
        <v>668</v>
      </c>
      <c r="E141" s="85" t="s">
        <v>81</v>
      </c>
      <c r="F141" s="85" t="s">
        <v>254</v>
      </c>
      <c r="G141" s="85" t="s">
        <v>262</v>
      </c>
      <c r="H141" s="85" t="s">
        <v>255</v>
      </c>
      <c r="I141" s="85" t="s">
        <v>256</v>
      </c>
      <c r="J141" s="85" t="s">
        <v>257</v>
      </c>
      <c r="K141" s="85" t="s">
        <v>257</v>
      </c>
      <c r="L141" s="85" t="s">
        <v>258</v>
      </c>
      <c r="M141" s="85" t="s">
        <v>169</v>
      </c>
      <c r="N141" s="85" t="s">
        <v>169</v>
      </c>
      <c r="O141" s="85" t="s">
        <v>170</v>
      </c>
      <c r="P141" s="85" t="s">
        <v>669</v>
      </c>
      <c r="Q141" s="85" t="s">
        <v>670</v>
      </c>
      <c r="R141" s="85">
        <v>2</v>
      </c>
      <c r="S141" s="85">
        <v>61</v>
      </c>
      <c r="T141" s="2">
        <v>44105</v>
      </c>
      <c r="U141" s="2">
        <v>44146</v>
      </c>
    </row>
    <row r="142" spans="1:21" x14ac:dyDescent="0.2">
      <c r="A142" s="3" t="str">
        <f>HYPERLINK("http://www.ofsted.gov.uk/inspection-reports/find-inspection-report/provider/ELS/104569 ","Ofsted School Webpage")</f>
        <v>Ofsted School Webpage</v>
      </c>
      <c r="B142" s="85">
        <v>104569</v>
      </c>
      <c r="C142" s="85">
        <v>3412123</v>
      </c>
      <c r="D142" s="85" t="s">
        <v>671</v>
      </c>
      <c r="E142" s="85" t="s">
        <v>81</v>
      </c>
      <c r="F142" s="85" t="s">
        <v>254</v>
      </c>
      <c r="G142" s="85" t="s">
        <v>262</v>
      </c>
      <c r="H142" s="85" t="s">
        <v>255</v>
      </c>
      <c r="I142" s="85" t="s">
        <v>256</v>
      </c>
      <c r="J142" s="85" t="s">
        <v>257</v>
      </c>
      <c r="K142" s="85" t="s">
        <v>257</v>
      </c>
      <c r="L142" s="85" t="s">
        <v>258</v>
      </c>
      <c r="M142" s="85" t="s">
        <v>148</v>
      </c>
      <c r="N142" s="85" t="s">
        <v>148</v>
      </c>
      <c r="O142" s="85" t="s">
        <v>150</v>
      </c>
      <c r="P142" s="85" t="s">
        <v>364</v>
      </c>
      <c r="Q142" s="85" t="s">
        <v>672</v>
      </c>
      <c r="R142" s="85">
        <v>5</v>
      </c>
      <c r="S142" s="85">
        <v>237</v>
      </c>
      <c r="T142" s="2">
        <v>44105</v>
      </c>
      <c r="U142" s="2">
        <v>44119</v>
      </c>
    </row>
    <row r="143" spans="1:21" x14ac:dyDescent="0.2">
      <c r="A143" s="3" t="str">
        <f>HYPERLINK("http://www.ofsted.gov.uk/inspection-reports/find-inspection-report/provider/ELS/112120 ","Ofsted School Webpage")</f>
        <v>Ofsted School Webpage</v>
      </c>
      <c r="B143" s="85">
        <v>112120</v>
      </c>
      <c r="C143" s="85">
        <v>9092054</v>
      </c>
      <c r="D143" s="85" t="s">
        <v>673</v>
      </c>
      <c r="E143" s="85" t="s">
        <v>81</v>
      </c>
      <c r="F143" s="85" t="s">
        <v>254</v>
      </c>
      <c r="G143" s="85" t="s">
        <v>262</v>
      </c>
      <c r="H143" s="85" t="s">
        <v>255</v>
      </c>
      <c r="I143" s="85" t="s">
        <v>256</v>
      </c>
      <c r="J143" s="85" t="s">
        <v>257</v>
      </c>
      <c r="K143" s="85" t="s">
        <v>257</v>
      </c>
      <c r="L143" s="85" t="s">
        <v>258</v>
      </c>
      <c r="M143" s="85" t="s">
        <v>148</v>
      </c>
      <c r="N143" s="85" t="s">
        <v>148</v>
      </c>
      <c r="O143" s="85" t="s">
        <v>156</v>
      </c>
      <c r="P143" s="85" t="s">
        <v>674</v>
      </c>
      <c r="Q143" s="85" t="s">
        <v>675</v>
      </c>
      <c r="R143" s="85">
        <v>1</v>
      </c>
      <c r="S143" s="85">
        <v>80</v>
      </c>
      <c r="T143" s="2">
        <v>44105</v>
      </c>
      <c r="U143" s="2">
        <v>44147</v>
      </c>
    </row>
    <row r="144" spans="1:21" x14ac:dyDescent="0.2">
      <c r="A144" s="3" t="str">
        <f>HYPERLINK("http://www.ofsted.gov.uk/inspection-reports/find-inspection-report/provider/ELS/130859 ","Ofsted School Webpage")</f>
        <v>Ofsted School Webpage</v>
      </c>
      <c r="B144" s="85">
        <v>130859</v>
      </c>
      <c r="C144" s="85">
        <v>3842189</v>
      </c>
      <c r="D144" s="85" t="s">
        <v>676</v>
      </c>
      <c r="E144" s="85" t="s">
        <v>81</v>
      </c>
      <c r="F144" s="85" t="s">
        <v>254</v>
      </c>
      <c r="G144" s="2">
        <v>35309</v>
      </c>
      <c r="H144" s="85" t="s">
        <v>255</v>
      </c>
      <c r="I144" s="85" t="s">
        <v>256</v>
      </c>
      <c r="J144" s="85" t="s">
        <v>257</v>
      </c>
      <c r="K144" s="85" t="s">
        <v>257</v>
      </c>
      <c r="L144" s="85" t="s">
        <v>258</v>
      </c>
      <c r="M144" s="85" t="s">
        <v>236</v>
      </c>
      <c r="N144" s="85" t="s">
        <v>218</v>
      </c>
      <c r="O144" s="85" t="s">
        <v>223</v>
      </c>
      <c r="P144" s="85" t="s">
        <v>677</v>
      </c>
      <c r="Q144" s="85" t="s">
        <v>678</v>
      </c>
      <c r="R144" s="85">
        <v>4</v>
      </c>
      <c r="S144" s="85">
        <v>359</v>
      </c>
      <c r="T144" s="2">
        <v>44105</v>
      </c>
      <c r="U144" s="2">
        <v>44158</v>
      </c>
    </row>
    <row r="145" spans="1:21" x14ac:dyDescent="0.2">
      <c r="A145" s="3" t="str">
        <f>HYPERLINK("http://www.ofsted.gov.uk/inspection-reports/find-inspection-report/provider/ELS/113104 ","Ofsted School Webpage")</f>
        <v>Ofsted School Webpage</v>
      </c>
      <c r="B145" s="85">
        <v>113104</v>
      </c>
      <c r="C145" s="85">
        <v>8782055</v>
      </c>
      <c r="D145" s="85" t="s">
        <v>679</v>
      </c>
      <c r="E145" s="85" t="s">
        <v>81</v>
      </c>
      <c r="F145" s="85" t="s">
        <v>254</v>
      </c>
      <c r="G145" s="85" t="s">
        <v>262</v>
      </c>
      <c r="H145" s="85" t="s">
        <v>255</v>
      </c>
      <c r="I145" s="85" t="s">
        <v>256</v>
      </c>
      <c r="J145" s="85" t="s">
        <v>257</v>
      </c>
      <c r="K145" s="85" t="s">
        <v>257</v>
      </c>
      <c r="L145" s="85" t="s">
        <v>258</v>
      </c>
      <c r="M145" s="85" t="s">
        <v>188</v>
      </c>
      <c r="N145" s="85" t="s">
        <v>188</v>
      </c>
      <c r="O145" s="85" t="s">
        <v>197</v>
      </c>
      <c r="P145" s="85" t="s">
        <v>680</v>
      </c>
      <c r="Q145" s="85" t="s">
        <v>681</v>
      </c>
      <c r="R145" s="85">
        <v>2</v>
      </c>
      <c r="S145" s="85">
        <v>130</v>
      </c>
      <c r="T145" s="2">
        <v>44105</v>
      </c>
      <c r="U145" s="2">
        <v>44136</v>
      </c>
    </row>
    <row r="146" spans="1:21" x14ac:dyDescent="0.2">
      <c r="A146" s="3" t="str">
        <f>HYPERLINK("http://www.ofsted.gov.uk/inspection-reports/find-inspection-report/provider/ELS/122233 ","Ofsted School Webpage")</f>
        <v>Ofsted School Webpage</v>
      </c>
      <c r="B146" s="85">
        <v>122233</v>
      </c>
      <c r="C146" s="85">
        <v>9292254</v>
      </c>
      <c r="D146" s="85" t="s">
        <v>682</v>
      </c>
      <c r="E146" s="85" t="s">
        <v>81</v>
      </c>
      <c r="F146" s="85" t="s">
        <v>254</v>
      </c>
      <c r="G146" s="85" t="s">
        <v>262</v>
      </c>
      <c r="H146" s="85" t="s">
        <v>255</v>
      </c>
      <c r="I146" s="85" t="s">
        <v>256</v>
      </c>
      <c r="J146" s="85" t="s">
        <v>257</v>
      </c>
      <c r="K146" s="85" t="s">
        <v>257</v>
      </c>
      <c r="L146" s="85" t="s">
        <v>258</v>
      </c>
      <c r="M146" s="85" t="s">
        <v>236</v>
      </c>
      <c r="N146" s="85" t="s">
        <v>135</v>
      </c>
      <c r="O146" s="85" t="s">
        <v>138</v>
      </c>
      <c r="P146" s="85" t="s">
        <v>683</v>
      </c>
      <c r="Q146" s="85" t="s">
        <v>684</v>
      </c>
      <c r="R146" s="85">
        <v>2</v>
      </c>
      <c r="S146" s="85">
        <v>10</v>
      </c>
      <c r="T146" s="2">
        <v>44105</v>
      </c>
      <c r="U146" s="2">
        <v>44147</v>
      </c>
    </row>
    <row r="147" spans="1:21" x14ac:dyDescent="0.2">
      <c r="A147" s="3" t="str">
        <f>HYPERLINK("http://www.ofsted.gov.uk/inspection-reports/find-inspection-report/provider/ELS/112959 ","Ofsted School Webpage")</f>
        <v>Ofsted School Webpage</v>
      </c>
      <c r="B147" s="85">
        <v>112959</v>
      </c>
      <c r="C147" s="85">
        <v>8304193</v>
      </c>
      <c r="D147" s="85" t="s">
        <v>685</v>
      </c>
      <c r="E147" s="85" t="s">
        <v>82</v>
      </c>
      <c r="F147" s="85" t="s">
        <v>254</v>
      </c>
      <c r="G147" s="85" t="s">
        <v>262</v>
      </c>
      <c r="H147" s="85" t="s">
        <v>275</v>
      </c>
      <c r="I147" s="85" t="s">
        <v>256</v>
      </c>
      <c r="J147" s="85" t="s">
        <v>257</v>
      </c>
      <c r="K147" s="85" t="s">
        <v>257</v>
      </c>
      <c r="L147" s="85" t="s">
        <v>258</v>
      </c>
      <c r="M147" s="85" t="s">
        <v>85</v>
      </c>
      <c r="N147" s="85" t="s">
        <v>85</v>
      </c>
      <c r="O147" s="85" t="s">
        <v>86</v>
      </c>
      <c r="P147" s="85" t="s">
        <v>289</v>
      </c>
      <c r="Q147" s="85" t="s">
        <v>686</v>
      </c>
      <c r="R147" s="85">
        <v>4</v>
      </c>
      <c r="S147" s="85">
        <v>785</v>
      </c>
      <c r="T147" s="2">
        <v>44105</v>
      </c>
      <c r="U147" s="2">
        <v>44139</v>
      </c>
    </row>
    <row r="148" spans="1:21" x14ac:dyDescent="0.2">
      <c r="A148" s="3" t="str">
        <f>HYPERLINK("http://www.ofsted.gov.uk/inspection-reports/find-inspection-report/provider/ELS/102153 ","Ofsted School Webpage")</f>
        <v>Ofsted School Webpage</v>
      </c>
      <c r="B148" s="85">
        <v>102153</v>
      </c>
      <c r="C148" s="85">
        <v>3094029</v>
      </c>
      <c r="D148" s="85" t="s">
        <v>687</v>
      </c>
      <c r="E148" s="85" t="s">
        <v>82</v>
      </c>
      <c r="F148" s="85" t="s">
        <v>254</v>
      </c>
      <c r="G148" s="85" t="s">
        <v>262</v>
      </c>
      <c r="H148" s="85" t="s">
        <v>275</v>
      </c>
      <c r="I148" s="85" t="s">
        <v>256</v>
      </c>
      <c r="J148" s="85" t="s">
        <v>257</v>
      </c>
      <c r="K148" s="85" t="s">
        <v>257</v>
      </c>
      <c r="L148" s="85" t="s">
        <v>258</v>
      </c>
      <c r="M148" s="85" t="s">
        <v>107</v>
      </c>
      <c r="N148" s="85" t="s">
        <v>107</v>
      </c>
      <c r="O148" s="85" t="s">
        <v>113</v>
      </c>
      <c r="P148" s="85" t="s">
        <v>357</v>
      </c>
      <c r="Q148" s="85" t="s">
        <v>688</v>
      </c>
      <c r="R148" s="85">
        <v>4</v>
      </c>
      <c r="S148" s="85">
        <v>797</v>
      </c>
      <c r="T148" s="2">
        <v>44105</v>
      </c>
      <c r="U148" s="2">
        <v>44154</v>
      </c>
    </row>
    <row r="149" spans="1:21" x14ac:dyDescent="0.2">
      <c r="A149" s="3" t="str">
        <f>HYPERLINK("http://www.ofsted.gov.uk/inspection-reports/find-inspection-report/provider/ELS/104179 ","Ofsted School Webpage")</f>
        <v>Ofsted School Webpage</v>
      </c>
      <c r="B149" s="85">
        <v>104179</v>
      </c>
      <c r="C149" s="85">
        <v>3352106</v>
      </c>
      <c r="D149" s="85" t="s">
        <v>689</v>
      </c>
      <c r="E149" s="85" t="s">
        <v>81</v>
      </c>
      <c r="F149" s="85" t="s">
        <v>254</v>
      </c>
      <c r="G149" s="85" t="s">
        <v>262</v>
      </c>
      <c r="H149" s="85" t="s">
        <v>255</v>
      </c>
      <c r="I149" s="85" t="s">
        <v>256</v>
      </c>
      <c r="J149" s="85" t="s">
        <v>257</v>
      </c>
      <c r="K149" s="85" t="s">
        <v>257</v>
      </c>
      <c r="L149" s="85" t="s">
        <v>258</v>
      </c>
      <c r="M149" s="85" t="s">
        <v>203</v>
      </c>
      <c r="N149" s="85" t="s">
        <v>203</v>
      </c>
      <c r="O149" s="85" t="s">
        <v>207</v>
      </c>
      <c r="P149" s="85" t="s">
        <v>558</v>
      </c>
      <c r="Q149" s="85" t="s">
        <v>690</v>
      </c>
      <c r="R149" s="85">
        <v>5</v>
      </c>
      <c r="S149" s="85">
        <v>442</v>
      </c>
      <c r="T149" s="2">
        <v>44105</v>
      </c>
      <c r="U149" s="2">
        <v>44124</v>
      </c>
    </row>
    <row r="150" spans="1:21" x14ac:dyDescent="0.2">
      <c r="A150" s="3" t="str">
        <f>HYPERLINK("http://www.ofsted.gov.uk/inspection-reports/find-inspection-report/provider/ELS/103978 ","Ofsted School Webpage")</f>
        <v>Ofsted School Webpage</v>
      </c>
      <c r="B150" s="85">
        <v>103978</v>
      </c>
      <c r="C150" s="85">
        <v>3332173</v>
      </c>
      <c r="D150" s="85" t="s">
        <v>691</v>
      </c>
      <c r="E150" s="85" t="s">
        <v>81</v>
      </c>
      <c r="F150" s="85" t="s">
        <v>254</v>
      </c>
      <c r="G150" s="85" t="s">
        <v>262</v>
      </c>
      <c r="H150" s="85" t="s">
        <v>255</v>
      </c>
      <c r="I150" s="85" t="s">
        <v>256</v>
      </c>
      <c r="J150" s="85" t="s">
        <v>257</v>
      </c>
      <c r="K150" s="85" t="s">
        <v>257</v>
      </c>
      <c r="L150" s="85" t="s">
        <v>258</v>
      </c>
      <c r="M150" s="85" t="s">
        <v>203</v>
      </c>
      <c r="N150" s="85" t="s">
        <v>203</v>
      </c>
      <c r="O150" s="85" t="s">
        <v>205</v>
      </c>
      <c r="P150" s="85" t="s">
        <v>300</v>
      </c>
      <c r="Q150" s="85" t="s">
        <v>692</v>
      </c>
      <c r="R150" s="85">
        <v>5</v>
      </c>
      <c r="S150" s="85">
        <v>446</v>
      </c>
      <c r="T150" s="2">
        <v>44105</v>
      </c>
      <c r="U150" s="2">
        <v>44144</v>
      </c>
    </row>
    <row r="151" spans="1:21" x14ac:dyDescent="0.2">
      <c r="A151" s="3" t="str">
        <f>HYPERLINK("http://www.ofsted.gov.uk/inspection-reports/find-inspection-report/provider/ELS/106057 ","Ofsted School Webpage")</f>
        <v>Ofsted School Webpage</v>
      </c>
      <c r="B151" s="85">
        <v>106057</v>
      </c>
      <c r="C151" s="85">
        <v>3562053</v>
      </c>
      <c r="D151" s="85" t="s">
        <v>693</v>
      </c>
      <c r="E151" s="85" t="s">
        <v>81</v>
      </c>
      <c r="F151" s="85" t="s">
        <v>254</v>
      </c>
      <c r="G151" s="85" t="s">
        <v>262</v>
      </c>
      <c r="H151" s="85" t="s">
        <v>255</v>
      </c>
      <c r="I151" s="85" t="s">
        <v>256</v>
      </c>
      <c r="J151" s="85" t="s">
        <v>257</v>
      </c>
      <c r="K151" s="85" t="s">
        <v>257</v>
      </c>
      <c r="L151" s="85" t="s">
        <v>258</v>
      </c>
      <c r="M151" s="85" t="s">
        <v>148</v>
      </c>
      <c r="N151" s="85" t="s">
        <v>148</v>
      </c>
      <c r="O151" s="85" t="s">
        <v>154</v>
      </c>
      <c r="P151" s="85" t="s">
        <v>314</v>
      </c>
      <c r="Q151" s="85" t="s">
        <v>694</v>
      </c>
      <c r="R151" s="85">
        <v>1</v>
      </c>
      <c r="S151" s="85">
        <v>337</v>
      </c>
      <c r="T151" s="2">
        <v>44105</v>
      </c>
      <c r="U151" s="2">
        <v>44145</v>
      </c>
    </row>
    <row r="152" spans="1:21" x14ac:dyDescent="0.2">
      <c r="A152" s="3" t="str">
        <f>HYPERLINK("http://www.ofsted.gov.uk/inspection-reports/find-inspection-report/provider/ELS/117105 ","Ofsted School Webpage")</f>
        <v>Ofsted School Webpage</v>
      </c>
      <c r="B152" s="85">
        <v>117105</v>
      </c>
      <c r="C152" s="85">
        <v>9192039</v>
      </c>
      <c r="D152" s="85" t="s">
        <v>695</v>
      </c>
      <c r="E152" s="85" t="s">
        <v>81</v>
      </c>
      <c r="F152" s="85" t="s">
        <v>254</v>
      </c>
      <c r="G152" s="85" t="s">
        <v>262</v>
      </c>
      <c r="H152" s="85" t="s">
        <v>255</v>
      </c>
      <c r="I152" s="85" t="s">
        <v>256</v>
      </c>
      <c r="J152" s="85" t="s">
        <v>257</v>
      </c>
      <c r="K152" s="85" t="s">
        <v>257</v>
      </c>
      <c r="L152" s="85" t="s">
        <v>258</v>
      </c>
      <c r="M152" s="85" t="s">
        <v>95</v>
      </c>
      <c r="N152" s="85" t="s">
        <v>95</v>
      </c>
      <c r="O152" s="85" t="s">
        <v>102</v>
      </c>
      <c r="P152" s="85" t="s">
        <v>696</v>
      </c>
      <c r="Q152" s="85" t="s">
        <v>697</v>
      </c>
      <c r="R152" s="85">
        <v>3</v>
      </c>
      <c r="S152" s="85">
        <v>417</v>
      </c>
      <c r="T152" s="2">
        <v>44105</v>
      </c>
      <c r="U152" s="2">
        <v>44150</v>
      </c>
    </row>
    <row r="153" spans="1:21" x14ac:dyDescent="0.2">
      <c r="A153" s="3" t="str">
        <f>HYPERLINK("http://www.ofsted.gov.uk/inspection-reports/find-inspection-report/provider/ELS/124105 ","Ofsted School Webpage")</f>
        <v>Ofsted School Webpage</v>
      </c>
      <c r="B153" s="85">
        <v>124105</v>
      </c>
      <c r="C153" s="85">
        <v>8602240</v>
      </c>
      <c r="D153" s="85" t="s">
        <v>698</v>
      </c>
      <c r="E153" s="85" t="s">
        <v>81</v>
      </c>
      <c r="F153" s="85" t="s">
        <v>254</v>
      </c>
      <c r="G153" s="85" t="s">
        <v>262</v>
      </c>
      <c r="H153" s="85" t="s">
        <v>255</v>
      </c>
      <c r="I153" s="85" t="s">
        <v>256</v>
      </c>
      <c r="J153" s="85" t="s">
        <v>257</v>
      </c>
      <c r="K153" s="85" t="s">
        <v>257</v>
      </c>
      <c r="L153" s="85" t="s">
        <v>258</v>
      </c>
      <c r="M153" s="85" t="s">
        <v>203</v>
      </c>
      <c r="N153" s="85" t="s">
        <v>203</v>
      </c>
      <c r="O153" s="85" t="s">
        <v>206</v>
      </c>
      <c r="P153" s="85" t="s">
        <v>699</v>
      </c>
      <c r="Q153" s="85" t="s">
        <v>700</v>
      </c>
      <c r="R153" s="85">
        <v>1</v>
      </c>
      <c r="S153" s="85">
        <v>65</v>
      </c>
      <c r="T153" s="2">
        <v>44105</v>
      </c>
      <c r="U153" s="2">
        <v>44123</v>
      </c>
    </row>
    <row r="154" spans="1:21" x14ac:dyDescent="0.2">
      <c r="A154" s="3" t="str">
        <f>HYPERLINK("http://www.ofsted.gov.uk/inspection-reports/find-inspection-report/provider/ELS/134857 ","Ofsted School Webpage")</f>
        <v>Ofsted School Webpage</v>
      </c>
      <c r="B154" s="85">
        <v>134857</v>
      </c>
      <c r="C154" s="85">
        <v>8863898</v>
      </c>
      <c r="D154" s="85" t="s">
        <v>701</v>
      </c>
      <c r="E154" s="85" t="s">
        <v>81</v>
      </c>
      <c r="F154" s="85" t="s">
        <v>254</v>
      </c>
      <c r="G154" s="2">
        <v>38453</v>
      </c>
      <c r="H154" s="85" t="s">
        <v>255</v>
      </c>
      <c r="I154" s="85" t="s">
        <v>256</v>
      </c>
      <c r="J154" s="85" t="s">
        <v>257</v>
      </c>
      <c r="K154" s="85" t="s">
        <v>257</v>
      </c>
      <c r="L154" s="85" t="s">
        <v>258</v>
      </c>
      <c r="M154" s="85" t="s">
        <v>169</v>
      </c>
      <c r="N154" s="85" t="s">
        <v>169</v>
      </c>
      <c r="O154" s="85" t="s">
        <v>171</v>
      </c>
      <c r="P154" s="85" t="s">
        <v>702</v>
      </c>
      <c r="Q154" s="85" t="s">
        <v>703</v>
      </c>
      <c r="R154" s="85">
        <v>4</v>
      </c>
      <c r="S154" s="85">
        <v>367</v>
      </c>
      <c r="T154" s="2">
        <v>44105</v>
      </c>
      <c r="U154" s="2">
        <v>44146</v>
      </c>
    </row>
    <row r="155" spans="1:21" x14ac:dyDescent="0.2">
      <c r="A155" s="3" t="str">
        <f>HYPERLINK("http://www.ofsted.gov.uk/inspection-reports/find-inspection-report/provider/ELS/113666 ","Ofsted School Webpage")</f>
        <v>Ofsted School Webpage</v>
      </c>
      <c r="B155" s="85">
        <v>113666</v>
      </c>
      <c r="C155" s="85">
        <v>8382017</v>
      </c>
      <c r="D155" s="85" t="s">
        <v>704</v>
      </c>
      <c r="E155" s="85" t="s">
        <v>81</v>
      </c>
      <c r="F155" s="85" t="s">
        <v>254</v>
      </c>
      <c r="G155" s="85" t="s">
        <v>262</v>
      </c>
      <c r="H155" s="85" t="s">
        <v>255</v>
      </c>
      <c r="I155" s="85" t="s">
        <v>256</v>
      </c>
      <c r="J155" s="85" t="s">
        <v>257</v>
      </c>
      <c r="K155" s="85" t="s">
        <v>257</v>
      </c>
      <c r="L155" s="85" t="s">
        <v>258</v>
      </c>
      <c r="M155" s="85" t="s">
        <v>188</v>
      </c>
      <c r="N155" s="85" t="s">
        <v>188</v>
      </c>
      <c r="O155" s="85" t="s">
        <v>190</v>
      </c>
      <c r="P155" s="85" t="s">
        <v>705</v>
      </c>
      <c r="Q155" s="85" t="s">
        <v>706</v>
      </c>
      <c r="R155" s="85">
        <v>2</v>
      </c>
      <c r="S155" s="85">
        <v>338</v>
      </c>
      <c r="T155" s="2">
        <v>44105</v>
      </c>
      <c r="U155" s="2">
        <v>44123</v>
      </c>
    </row>
    <row r="156" spans="1:21" x14ac:dyDescent="0.2">
      <c r="A156" s="3" t="str">
        <f>HYPERLINK("http://www.ofsted.gov.uk/inspection-reports/find-inspection-report/provider/ELS/100681 ","Ofsted School Webpage")</f>
        <v>Ofsted School Webpage</v>
      </c>
      <c r="B156" s="85">
        <v>100681</v>
      </c>
      <c r="C156" s="85">
        <v>2092197</v>
      </c>
      <c r="D156" s="85" t="s">
        <v>707</v>
      </c>
      <c r="E156" s="85" t="s">
        <v>81</v>
      </c>
      <c r="F156" s="85" t="s">
        <v>254</v>
      </c>
      <c r="G156" s="85" t="s">
        <v>262</v>
      </c>
      <c r="H156" s="85" t="s">
        <v>255</v>
      </c>
      <c r="I156" s="85" t="s">
        <v>256</v>
      </c>
      <c r="J156" s="85" t="s">
        <v>257</v>
      </c>
      <c r="K156" s="85" t="s">
        <v>257</v>
      </c>
      <c r="L156" s="85" t="s">
        <v>258</v>
      </c>
      <c r="M156" s="85" t="s">
        <v>107</v>
      </c>
      <c r="N156" s="85" t="s">
        <v>107</v>
      </c>
      <c r="O156" s="85" t="s">
        <v>120</v>
      </c>
      <c r="P156" s="85" t="s">
        <v>708</v>
      </c>
      <c r="Q156" s="85" t="s">
        <v>709</v>
      </c>
      <c r="R156" s="85">
        <v>5</v>
      </c>
      <c r="S156" s="85">
        <v>469</v>
      </c>
      <c r="T156" s="2">
        <v>44105</v>
      </c>
      <c r="U156" s="2">
        <v>44146</v>
      </c>
    </row>
    <row r="157" spans="1:21" x14ac:dyDescent="0.2">
      <c r="A157" s="3" t="str">
        <f>HYPERLINK("http://www.ofsted.gov.uk/inspection-reports/find-inspection-report/provider/ELS/106757 ","Ofsted School Webpage")</f>
        <v>Ofsted School Webpage</v>
      </c>
      <c r="B157" s="85">
        <v>106757</v>
      </c>
      <c r="C157" s="85">
        <v>3712196</v>
      </c>
      <c r="D157" s="85" t="s">
        <v>710</v>
      </c>
      <c r="E157" s="85" t="s">
        <v>81</v>
      </c>
      <c r="F157" s="85" t="s">
        <v>254</v>
      </c>
      <c r="G157" s="85" t="s">
        <v>262</v>
      </c>
      <c r="H157" s="85" t="s">
        <v>255</v>
      </c>
      <c r="I157" s="85" t="s">
        <v>256</v>
      </c>
      <c r="J157" s="85" t="s">
        <v>257</v>
      </c>
      <c r="K157" s="85" t="s">
        <v>257</v>
      </c>
      <c r="L157" s="85" t="s">
        <v>258</v>
      </c>
      <c r="M157" s="85" t="s">
        <v>236</v>
      </c>
      <c r="N157" s="85" t="s">
        <v>218</v>
      </c>
      <c r="O157" s="85" t="s">
        <v>225</v>
      </c>
      <c r="P157" s="85" t="s">
        <v>711</v>
      </c>
      <c r="Q157" s="85" t="s">
        <v>712</v>
      </c>
      <c r="R157" s="85">
        <v>5</v>
      </c>
      <c r="S157" s="85">
        <v>320</v>
      </c>
      <c r="T157" s="2">
        <v>44105</v>
      </c>
      <c r="U157" s="2">
        <v>44151</v>
      </c>
    </row>
    <row r="158" spans="1:21" x14ac:dyDescent="0.2">
      <c r="A158" s="3" t="str">
        <f>HYPERLINK("http://www.ofsted.gov.uk/inspection-reports/find-inspection-report/provider/ELS/112675 ","Ofsted School Webpage")</f>
        <v>Ofsted School Webpage</v>
      </c>
      <c r="B158" s="85">
        <v>112675</v>
      </c>
      <c r="C158" s="85">
        <v>8302310</v>
      </c>
      <c r="D158" s="85" t="s">
        <v>713</v>
      </c>
      <c r="E158" s="85" t="s">
        <v>81</v>
      </c>
      <c r="F158" s="85" t="s">
        <v>254</v>
      </c>
      <c r="G158" s="85" t="s">
        <v>262</v>
      </c>
      <c r="H158" s="85" t="s">
        <v>255</v>
      </c>
      <c r="I158" s="85" t="s">
        <v>256</v>
      </c>
      <c r="J158" s="85" t="s">
        <v>257</v>
      </c>
      <c r="K158" s="85" t="s">
        <v>257</v>
      </c>
      <c r="L158" s="85" t="s">
        <v>258</v>
      </c>
      <c r="M158" s="85" t="s">
        <v>85</v>
      </c>
      <c r="N158" s="85" t="s">
        <v>85</v>
      </c>
      <c r="O158" s="85" t="s">
        <v>86</v>
      </c>
      <c r="P158" s="85" t="s">
        <v>714</v>
      </c>
      <c r="Q158" s="85" t="s">
        <v>715</v>
      </c>
      <c r="R158" s="85">
        <v>5</v>
      </c>
      <c r="S158" s="85">
        <v>354</v>
      </c>
      <c r="T158" s="2">
        <v>44110</v>
      </c>
      <c r="U158" s="2">
        <v>44146</v>
      </c>
    </row>
    <row r="159" spans="1:21" x14ac:dyDescent="0.2">
      <c r="A159" s="3" t="str">
        <f>HYPERLINK("http://www.ofsted.gov.uk/inspection-reports/find-inspection-report/provider/ELS/123719 ","Ofsted School Webpage")</f>
        <v>Ofsted School Webpage</v>
      </c>
      <c r="B159" s="85">
        <v>123719</v>
      </c>
      <c r="C159" s="85">
        <v>9332302</v>
      </c>
      <c r="D159" s="85" t="s">
        <v>716</v>
      </c>
      <c r="E159" s="85" t="s">
        <v>81</v>
      </c>
      <c r="F159" s="85" t="s">
        <v>254</v>
      </c>
      <c r="G159" s="85" t="s">
        <v>262</v>
      </c>
      <c r="H159" s="85" t="s">
        <v>255</v>
      </c>
      <c r="I159" s="85" t="s">
        <v>256</v>
      </c>
      <c r="J159" s="85" t="s">
        <v>257</v>
      </c>
      <c r="K159" s="85" t="s">
        <v>257</v>
      </c>
      <c r="L159" s="85" t="s">
        <v>258</v>
      </c>
      <c r="M159" s="85" t="s">
        <v>188</v>
      </c>
      <c r="N159" s="85" t="s">
        <v>188</v>
      </c>
      <c r="O159" s="85" t="s">
        <v>195</v>
      </c>
      <c r="P159" s="85" t="s">
        <v>433</v>
      </c>
      <c r="Q159" s="85" t="s">
        <v>717</v>
      </c>
      <c r="R159" s="85">
        <v>2</v>
      </c>
      <c r="S159" s="85">
        <v>239</v>
      </c>
      <c r="T159" s="2">
        <v>44110</v>
      </c>
      <c r="U159" s="2">
        <v>44146</v>
      </c>
    </row>
    <row r="160" spans="1:21" x14ac:dyDescent="0.2">
      <c r="A160" s="3" t="str">
        <f>HYPERLINK("http://www.ofsted.gov.uk/inspection-reports/find-inspection-report/provider/ELS/118523 ","Ofsted School Webpage")</f>
        <v>Ofsted School Webpage</v>
      </c>
      <c r="B160" s="85">
        <v>118523</v>
      </c>
      <c r="C160" s="85">
        <v>8862574</v>
      </c>
      <c r="D160" s="85" t="s">
        <v>718</v>
      </c>
      <c r="E160" s="85" t="s">
        <v>81</v>
      </c>
      <c r="F160" s="85" t="s">
        <v>254</v>
      </c>
      <c r="G160" s="85" t="s">
        <v>262</v>
      </c>
      <c r="H160" s="85" t="s">
        <v>255</v>
      </c>
      <c r="I160" s="85" t="s">
        <v>256</v>
      </c>
      <c r="J160" s="85" t="s">
        <v>257</v>
      </c>
      <c r="K160" s="85" t="s">
        <v>257</v>
      </c>
      <c r="L160" s="85" t="s">
        <v>258</v>
      </c>
      <c r="M160" s="85" t="s">
        <v>169</v>
      </c>
      <c r="N160" s="85" t="s">
        <v>169</v>
      </c>
      <c r="O160" s="85" t="s">
        <v>171</v>
      </c>
      <c r="P160" s="85" t="s">
        <v>719</v>
      </c>
      <c r="Q160" s="85" t="s">
        <v>720</v>
      </c>
      <c r="R160" s="85">
        <v>3</v>
      </c>
      <c r="S160" s="85">
        <v>259</v>
      </c>
      <c r="T160" s="2">
        <v>44110</v>
      </c>
      <c r="U160" s="2">
        <v>44150</v>
      </c>
    </row>
    <row r="161" spans="1:21" x14ac:dyDescent="0.2">
      <c r="A161" s="3" t="str">
        <f>HYPERLINK("http://www.ofsted.gov.uk/inspection-reports/find-inspection-report/provider/ELS/116749 ","Ofsted School Webpage")</f>
        <v>Ofsted School Webpage</v>
      </c>
      <c r="B161" s="85">
        <v>116749</v>
      </c>
      <c r="C161" s="85">
        <v>8852161</v>
      </c>
      <c r="D161" s="85" t="s">
        <v>721</v>
      </c>
      <c r="E161" s="85" t="s">
        <v>81</v>
      </c>
      <c r="F161" s="85" t="s">
        <v>254</v>
      </c>
      <c r="G161" s="85" t="s">
        <v>262</v>
      </c>
      <c r="H161" s="85" t="s">
        <v>255</v>
      </c>
      <c r="I161" s="85" t="s">
        <v>256</v>
      </c>
      <c r="J161" s="85" t="s">
        <v>257</v>
      </c>
      <c r="K161" s="85" t="s">
        <v>257</v>
      </c>
      <c r="L161" s="85" t="s">
        <v>258</v>
      </c>
      <c r="M161" s="85" t="s">
        <v>203</v>
      </c>
      <c r="N161" s="85" t="s">
        <v>203</v>
      </c>
      <c r="O161" s="85" t="s">
        <v>215</v>
      </c>
      <c r="P161" s="85" t="s">
        <v>722</v>
      </c>
      <c r="Q161" s="85" t="s">
        <v>723</v>
      </c>
      <c r="R161" s="85">
        <v>2</v>
      </c>
      <c r="S161" s="85">
        <v>619</v>
      </c>
      <c r="T161" s="2">
        <v>44110</v>
      </c>
      <c r="U161" s="2">
        <v>44147</v>
      </c>
    </row>
    <row r="162" spans="1:21" x14ac:dyDescent="0.2">
      <c r="A162" s="3" t="str">
        <f>HYPERLINK("http://www.ofsted.gov.uk/inspection-reports/find-inspection-report/provider/ELS/118534 ","Ofsted School Webpage")</f>
        <v>Ofsted School Webpage</v>
      </c>
      <c r="B162" s="85">
        <v>118534</v>
      </c>
      <c r="C162" s="85">
        <v>8862603</v>
      </c>
      <c r="D162" s="85" t="s">
        <v>724</v>
      </c>
      <c r="E162" s="85" t="s">
        <v>81</v>
      </c>
      <c r="F162" s="85" t="s">
        <v>382</v>
      </c>
      <c r="G162" s="85" t="s">
        <v>262</v>
      </c>
      <c r="H162" s="85" t="s">
        <v>255</v>
      </c>
      <c r="I162" s="85" t="s">
        <v>256</v>
      </c>
      <c r="J162" s="85" t="s">
        <v>257</v>
      </c>
      <c r="K162" s="85" t="s">
        <v>257</v>
      </c>
      <c r="L162" s="85" t="s">
        <v>258</v>
      </c>
      <c r="M162" s="85" t="s">
        <v>169</v>
      </c>
      <c r="N162" s="85" t="s">
        <v>169</v>
      </c>
      <c r="O162" s="85" t="s">
        <v>171</v>
      </c>
      <c r="P162" s="85" t="s">
        <v>725</v>
      </c>
      <c r="Q162" s="85" t="s">
        <v>726</v>
      </c>
      <c r="R162" s="85">
        <v>4</v>
      </c>
      <c r="S162" s="85">
        <v>482</v>
      </c>
      <c r="T162" s="2">
        <v>44110</v>
      </c>
      <c r="U162" s="2">
        <v>44147</v>
      </c>
    </row>
    <row r="163" spans="1:21" x14ac:dyDescent="0.2">
      <c r="A163" s="3" t="str">
        <f>HYPERLINK("http://www.ofsted.gov.uk/inspection-reports/find-inspection-report/provider/ELS/117832 ","Ofsted School Webpage")</f>
        <v>Ofsted School Webpage</v>
      </c>
      <c r="B163" s="85">
        <v>117832</v>
      </c>
      <c r="C163" s="85">
        <v>8112709</v>
      </c>
      <c r="D163" s="85" t="s">
        <v>727</v>
      </c>
      <c r="E163" s="85" t="s">
        <v>81</v>
      </c>
      <c r="F163" s="85" t="s">
        <v>254</v>
      </c>
      <c r="G163" s="85" t="s">
        <v>262</v>
      </c>
      <c r="H163" s="85" t="s">
        <v>255</v>
      </c>
      <c r="I163" s="85" t="s">
        <v>256</v>
      </c>
      <c r="J163" s="85" t="s">
        <v>257</v>
      </c>
      <c r="K163" s="85" t="s">
        <v>257</v>
      </c>
      <c r="L163" s="85" t="s">
        <v>258</v>
      </c>
      <c r="M163" s="85" t="s">
        <v>236</v>
      </c>
      <c r="N163" s="85" t="s">
        <v>218</v>
      </c>
      <c r="O163" s="85" t="s">
        <v>220</v>
      </c>
      <c r="P163" s="85" t="s">
        <v>728</v>
      </c>
      <c r="Q163" s="85" t="s">
        <v>729</v>
      </c>
      <c r="R163" s="85">
        <v>5</v>
      </c>
      <c r="S163" s="85">
        <v>307</v>
      </c>
      <c r="T163" s="2">
        <v>44110</v>
      </c>
      <c r="U163" s="2">
        <v>44158</v>
      </c>
    </row>
    <row r="164" spans="1:21" x14ac:dyDescent="0.2">
      <c r="A164" s="3" t="str">
        <f>HYPERLINK("http://www.ofsted.gov.uk/inspection-reports/find-inspection-report/provider/ELS/121369 ","Ofsted School Webpage")</f>
        <v>Ofsted School Webpage</v>
      </c>
      <c r="B164" s="85">
        <v>121369</v>
      </c>
      <c r="C164" s="85">
        <v>8152245</v>
      </c>
      <c r="D164" s="85" t="s">
        <v>730</v>
      </c>
      <c r="E164" s="85" t="s">
        <v>81</v>
      </c>
      <c r="F164" s="85" t="s">
        <v>254</v>
      </c>
      <c r="G164" s="2">
        <v>1</v>
      </c>
      <c r="H164" s="85" t="s">
        <v>255</v>
      </c>
      <c r="I164" s="85" t="s">
        <v>256</v>
      </c>
      <c r="J164" s="85" t="s">
        <v>257</v>
      </c>
      <c r="K164" s="85" t="s">
        <v>257</v>
      </c>
      <c r="L164" s="85" t="s">
        <v>258</v>
      </c>
      <c r="M164" s="85" t="s">
        <v>236</v>
      </c>
      <c r="N164" s="85" t="s">
        <v>218</v>
      </c>
      <c r="O164" s="85" t="s">
        <v>224</v>
      </c>
      <c r="P164" s="85" t="s">
        <v>731</v>
      </c>
      <c r="Q164" s="85" t="s">
        <v>732</v>
      </c>
      <c r="R164" s="85">
        <v>1</v>
      </c>
      <c r="S164" s="85">
        <v>137</v>
      </c>
      <c r="T164" s="2">
        <v>44110</v>
      </c>
      <c r="U164" s="2">
        <v>44158</v>
      </c>
    </row>
    <row r="165" spans="1:21" x14ac:dyDescent="0.2">
      <c r="A165" s="3" t="str">
        <f>HYPERLINK("http://www.ofsted.gov.uk/inspection-reports/find-inspection-report/provider/ELS/114970 ","Ofsted School Webpage")</f>
        <v>Ofsted School Webpage</v>
      </c>
      <c r="B165" s="85">
        <v>114970</v>
      </c>
      <c r="C165" s="85">
        <v>8812730</v>
      </c>
      <c r="D165" s="85" t="s">
        <v>733</v>
      </c>
      <c r="E165" s="85" t="s">
        <v>81</v>
      </c>
      <c r="F165" s="85" t="s">
        <v>254</v>
      </c>
      <c r="G165" s="85" t="s">
        <v>262</v>
      </c>
      <c r="H165" s="85" t="s">
        <v>255</v>
      </c>
      <c r="I165" s="85" t="s">
        <v>256</v>
      </c>
      <c r="J165" s="85" t="s">
        <v>257</v>
      </c>
      <c r="K165" s="85" t="s">
        <v>257</v>
      </c>
      <c r="L165" s="85" t="s">
        <v>258</v>
      </c>
      <c r="M165" s="85" t="s">
        <v>95</v>
      </c>
      <c r="N165" s="85" t="s">
        <v>95</v>
      </c>
      <c r="O165" s="85" t="s">
        <v>104</v>
      </c>
      <c r="P165" s="85" t="s">
        <v>734</v>
      </c>
      <c r="Q165" s="85" t="s">
        <v>735</v>
      </c>
      <c r="R165" s="85">
        <v>1</v>
      </c>
      <c r="S165" s="85">
        <v>105</v>
      </c>
      <c r="T165" s="2">
        <v>44110</v>
      </c>
      <c r="U165" s="2">
        <v>44157</v>
      </c>
    </row>
    <row r="166" spans="1:21" x14ac:dyDescent="0.2">
      <c r="A166" s="3" t="str">
        <f>HYPERLINK("http://www.ofsted.gov.uk/inspection-reports/find-inspection-report/provider/ELS/116255 ","Ofsted School Webpage")</f>
        <v>Ofsted School Webpage</v>
      </c>
      <c r="B166" s="85">
        <v>116255</v>
      </c>
      <c r="C166" s="85">
        <v>8502761</v>
      </c>
      <c r="D166" s="85" t="s">
        <v>736</v>
      </c>
      <c r="E166" s="85" t="s">
        <v>81</v>
      </c>
      <c r="F166" s="85" t="s">
        <v>254</v>
      </c>
      <c r="G166" s="85" t="s">
        <v>262</v>
      </c>
      <c r="H166" s="85" t="s">
        <v>255</v>
      </c>
      <c r="I166" s="85" t="s">
        <v>256</v>
      </c>
      <c r="J166" s="85" t="s">
        <v>257</v>
      </c>
      <c r="K166" s="85" t="s">
        <v>257</v>
      </c>
      <c r="L166" s="85" t="s">
        <v>258</v>
      </c>
      <c r="M166" s="85" t="s">
        <v>169</v>
      </c>
      <c r="N166" s="85" t="s">
        <v>169</v>
      </c>
      <c r="O166" s="85" t="s">
        <v>170</v>
      </c>
      <c r="P166" s="85" t="s">
        <v>442</v>
      </c>
      <c r="Q166" s="85" t="s">
        <v>737</v>
      </c>
      <c r="R166" s="85">
        <v>2</v>
      </c>
      <c r="S166" s="85">
        <v>359</v>
      </c>
      <c r="T166" s="2">
        <v>44110</v>
      </c>
      <c r="U166" s="2">
        <v>44139</v>
      </c>
    </row>
    <row r="167" spans="1:21" x14ac:dyDescent="0.2">
      <c r="A167" s="3" t="str">
        <f>HYPERLINK("http://www.ofsted.gov.uk/inspection-reports/find-inspection-report/provider/ELS/119120 ","Ofsted School Webpage")</f>
        <v>Ofsted School Webpage</v>
      </c>
      <c r="B167" s="85">
        <v>119120</v>
      </c>
      <c r="C167" s="85">
        <v>8892008</v>
      </c>
      <c r="D167" s="85" t="s">
        <v>738</v>
      </c>
      <c r="E167" s="85" t="s">
        <v>81</v>
      </c>
      <c r="F167" s="85" t="s">
        <v>254</v>
      </c>
      <c r="G167" s="85" t="s">
        <v>262</v>
      </c>
      <c r="H167" s="85" t="s">
        <v>255</v>
      </c>
      <c r="I167" s="85" t="s">
        <v>256</v>
      </c>
      <c r="J167" s="85" t="s">
        <v>257</v>
      </c>
      <c r="K167" s="85" t="s">
        <v>257</v>
      </c>
      <c r="L167" s="85" t="s">
        <v>258</v>
      </c>
      <c r="M167" s="85" t="s">
        <v>148</v>
      </c>
      <c r="N167" s="85" t="s">
        <v>148</v>
      </c>
      <c r="O167" s="85" t="s">
        <v>159</v>
      </c>
      <c r="P167" s="85" t="s">
        <v>739</v>
      </c>
      <c r="Q167" s="85" t="s">
        <v>740</v>
      </c>
      <c r="R167" s="85">
        <v>3</v>
      </c>
      <c r="S167" s="85">
        <v>385</v>
      </c>
      <c r="T167" s="2">
        <v>44110</v>
      </c>
      <c r="U167" s="2">
        <v>44154</v>
      </c>
    </row>
    <row r="168" spans="1:21" x14ac:dyDescent="0.2">
      <c r="A168" s="3" t="str">
        <f>HYPERLINK("http://www.ofsted.gov.uk/inspection-reports/find-inspection-report/provider/ELS/116231 ","Ofsted School Webpage")</f>
        <v>Ofsted School Webpage</v>
      </c>
      <c r="B168" s="85">
        <v>116231</v>
      </c>
      <c r="C168" s="85">
        <v>8502726</v>
      </c>
      <c r="D168" s="85" t="s">
        <v>741</v>
      </c>
      <c r="E168" s="85" t="s">
        <v>81</v>
      </c>
      <c r="F168" s="85" t="s">
        <v>254</v>
      </c>
      <c r="G168" s="85" t="s">
        <v>262</v>
      </c>
      <c r="H168" s="85" t="s">
        <v>255</v>
      </c>
      <c r="I168" s="85" t="s">
        <v>256</v>
      </c>
      <c r="J168" s="85" t="s">
        <v>257</v>
      </c>
      <c r="K168" s="85" t="s">
        <v>257</v>
      </c>
      <c r="L168" s="85" t="s">
        <v>258</v>
      </c>
      <c r="M168" s="85" t="s">
        <v>169</v>
      </c>
      <c r="N168" s="85" t="s">
        <v>169</v>
      </c>
      <c r="O168" s="85" t="s">
        <v>170</v>
      </c>
      <c r="P168" s="85" t="s">
        <v>442</v>
      </c>
      <c r="Q168" s="85" t="s">
        <v>742</v>
      </c>
      <c r="R168" s="85">
        <v>3</v>
      </c>
      <c r="S168" s="85">
        <v>307</v>
      </c>
      <c r="T168" s="2">
        <v>44110</v>
      </c>
      <c r="U168" s="2">
        <v>44146</v>
      </c>
    </row>
    <row r="169" spans="1:21" x14ac:dyDescent="0.2">
      <c r="A169" s="3" t="str">
        <f>HYPERLINK("http://www.ofsted.gov.uk/inspection-reports/find-inspection-report/provider/ELS/130869 ","Ofsted School Webpage")</f>
        <v>Ofsted School Webpage</v>
      </c>
      <c r="B169" s="85">
        <v>130869</v>
      </c>
      <c r="C169" s="85">
        <v>9372621</v>
      </c>
      <c r="D169" s="85" t="s">
        <v>743</v>
      </c>
      <c r="E169" s="85" t="s">
        <v>81</v>
      </c>
      <c r="F169" s="85" t="s">
        <v>254</v>
      </c>
      <c r="G169" s="2">
        <v>35309</v>
      </c>
      <c r="H169" s="85" t="s">
        <v>255</v>
      </c>
      <c r="I169" s="85" t="s">
        <v>256</v>
      </c>
      <c r="J169" s="85" t="s">
        <v>257</v>
      </c>
      <c r="K169" s="85" t="s">
        <v>257</v>
      </c>
      <c r="L169" s="85" t="s">
        <v>258</v>
      </c>
      <c r="M169" s="85" t="s">
        <v>203</v>
      </c>
      <c r="N169" s="85" t="s">
        <v>203</v>
      </c>
      <c r="O169" s="85" t="s">
        <v>212</v>
      </c>
      <c r="P169" s="85" t="s">
        <v>744</v>
      </c>
      <c r="Q169" s="85" t="s">
        <v>745</v>
      </c>
      <c r="R169" s="85">
        <v>4</v>
      </c>
      <c r="S169" s="85">
        <v>303</v>
      </c>
      <c r="T169" s="2">
        <v>44110</v>
      </c>
      <c r="U169" s="2">
        <v>44144</v>
      </c>
    </row>
    <row r="170" spans="1:21" x14ac:dyDescent="0.2">
      <c r="A170" s="3" t="str">
        <f>HYPERLINK("http://www.ofsted.gov.uk/inspection-reports/find-inspection-report/provider/ELS/116117 ","Ofsted School Webpage")</f>
        <v>Ofsted School Webpage</v>
      </c>
      <c r="B170" s="85">
        <v>116117</v>
      </c>
      <c r="C170" s="85">
        <v>8522441</v>
      </c>
      <c r="D170" s="85" t="s">
        <v>746</v>
      </c>
      <c r="E170" s="85" t="s">
        <v>81</v>
      </c>
      <c r="F170" s="85" t="s">
        <v>382</v>
      </c>
      <c r="G170" s="85" t="s">
        <v>262</v>
      </c>
      <c r="H170" s="85" t="s">
        <v>255</v>
      </c>
      <c r="I170" s="85" t="s">
        <v>256</v>
      </c>
      <c r="J170" s="85" t="s">
        <v>257</v>
      </c>
      <c r="K170" s="85" t="s">
        <v>257</v>
      </c>
      <c r="L170" s="85" t="s">
        <v>258</v>
      </c>
      <c r="M170" s="85" t="s">
        <v>169</v>
      </c>
      <c r="N170" s="85" t="s">
        <v>169</v>
      </c>
      <c r="O170" s="85" t="s">
        <v>179</v>
      </c>
      <c r="P170" s="85" t="s">
        <v>747</v>
      </c>
      <c r="Q170" s="85" t="s">
        <v>748</v>
      </c>
      <c r="R170" s="85">
        <v>4</v>
      </c>
      <c r="S170" s="85">
        <v>200</v>
      </c>
      <c r="T170" s="2">
        <v>44110</v>
      </c>
      <c r="U170" s="2">
        <v>44151</v>
      </c>
    </row>
    <row r="171" spans="1:21" x14ac:dyDescent="0.2">
      <c r="A171" s="3" t="str">
        <f>HYPERLINK("http://www.ofsted.gov.uk/inspection-reports/find-inspection-report/provider/ELS/111039 ","Ofsted School Webpage")</f>
        <v>Ofsted School Webpage</v>
      </c>
      <c r="B171" s="85">
        <v>111039</v>
      </c>
      <c r="C171" s="85">
        <v>8952169</v>
      </c>
      <c r="D171" s="85" t="s">
        <v>749</v>
      </c>
      <c r="E171" s="85" t="s">
        <v>81</v>
      </c>
      <c r="F171" s="85" t="s">
        <v>254</v>
      </c>
      <c r="G171" s="85" t="s">
        <v>262</v>
      </c>
      <c r="H171" s="85" t="s">
        <v>255</v>
      </c>
      <c r="I171" s="85" t="s">
        <v>256</v>
      </c>
      <c r="J171" s="85" t="s">
        <v>257</v>
      </c>
      <c r="K171" s="85" t="s">
        <v>257</v>
      </c>
      <c r="L171" s="85" t="s">
        <v>258</v>
      </c>
      <c r="M171" s="85" t="s">
        <v>148</v>
      </c>
      <c r="N171" s="85" t="s">
        <v>148</v>
      </c>
      <c r="O171" s="85" t="s">
        <v>160</v>
      </c>
      <c r="P171" s="85" t="s">
        <v>750</v>
      </c>
      <c r="Q171" s="85" t="s">
        <v>751</v>
      </c>
      <c r="R171" s="85">
        <v>3</v>
      </c>
      <c r="S171" s="85">
        <v>212</v>
      </c>
      <c r="T171" s="2">
        <v>44110</v>
      </c>
      <c r="U171" s="2">
        <v>44158</v>
      </c>
    </row>
    <row r="172" spans="1:21" x14ac:dyDescent="0.2">
      <c r="A172" s="3" t="str">
        <f>HYPERLINK("http://www.ofsted.gov.uk/inspection-reports/find-inspection-report/provider/ELS/112679 ","Ofsted School Webpage")</f>
        <v>Ofsted School Webpage</v>
      </c>
      <c r="B172" s="85">
        <v>112679</v>
      </c>
      <c r="C172" s="85">
        <v>8302321</v>
      </c>
      <c r="D172" s="85" t="s">
        <v>752</v>
      </c>
      <c r="E172" s="85" t="s">
        <v>81</v>
      </c>
      <c r="F172" s="85" t="s">
        <v>254</v>
      </c>
      <c r="G172" s="85" t="s">
        <v>262</v>
      </c>
      <c r="H172" s="85" t="s">
        <v>255</v>
      </c>
      <c r="I172" s="85" t="s">
        <v>256</v>
      </c>
      <c r="J172" s="85" t="s">
        <v>257</v>
      </c>
      <c r="K172" s="85" t="s">
        <v>257</v>
      </c>
      <c r="L172" s="85" t="s">
        <v>258</v>
      </c>
      <c r="M172" s="85" t="s">
        <v>85</v>
      </c>
      <c r="N172" s="85" t="s">
        <v>85</v>
      </c>
      <c r="O172" s="85" t="s">
        <v>86</v>
      </c>
      <c r="P172" s="85" t="s">
        <v>286</v>
      </c>
      <c r="Q172" s="85" t="s">
        <v>753</v>
      </c>
      <c r="R172" s="85">
        <v>3</v>
      </c>
      <c r="S172" s="85">
        <v>218</v>
      </c>
      <c r="T172" s="2">
        <v>44110</v>
      </c>
      <c r="U172" s="2">
        <v>44152</v>
      </c>
    </row>
    <row r="173" spans="1:21" x14ac:dyDescent="0.2">
      <c r="A173" s="3" t="str">
        <f>HYPERLINK("http://www.ofsted.gov.uk/inspection-reports/find-inspection-report/provider/ELS/100234 ","Ofsted School Webpage")</f>
        <v>Ofsted School Webpage</v>
      </c>
      <c r="B173" s="85">
        <v>100234</v>
      </c>
      <c r="C173" s="85">
        <v>2042450</v>
      </c>
      <c r="D173" s="85" t="s">
        <v>754</v>
      </c>
      <c r="E173" s="85" t="s">
        <v>81</v>
      </c>
      <c r="F173" s="85" t="s">
        <v>254</v>
      </c>
      <c r="G173" s="85" t="s">
        <v>262</v>
      </c>
      <c r="H173" s="85" t="s">
        <v>255</v>
      </c>
      <c r="I173" s="85" t="s">
        <v>256</v>
      </c>
      <c r="J173" s="85" t="s">
        <v>257</v>
      </c>
      <c r="K173" s="85" t="s">
        <v>257</v>
      </c>
      <c r="L173" s="85" t="s">
        <v>258</v>
      </c>
      <c r="M173" s="85" t="s">
        <v>107</v>
      </c>
      <c r="N173" s="85" t="s">
        <v>107</v>
      </c>
      <c r="O173" s="85" t="s">
        <v>111</v>
      </c>
      <c r="P173" s="85" t="s">
        <v>755</v>
      </c>
      <c r="Q173" s="85" t="s">
        <v>756</v>
      </c>
      <c r="R173" s="85">
        <v>5</v>
      </c>
      <c r="S173" s="85">
        <v>651</v>
      </c>
      <c r="T173" s="2">
        <v>44110</v>
      </c>
      <c r="U173" s="2">
        <v>44159</v>
      </c>
    </row>
    <row r="174" spans="1:21" x14ac:dyDescent="0.2">
      <c r="A174" s="3" t="str">
        <f>HYPERLINK("http://www.ofsted.gov.uk/inspection-reports/find-inspection-report/provider/ELS/117259 ","Ofsted School Webpage")</f>
        <v>Ofsted School Webpage</v>
      </c>
      <c r="B174" s="85">
        <v>117259</v>
      </c>
      <c r="C174" s="85">
        <v>9192300</v>
      </c>
      <c r="D174" s="85" t="s">
        <v>757</v>
      </c>
      <c r="E174" s="85" t="s">
        <v>81</v>
      </c>
      <c r="F174" s="85" t="s">
        <v>254</v>
      </c>
      <c r="G174" s="85" t="s">
        <v>262</v>
      </c>
      <c r="H174" s="85" t="s">
        <v>255</v>
      </c>
      <c r="I174" s="85" t="s">
        <v>256</v>
      </c>
      <c r="J174" s="85" t="s">
        <v>257</v>
      </c>
      <c r="K174" s="85" t="s">
        <v>257</v>
      </c>
      <c r="L174" s="85" t="s">
        <v>258</v>
      </c>
      <c r="M174" s="85" t="s">
        <v>95</v>
      </c>
      <c r="N174" s="85" t="s">
        <v>95</v>
      </c>
      <c r="O174" s="85" t="s">
        <v>102</v>
      </c>
      <c r="P174" s="85" t="s">
        <v>758</v>
      </c>
      <c r="Q174" s="85" t="s">
        <v>759</v>
      </c>
      <c r="R174" s="85">
        <v>4</v>
      </c>
      <c r="S174" s="85">
        <v>237</v>
      </c>
      <c r="T174" s="2">
        <v>44110</v>
      </c>
      <c r="U174" s="2">
        <v>44150</v>
      </c>
    </row>
    <row r="175" spans="1:21" x14ac:dyDescent="0.2">
      <c r="A175" s="3" t="str">
        <f>HYPERLINK("http://www.ofsted.gov.uk/inspection-reports/find-inspection-report/provider/ELS/105003 ","Ofsted School Webpage")</f>
        <v>Ofsted School Webpage</v>
      </c>
      <c r="B175" s="85">
        <v>105003</v>
      </c>
      <c r="C175" s="85">
        <v>3442116</v>
      </c>
      <c r="D175" s="85" t="s">
        <v>760</v>
      </c>
      <c r="E175" s="85" t="s">
        <v>81</v>
      </c>
      <c r="F175" s="85" t="s">
        <v>254</v>
      </c>
      <c r="G175" s="85" t="s">
        <v>262</v>
      </c>
      <c r="H175" s="85" t="s">
        <v>255</v>
      </c>
      <c r="I175" s="85" t="s">
        <v>256</v>
      </c>
      <c r="J175" s="85" t="s">
        <v>257</v>
      </c>
      <c r="K175" s="85" t="s">
        <v>257</v>
      </c>
      <c r="L175" s="85" t="s">
        <v>258</v>
      </c>
      <c r="M175" s="85" t="s">
        <v>148</v>
      </c>
      <c r="N175" s="85" t="s">
        <v>148</v>
      </c>
      <c r="O175" s="85" t="s">
        <v>161</v>
      </c>
      <c r="P175" s="85" t="s">
        <v>761</v>
      </c>
      <c r="Q175" s="85" t="s">
        <v>762</v>
      </c>
      <c r="R175" s="85">
        <v>5</v>
      </c>
      <c r="S175" s="85">
        <v>93</v>
      </c>
      <c r="T175" s="2">
        <v>44110</v>
      </c>
      <c r="U175" s="2">
        <v>44158</v>
      </c>
    </row>
    <row r="176" spans="1:21" x14ac:dyDescent="0.2">
      <c r="A176" s="3" t="str">
        <f>HYPERLINK("http://www.ofsted.gov.uk/inspection-reports/find-inspection-report/provider/ELS/115602 ","Ofsted School Webpage")</f>
        <v>Ofsted School Webpage</v>
      </c>
      <c r="B176" s="85">
        <v>115602</v>
      </c>
      <c r="C176" s="85">
        <v>9162173</v>
      </c>
      <c r="D176" s="85" t="s">
        <v>763</v>
      </c>
      <c r="E176" s="85" t="s">
        <v>81</v>
      </c>
      <c r="F176" s="85" t="s">
        <v>254</v>
      </c>
      <c r="G176" s="85" t="s">
        <v>262</v>
      </c>
      <c r="H176" s="85" t="s">
        <v>255</v>
      </c>
      <c r="I176" s="85" t="s">
        <v>256</v>
      </c>
      <c r="J176" s="85" t="s">
        <v>257</v>
      </c>
      <c r="K176" s="85" t="s">
        <v>257</v>
      </c>
      <c r="L176" s="85" t="s">
        <v>258</v>
      </c>
      <c r="M176" s="85" t="s">
        <v>188</v>
      </c>
      <c r="N176" s="85" t="s">
        <v>188</v>
      </c>
      <c r="O176" s="85" t="s">
        <v>194</v>
      </c>
      <c r="P176" s="85" t="s">
        <v>764</v>
      </c>
      <c r="Q176" s="85" t="s">
        <v>765</v>
      </c>
      <c r="R176" s="85">
        <v>5</v>
      </c>
      <c r="S176" s="85">
        <v>188</v>
      </c>
      <c r="T176" s="2">
        <v>44110</v>
      </c>
      <c r="U176" s="2">
        <v>44144</v>
      </c>
    </row>
    <row r="177" spans="1:21" x14ac:dyDescent="0.2">
      <c r="A177" s="3" t="str">
        <f>HYPERLINK("http://www.ofsted.gov.uk/inspection-reports/find-inspection-report/provider/ELS/112976 ","Ofsted School Webpage")</f>
        <v>Ofsted School Webpage</v>
      </c>
      <c r="B177" s="85">
        <v>112976</v>
      </c>
      <c r="C177" s="85">
        <v>8305202</v>
      </c>
      <c r="D177" s="85" t="s">
        <v>766</v>
      </c>
      <c r="E177" s="85" t="s">
        <v>81</v>
      </c>
      <c r="F177" s="85" t="s">
        <v>254</v>
      </c>
      <c r="G177" s="85" t="s">
        <v>262</v>
      </c>
      <c r="H177" s="85" t="s">
        <v>255</v>
      </c>
      <c r="I177" s="85" t="s">
        <v>256</v>
      </c>
      <c r="J177" s="85" t="s">
        <v>257</v>
      </c>
      <c r="K177" s="85" t="s">
        <v>257</v>
      </c>
      <c r="L177" s="85" t="s">
        <v>258</v>
      </c>
      <c r="M177" s="85" t="s">
        <v>85</v>
      </c>
      <c r="N177" s="85" t="s">
        <v>85</v>
      </c>
      <c r="O177" s="85" t="s">
        <v>86</v>
      </c>
      <c r="P177" s="85" t="s">
        <v>286</v>
      </c>
      <c r="Q177" s="85" t="s">
        <v>767</v>
      </c>
      <c r="R177" s="85">
        <v>1</v>
      </c>
      <c r="S177" s="85">
        <v>206</v>
      </c>
      <c r="T177" s="2">
        <v>44110</v>
      </c>
      <c r="U177" s="2">
        <v>44150</v>
      </c>
    </row>
    <row r="178" spans="1:21" x14ac:dyDescent="0.2">
      <c r="A178" s="3" t="str">
        <f>HYPERLINK("http://www.ofsted.gov.uk/inspection-reports/find-inspection-report/provider/ELS/115908 ","Ofsted School Webpage")</f>
        <v>Ofsted School Webpage</v>
      </c>
      <c r="B178" s="85">
        <v>115908</v>
      </c>
      <c r="C178" s="85">
        <v>8502100</v>
      </c>
      <c r="D178" s="85" t="s">
        <v>768</v>
      </c>
      <c r="E178" s="85" t="s">
        <v>81</v>
      </c>
      <c r="F178" s="85" t="s">
        <v>254</v>
      </c>
      <c r="G178" s="85" t="s">
        <v>262</v>
      </c>
      <c r="H178" s="85" t="s">
        <v>255</v>
      </c>
      <c r="I178" s="85" t="s">
        <v>256</v>
      </c>
      <c r="J178" s="85" t="s">
        <v>257</v>
      </c>
      <c r="K178" s="85" t="s">
        <v>257</v>
      </c>
      <c r="L178" s="85" t="s">
        <v>258</v>
      </c>
      <c r="M178" s="85" t="s">
        <v>169</v>
      </c>
      <c r="N178" s="85" t="s">
        <v>169</v>
      </c>
      <c r="O178" s="85" t="s">
        <v>170</v>
      </c>
      <c r="P178" s="85" t="s">
        <v>269</v>
      </c>
      <c r="Q178" s="85" t="s">
        <v>769</v>
      </c>
      <c r="R178" s="85">
        <v>5</v>
      </c>
      <c r="S178" s="85">
        <v>328</v>
      </c>
      <c r="T178" s="2">
        <v>44110</v>
      </c>
      <c r="U178" s="2">
        <v>44154</v>
      </c>
    </row>
    <row r="179" spans="1:21" x14ac:dyDescent="0.2">
      <c r="A179" s="3" t="str">
        <f>HYPERLINK("http://www.ofsted.gov.uk/inspection-reports/find-inspection-report/provider/ELS/120887 ","Ofsted School Webpage")</f>
        <v>Ofsted School Webpage</v>
      </c>
      <c r="B179" s="85">
        <v>120887</v>
      </c>
      <c r="C179" s="85">
        <v>9262228</v>
      </c>
      <c r="D179" s="85" t="s">
        <v>770</v>
      </c>
      <c r="E179" s="85" t="s">
        <v>81</v>
      </c>
      <c r="F179" s="85" t="s">
        <v>254</v>
      </c>
      <c r="G179" s="85" t="s">
        <v>262</v>
      </c>
      <c r="H179" s="85" t="s">
        <v>255</v>
      </c>
      <c r="I179" s="85" t="s">
        <v>256</v>
      </c>
      <c r="J179" s="85" t="s">
        <v>257</v>
      </c>
      <c r="K179" s="85" t="s">
        <v>257</v>
      </c>
      <c r="L179" s="85" t="s">
        <v>258</v>
      </c>
      <c r="M179" s="85" t="s">
        <v>95</v>
      </c>
      <c r="N179" s="85" t="s">
        <v>95</v>
      </c>
      <c r="O179" s="85" t="s">
        <v>103</v>
      </c>
      <c r="P179" s="85" t="s">
        <v>771</v>
      </c>
      <c r="Q179" s="85" t="s">
        <v>772</v>
      </c>
      <c r="R179" s="85">
        <v>4</v>
      </c>
      <c r="S179" s="85">
        <v>53</v>
      </c>
      <c r="T179" s="2">
        <v>44110</v>
      </c>
      <c r="U179" s="2">
        <v>44146</v>
      </c>
    </row>
    <row r="180" spans="1:21" x14ac:dyDescent="0.2">
      <c r="A180" s="3" t="str">
        <f>HYPERLINK("http://www.ofsted.gov.uk/inspection-reports/find-inspection-report/provider/ELS/115705 ","Ofsted School Webpage")</f>
        <v>Ofsted School Webpage</v>
      </c>
      <c r="B180" s="85">
        <v>115705</v>
      </c>
      <c r="C180" s="85">
        <v>9163354</v>
      </c>
      <c r="D180" s="85" t="s">
        <v>773</v>
      </c>
      <c r="E180" s="85" t="s">
        <v>81</v>
      </c>
      <c r="F180" s="85" t="s">
        <v>333</v>
      </c>
      <c r="G180" s="85" t="s">
        <v>262</v>
      </c>
      <c r="H180" s="85" t="s">
        <v>255</v>
      </c>
      <c r="I180" s="85" t="s">
        <v>256</v>
      </c>
      <c r="J180" s="85" t="s">
        <v>334</v>
      </c>
      <c r="K180" s="85" t="s">
        <v>257</v>
      </c>
      <c r="L180" s="85" t="s">
        <v>335</v>
      </c>
      <c r="M180" s="85" t="s">
        <v>188</v>
      </c>
      <c r="N180" s="85" t="s">
        <v>188</v>
      </c>
      <c r="O180" s="85" t="s">
        <v>194</v>
      </c>
      <c r="P180" s="85" t="s">
        <v>346</v>
      </c>
      <c r="Q180" s="85" t="s">
        <v>774</v>
      </c>
      <c r="R180" s="85">
        <v>1</v>
      </c>
      <c r="S180" s="85">
        <v>122</v>
      </c>
      <c r="T180" s="2">
        <v>44110</v>
      </c>
      <c r="U180" s="2">
        <v>44146</v>
      </c>
    </row>
    <row r="181" spans="1:21" x14ac:dyDescent="0.2">
      <c r="A181" s="3" t="str">
        <f>HYPERLINK("http://www.ofsted.gov.uk/inspection-reports/find-inspection-report/provider/ELS/115175 ","Ofsted School Webpage")</f>
        <v>Ofsted School Webpage</v>
      </c>
      <c r="B181" s="85">
        <v>115175</v>
      </c>
      <c r="C181" s="85">
        <v>8813530</v>
      </c>
      <c r="D181" s="85" t="s">
        <v>775</v>
      </c>
      <c r="E181" s="85" t="s">
        <v>81</v>
      </c>
      <c r="F181" s="85" t="s">
        <v>333</v>
      </c>
      <c r="G181" s="85" t="s">
        <v>262</v>
      </c>
      <c r="H181" s="85" t="s">
        <v>255</v>
      </c>
      <c r="I181" s="85" t="s">
        <v>256</v>
      </c>
      <c r="J181" s="85" t="s">
        <v>342</v>
      </c>
      <c r="K181" s="85" t="s">
        <v>257</v>
      </c>
      <c r="L181" s="85" t="s">
        <v>335</v>
      </c>
      <c r="M181" s="85" t="s">
        <v>95</v>
      </c>
      <c r="N181" s="85" t="s">
        <v>95</v>
      </c>
      <c r="O181" s="85" t="s">
        <v>104</v>
      </c>
      <c r="P181" s="85" t="s">
        <v>734</v>
      </c>
      <c r="Q181" s="85" t="s">
        <v>776</v>
      </c>
      <c r="R181" s="85">
        <v>2</v>
      </c>
      <c r="S181" s="85">
        <v>208</v>
      </c>
      <c r="T181" s="2">
        <v>44110</v>
      </c>
      <c r="U181" s="2">
        <v>44154</v>
      </c>
    </row>
    <row r="182" spans="1:21" x14ac:dyDescent="0.2">
      <c r="A182" s="3" t="str">
        <f>HYPERLINK("http://www.ofsted.gov.uk/inspection-reports/find-inspection-report/provider/ELS/104833 ","Ofsted School Webpage")</f>
        <v>Ofsted School Webpage</v>
      </c>
      <c r="B182" s="85">
        <v>104833</v>
      </c>
      <c r="C182" s="85">
        <v>3424713</v>
      </c>
      <c r="D182" s="85" t="s">
        <v>777</v>
      </c>
      <c r="E182" s="85" t="s">
        <v>82</v>
      </c>
      <c r="F182" s="85" t="s">
        <v>333</v>
      </c>
      <c r="G182" s="2">
        <v>33522</v>
      </c>
      <c r="H182" s="85" t="s">
        <v>275</v>
      </c>
      <c r="I182" s="85" t="s">
        <v>256</v>
      </c>
      <c r="J182" s="85" t="s">
        <v>334</v>
      </c>
      <c r="K182" s="85" t="s">
        <v>257</v>
      </c>
      <c r="L182" s="85" t="s">
        <v>335</v>
      </c>
      <c r="M182" s="85" t="s">
        <v>148</v>
      </c>
      <c r="N182" s="85" t="s">
        <v>148</v>
      </c>
      <c r="O182" s="85" t="s">
        <v>162</v>
      </c>
      <c r="P182" s="85" t="s">
        <v>778</v>
      </c>
      <c r="Q182" s="85" t="s">
        <v>779</v>
      </c>
      <c r="R182" s="85">
        <v>5</v>
      </c>
      <c r="S182" s="85">
        <v>569</v>
      </c>
      <c r="T182" s="2">
        <v>44110</v>
      </c>
      <c r="U182" s="2">
        <v>44157</v>
      </c>
    </row>
    <row r="183" spans="1:21" x14ac:dyDescent="0.2">
      <c r="A183" s="3" t="str">
        <f>HYPERLINK("http://www.ofsted.gov.uk/inspection-reports/find-inspection-report/provider/ELS/101364 ","Ofsted School Webpage")</f>
        <v>Ofsted School Webpage</v>
      </c>
      <c r="B183" s="85">
        <v>101364</v>
      </c>
      <c r="C183" s="85">
        <v>3025407</v>
      </c>
      <c r="D183" s="85" t="s">
        <v>780</v>
      </c>
      <c r="E183" s="85" t="s">
        <v>82</v>
      </c>
      <c r="F183" s="85" t="s">
        <v>333</v>
      </c>
      <c r="G183" s="85" t="s">
        <v>262</v>
      </c>
      <c r="H183" s="85" t="s">
        <v>275</v>
      </c>
      <c r="I183" s="85" t="s">
        <v>276</v>
      </c>
      <c r="J183" s="85" t="s">
        <v>334</v>
      </c>
      <c r="K183" s="85" t="s">
        <v>257</v>
      </c>
      <c r="L183" s="85" t="s">
        <v>335</v>
      </c>
      <c r="M183" s="85" t="s">
        <v>107</v>
      </c>
      <c r="N183" s="85" t="s">
        <v>107</v>
      </c>
      <c r="O183" s="85" t="s">
        <v>121</v>
      </c>
      <c r="P183" s="85" t="s">
        <v>781</v>
      </c>
      <c r="Q183" s="85" t="s">
        <v>782</v>
      </c>
      <c r="R183" s="85">
        <v>4</v>
      </c>
      <c r="S183" s="85">
        <v>1151</v>
      </c>
      <c r="T183" s="2">
        <v>44110</v>
      </c>
      <c r="U183" s="2">
        <v>44159</v>
      </c>
    </row>
    <row r="184" spans="1:21" x14ac:dyDescent="0.2">
      <c r="A184" s="3" t="str">
        <f>HYPERLINK("http://www.ofsted.gov.uk/inspection-reports/find-inspection-report/provider/ELS/114577 ","Ofsted School Webpage")</f>
        <v>Ofsted School Webpage</v>
      </c>
      <c r="B184" s="85">
        <v>114577</v>
      </c>
      <c r="C184" s="85">
        <v>8453362</v>
      </c>
      <c r="D184" s="85" t="s">
        <v>783</v>
      </c>
      <c r="E184" s="85" t="s">
        <v>81</v>
      </c>
      <c r="F184" s="85" t="s">
        <v>333</v>
      </c>
      <c r="G184" s="85" t="s">
        <v>262</v>
      </c>
      <c r="H184" s="85" t="s">
        <v>255</v>
      </c>
      <c r="I184" s="85" t="s">
        <v>256</v>
      </c>
      <c r="J184" s="85" t="s">
        <v>334</v>
      </c>
      <c r="K184" s="85" t="s">
        <v>257</v>
      </c>
      <c r="L184" s="85" t="s">
        <v>335</v>
      </c>
      <c r="M184" s="85" t="s">
        <v>169</v>
      </c>
      <c r="N184" s="85" t="s">
        <v>169</v>
      </c>
      <c r="O184" s="85" t="s">
        <v>180</v>
      </c>
      <c r="P184" s="85" t="s">
        <v>784</v>
      </c>
      <c r="Q184" s="85" t="s">
        <v>785</v>
      </c>
      <c r="R184" s="85">
        <v>4</v>
      </c>
      <c r="S184" s="85">
        <v>475</v>
      </c>
      <c r="T184" s="2">
        <v>44110</v>
      </c>
      <c r="U184" s="2">
        <v>44146</v>
      </c>
    </row>
    <row r="185" spans="1:21" x14ac:dyDescent="0.2">
      <c r="A185" s="3" t="str">
        <f>HYPERLINK("http://www.ofsted.gov.uk/inspection-reports/find-inspection-report/provider/ELS/104926 ","Ofsted School Webpage")</f>
        <v>Ofsted School Webpage</v>
      </c>
      <c r="B185" s="85">
        <v>104926</v>
      </c>
      <c r="C185" s="85">
        <v>3433353</v>
      </c>
      <c r="D185" s="85" t="s">
        <v>786</v>
      </c>
      <c r="E185" s="85" t="s">
        <v>81</v>
      </c>
      <c r="F185" s="85" t="s">
        <v>333</v>
      </c>
      <c r="G185" s="85" t="s">
        <v>262</v>
      </c>
      <c r="H185" s="85" t="s">
        <v>255</v>
      </c>
      <c r="I185" s="85" t="s">
        <v>256</v>
      </c>
      <c r="J185" s="85" t="s">
        <v>334</v>
      </c>
      <c r="K185" s="85" t="s">
        <v>257</v>
      </c>
      <c r="L185" s="85" t="s">
        <v>335</v>
      </c>
      <c r="M185" s="85" t="s">
        <v>148</v>
      </c>
      <c r="N185" s="85" t="s">
        <v>148</v>
      </c>
      <c r="O185" s="85" t="s">
        <v>163</v>
      </c>
      <c r="P185" s="85" t="s">
        <v>787</v>
      </c>
      <c r="Q185" s="85" t="s">
        <v>788</v>
      </c>
      <c r="R185" s="85">
        <v>2</v>
      </c>
      <c r="S185" s="85">
        <v>731</v>
      </c>
      <c r="T185" s="2">
        <v>44110</v>
      </c>
      <c r="U185" s="2">
        <v>44161</v>
      </c>
    </row>
    <row r="186" spans="1:21" x14ac:dyDescent="0.2">
      <c r="A186" s="3" t="str">
        <f>HYPERLINK("http://www.ofsted.gov.uk/inspection-reports/find-inspection-report/provider/ELS/110785 ","Ofsted School Webpage")</f>
        <v>Ofsted School Webpage</v>
      </c>
      <c r="B186" s="85">
        <v>110785</v>
      </c>
      <c r="C186" s="85">
        <v>8733009</v>
      </c>
      <c r="D186" s="85" t="s">
        <v>789</v>
      </c>
      <c r="E186" s="85" t="s">
        <v>81</v>
      </c>
      <c r="F186" s="85" t="s">
        <v>360</v>
      </c>
      <c r="G186" s="85" t="s">
        <v>262</v>
      </c>
      <c r="H186" s="85" t="s">
        <v>255</v>
      </c>
      <c r="I186" s="85" t="s">
        <v>256</v>
      </c>
      <c r="J186" s="85" t="s">
        <v>342</v>
      </c>
      <c r="K186" s="85" t="s">
        <v>257</v>
      </c>
      <c r="L186" s="85" t="s">
        <v>335</v>
      </c>
      <c r="M186" s="85" t="s">
        <v>95</v>
      </c>
      <c r="N186" s="85" t="s">
        <v>95</v>
      </c>
      <c r="O186" s="85" t="s">
        <v>97</v>
      </c>
      <c r="P186" s="85" t="s">
        <v>790</v>
      </c>
      <c r="Q186" s="85" t="s">
        <v>791</v>
      </c>
      <c r="R186" s="85">
        <v>1</v>
      </c>
      <c r="S186" s="85">
        <v>135</v>
      </c>
      <c r="T186" s="2">
        <v>44110</v>
      </c>
      <c r="U186" s="2">
        <v>44147</v>
      </c>
    </row>
    <row r="187" spans="1:21" x14ac:dyDescent="0.2">
      <c r="A187" s="3" t="str">
        <f>HYPERLINK("http://www.ofsted.gov.uk/inspection-reports/find-inspection-report/provider/ELS/130327 ","Ofsted School Webpage")</f>
        <v>Ofsted School Webpage</v>
      </c>
      <c r="B187" s="85">
        <v>130327</v>
      </c>
      <c r="C187" s="85">
        <v>3513351</v>
      </c>
      <c r="D187" s="85" t="s">
        <v>792</v>
      </c>
      <c r="E187" s="85" t="s">
        <v>81</v>
      </c>
      <c r="F187" s="85" t="s">
        <v>333</v>
      </c>
      <c r="G187" s="2">
        <v>34942</v>
      </c>
      <c r="H187" s="85" t="s">
        <v>255</v>
      </c>
      <c r="I187" s="85" t="s">
        <v>256</v>
      </c>
      <c r="J187" s="85" t="s">
        <v>342</v>
      </c>
      <c r="K187" s="85" t="s">
        <v>257</v>
      </c>
      <c r="L187" s="85" t="s">
        <v>335</v>
      </c>
      <c r="M187" s="85" t="s">
        <v>148</v>
      </c>
      <c r="N187" s="85" t="s">
        <v>148</v>
      </c>
      <c r="O187" s="85" t="s">
        <v>164</v>
      </c>
      <c r="P187" s="85" t="s">
        <v>793</v>
      </c>
      <c r="Q187" s="85" t="s">
        <v>794</v>
      </c>
      <c r="R187" s="85">
        <v>4</v>
      </c>
      <c r="S187" s="85">
        <v>285</v>
      </c>
      <c r="T187" s="2">
        <v>44110</v>
      </c>
      <c r="U187" s="2">
        <v>44158</v>
      </c>
    </row>
    <row r="188" spans="1:21" x14ac:dyDescent="0.2">
      <c r="A188" s="3" t="str">
        <f>HYPERLINK("http://www.ofsted.gov.uk/inspection-reports/find-inspection-report/provider/ELS/111385 ","Ofsted School Webpage")</f>
        <v>Ofsted School Webpage</v>
      </c>
      <c r="B188" s="85">
        <v>111385</v>
      </c>
      <c r="C188" s="85">
        <v>8773642</v>
      </c>
      <c r="D188" s="85" t="s">
        <v>795</v>
      </c>
      <c r="E188" s="85" t="s">
        <v>81</v>
      </c>
      <c r="F188" s="85" t="s">
        <v>333</v>
      </c>
      <c r="G188" s="85" t="s">
        <v>262</v>
      </c>
      <c r="H188" s="85" t="s">
        <v>255</v>
      </c>
      <c r="I188" s="85" t="s">
        <v>256</v>
      </c>
      <c r="J188" s="85" t="s">
        <v>342</v>
      </c>
      <c r="K188" s="85" t="s">
        <v>257</v>
      </c>
      <c r="L188" s="85" t="s">
        <v>335</v>
      </c>
      <c r="M188" s="85" t="s">
        <v>148</v>
      </c>
      <c r="N188" s="85" t="s">
        <v>148</v>
      </c>
      <c r="O188" s="85" t="s">
        <v>165</v>
      </c>
      <c r="P188" s="85" t="s">
        <v>796</v>
      </c>
      <c r="Q188" s="85" t="s">
        <v>797</v>
      </c>
      <c r="R188" s="85">
        <v>1</v>
      </c>
      <c r="S188" s="85">
        <v>547</v>
      </c>
      <c r="T188" s="2">
        <v>44110</v>
      </c>
      <c r="U188" s="2">
        <v>44154</v>
      </c>
    </row>
    <row r="189" spans="1:21" x14ac:dyDescent="0.2">
      <c r="A189" s="3" t="str">
        <f>HYPERLINK("http://www.ofsted.gov.uk/inspection-reports/find-inspection-report/provider/ELS/119599 ","Ofsted School Webpage")</f>
        <v>Ofsted School Webpage</v>
      </c>
      <c r="B189" s="85">
        <v>119599</v>
      </c>
      <c r="C189" s="85">
        <v>8903626</v>
      </c>
      <c r="D189" s="85" t="s">
        <v>798</v>
      </c>
      <c r="E189" s="85" t="s">
        <v>81</v>
      </c>
      <c r="F189" s="85" t="s">
        <v>333</v>
      </c>
      <c r="G189" s="85" t="s">
        <v>262</v>
      </c>
      <c r="H189" s="85" t="s">
        <v>255</v>
      </c>
      <c r="I189" s="85" t="s">
        <v>256</v>
      </c>
      <c r="J189" s="85" t="s">
        <v>334</v>
      </c>
      <c r="K189" s="85" t="s">
        <v>257</v>
      </c>
      <c r="L189" s="85" t="s">
        <v>335</v>
      </c>
      <c r="M189" s="85" t="s">
        <v>148</v>
      </c>
      <c r="N189" s="85" t="s">
        <v>148</v>
      </c>
      <c r="O189" s="85" t="s">
        <v>157</v>
      </c>
      <c r="P189" s="85" t="s">
        <v>474</v>
      </c>
      <c r="Q189" s="85" t="s">
        <v>799</v>
      </c>
      <c r="R189" s="85">
        <v>5</v>
      </c>
      <c r="S189" s="85">
        <v>208</v>
      </c>
      <c r="T189" s="2">
        <v>44110</v>
      </c>
      <c r="U189" s="2">
        <v>44152</v>
      </c>
    </row>
    <row r="190" spans="1:21" x14ac:dyDescent="0.2">
      <c r="A190" s="3" t="str">
        <f>HYPERLINK("http://www.ofsted.gov.uk/inspection-reports/find-inspection-report/provider/ELS/118796 ","Ofsted School Webpage")</f>
        <v>Ofsted School Webpage</v>
      </c>
      <c r="B190" s="85">
        <v>118796</v>
      </c>
      <c r="C190" s="85">
        <v>8864065</v>
      </c>
      <c r="D190" s="85" t="s">
        <v>800</v>
      </c>
      <c r="E190" s="85" t="s">
        <v>82</v>
      </c>
      <c r="F190" s="85" t="s">
        <v>382</v>
      </c>
      <c r="G190" s="2">
        <v>1</v>
      </c>
      <c r="H190" s="85" t="s">
        <v>275</v>
      </c>
      <c r="I190" s="85" t="s">
        <v>276</v>
      </c>
      <c r="J190" s="85" t="s">
        <v>405</v>
      </c>
      <c r="K190" s="85" t="s">
        <v>257</v>
      </c>
      <c r="L190" s="85" t="s">
        <v>258</v>
      </c>
      <c r="M190" s="85" t="s">
        <v>169</v>
      </c>
      <c r="N190" s="85" t="s">
        <v>169</v>
      </c>
      <c r="O190" s="85" t="s">
        <v>171</v>
      </c>
      <c r="P190" s="85" t="s">
        <v>801</v>
      </c>
      <c r="Q190" s="85" t="s">
        <v>802</v>
      </c>
      <c r="R190" s="85">
        <v>3</v>
      </c>
      <c r="S190" s="85">
        <v>502</v>
      </c>
      <c r="T190" s="2">
        <v>44110</v>
      </c>
      <c r="U190" s="2">
        <v>44147</v>
      </c>
    </row>
    <row r="191" spans="1:21" x14ac:dyDescent="0.2">
      <c r="A191" s="3" t="str">
        <f>HYPERLINK("http://www.ofsted.gov.uk/inspection-reports/find-inspection-report/provider/ELS/121473 ","Ofsted School Webpage")</f>
        <v>Ofsted School Webpage</v>
      </c>
      <c r="B191" s="85">
        <v>121473</v>
      </c>
      <c r="C191" s="85">
        <v>8163002</v>
      </c>
      <c r="D191" s="85" t="s">
        <v>803</v>
      </c>
      <c r="E191" s="85" t="s">
        <v>81</v>
      </c>
      <c r="F191" s="85" t="s">
        <v>360</v>
      </c>
      <c r="G191" s="85" t="s">
        <v>262</v>
      </c>
      <c r="H191" s="85" t="s">
        <v>255</v>
      </c>
      <c r="I191" s="85" t="s">
        <v>256</v>
      </c>
      <c r="J191" s="85" t="s">
        <v>342</v>
      </c>
      <c r="K191" s="85" t="s">
        <v>257</v>
      </c>
      <c r="L191" s="85" t="s">
        <v>335</v>
      </c>
      <c r="M191" s="85" t="s">
        <v>236</v>
      </c>
      <c r="N191" s="85" t="s">
        <v>218</v>
      </c>
      <c r="O191" s="85" t="s">
        <v>222</v>
      </c>
      <c r="P191" s="85" t="s">
        <v>397</v>
      </c>
      <c r="Q191" s="85" t="s">
        <v>804</v>
      </c>
      <c r="R191" s="85">
        <v>3</v>
      </c>
      <c r="S191" s="85">
        <v>154</v>
      </c>
      <c r="T191" s="2">
        <v>44110</v>
      </c>
      <c r="U191" s="2">
        <v>44146</v>
      </c>
    </row>
    <row r="192" spans="1:21" x14ac:dyDescent="0.2">
      <c r="A192" s="3" t="str">
        <f>HYPERLINK("http://www.ofsted.gov.uk/inspection-reports/find-inspection-report/provider/ELS/123435 ","Ofsted School Webpage")</f>
        <v>Ofsted School Webpage</v>
      </c>
      <c r="B192" s="85">
        <v>123435</v>
      </c>
      <c r="C192" s="85">
        <v>8945203</v>
      </c>
      <c r="D192" s="85" t="s">
        <v>805</v>
      </c>
      <c r="E192" s="85" t="s">
        <v>81</v>
      </c>
      <c r="F192" s="85" t="s">
        <v>382</v>
      </c>
      <c r="G192" s="85" t="s">
        <v>262</v>
      </c>
      <c r="H192" s="85" t="s">
        <v>255</v>
      </c>
      <c r="I192" s="85" t="s">
        <v>256</v>
      </c>
      <c r="J192" s="85" t="s">
        <v>405</v>
      </c>
      <c r="K192" s="85" t="s">
        <v>257</v>
      </c>
      <c r="L192" s="85" t="s">
        <v>258</v>
      </c>
      <c r="M192" s="85" t="s">
        <v>203</v>
      </c>
      <c r="N192" s="85" t="s">
        <v>203</v>
      </c>
      <c r="O192" s="85" t="s">
        <v>216</v>
      </c>
      <c r="P192" s="85" t="s">
        <v>806</v>
      </c>
      <c r="Q192" s="85" t="s">
        <v>807</v>
      </c>
      <c r="R192" s="85">
        <v>2</v>
      </c>
      <c r="S192" s="85">
        <v>279</v>
      </c>
      <c r="T192" s="2">
        <v>44110</v>
      </c>
      <c r="U192" s="2">
        <v>44143</v>
      </c>
    </row>
    <row r="193" spans="1:21" x14ac:dyDescent="0.2">
      <c r="A193" s="3" t="str">
        <f>HYPERLINK("http://www.ofsted.gov.uk/inspection-reports/find-inspection-report/provider/ELS/109406 ","Ofsted School Webpage")</f>
        <v>Ofsted School Webpage</v>
      </c>
      <c r="B193" s="85">
        <v>109406</v>
      </c>
      <c r="C193" s="85">
        <v>8027036</v>
      </c>
      <c r="D193" s="85" t="s">
        <v>808</v>
      </c>
      <c r="E193" s="85" t="s">
        <v>83</v>
      </c>
      <c r="F193" s="85" t="s">
        <v>583</v>
      </c>
      <c r="G193" s="85" t="s">
        <v>262</v>
      </c>
      <c r="H193" s="85" t="s">
        <v>255</v>
      </c>
      <c r="I193" s="85" t="s">
        <v>255</v>
      </c>
      <c r="J193" s="85" t="s">
        <v>257</v>
      </c>
      <c r="K193" s="85" t="s">
        <v>257</v>
      </c>
      <c r="L193" s="85" t="s">
        <v>258</v>
      </c>
      <c r="M193" s="85" t="s">
        <v>188</v>
      </c>
      <c r="N193" s="85" t="s">
        <v>188</v>
      </c>
      <c r="O193" s="85" t="s">
        <v>199</v>
      </c>
      <c r="P193" s="85" t="s">
        <v>809</v>
      </c>
      <c r="Q193" s="85" t="s">
        <v>810</v>
      </c>
      <c r="R193" s="85">
        <v>3</v>
      </c>
      <c r="S193" s="85">
        <v>152</v>
      </c>
      <c r="T193" s="2">
        <v>44110</v>
      </c>
      <c r="U193" s="2">
        <v>44147</v>
      </c>
    </row>
    <row r="194" spans="1:21" x14ac:dyDescent="0.2">
      <c r="A194" s="3" t="str">
        <f>HYPERLINK("http://www.ofsted.gov.uk/inspection-reports/find-inspection-report/provider/ELS/137596 ","Ofsted School Webpage")</f>
        <v>Ofsted School Webpage</v>
      </c>
      <c r="B194" s="85">
        <v>137596</v>
      </c>
      <c r="C194" s="85">
        <v>3731100</v>
      </c>
      <c r="D194" s="85" t="s">
        <v>811</v>
      </c>
      <c r="E194" s="85" t="s">
        <v>84</v>
      </c>
      <c r="F194" s="85" t="s">
        <v>396</v>
      </c>
      <c r="G194" s="2">
        <v>40840</v>
      </c>
      <c r="H194" s="85" t="s">
        <v>255</v>
      </c>
      <c r="I194" s="85" t="s">
        <v>255</v>
      </c>
      <c r="J194" s="85" t="s">
        <v>257</v>
      </c>
      <c r="K194" s="85" t="s">
        <v>257</v>
      </c>
      <c r="L194" s="85" t="s">
        <v>258</v>
      </c>
      <c r="M194" s="85" t="s">
        <v>236</v>
      </c>
      <c r="N194" s="85" t="s">
        <v>218</v>
      </c>
      <c r="O194" s="85" t="s">
        <v>226</v>
      </c>
      <c r="P194" s="85" t="s">
        <v>812</v>
      </c>
      <c r="Q194" s="85" t="s">
        <v>813</v>
      </c>
      <c r="R194" s="85">
        <v>5</v>
      </c>
      <c r="S194" s="85">
        <v>226</v>
      </c>
      <c r="T194" s="2">
        <v>44110</v>
      </c>
      <c r="U194" s="2">
        <v>44158</v>
      </c>
    </row>
    <row r="195" spans="1:21" x14ac:dyDescent="0.2">
      <c r="A195" s="3" t="str">
        <f>HYPERLINK("http://www.ofsted.gov.uk/inspection-reports/find-inspection-report/provider/ELS/135911 ","Ofsted School Webpage")</f>
        <v>Ofsted School Webpage</v>
      </c>
      <c r="B195" s="85">
        <v>135911</v>
      </c>
      <c r="C195" s="85">
        <v>3306907</v>
      </c>
      <c r="D195" s="85" t="s">
        <v>814</v>
      </c>
      <c r="E195" s="85" t="s">
        <v>82</v>
      </c>
      <c r="F195" s="85" t="s">
        <v>404</v>
      </c>
      <c r="G195" s="2">
        <v>40057</v>
      </c>
      <c r="H195" s="85" t="s">
        <v>275</v>
      </c>
      <c r="I195" s="85" t="s">
        <v>276</v>
      </c>
      <c r="J195" s="85" t="s">
        <v>257</v>
      </c>
      <c r="K195" s="85" t="s">
        <v>405</v>
      </c>
      <c r="L195" s="85" t="s">
        <v>258</v>
      </c>
      <c r="M195" s="85" t="s">
        <v>203</v>
      </c>
      <c r="N195" s="85" t="s">
        <v>203</v>
      </c>
      <c r="O195" s="85" t="s">
        <v>209</v>
      </c>
      <c r="P195" s="85" t="s">
        <v>815</v>
      </c>
      <c r="Q195" s="85" t="s">
        <v>816</v>
      </c>
      <c r="R195" s="85">
        <v>5</v>
      </c>
      <c r="S195" s="85">
        <v>940</v>
      </c>
      <c r="T195" s="2">
        <v>44110</v>
      </c>
      <c r="U195" s="2">
        <v>44144</v>
      </c>
    </row>
    <row r="196" spans="1:21" x14ac:dyDescent="0.2">
      <c r="A196" s="3" t="str">
        <f>HYPERLINK("http://www.ofsted.gov.uk/inspection-reports/find-inspection-report/provider/ELS/138559 ","Ofsted School Webpage")</f>
        <v>Ofsted School Webpage</v>
      </c>
      <c r="B196" s="85">
        <v>138559</v>
      </c>
      <c r="C196" s="85">
        <v>8062005</v>
      </c>
      <c r="D196" s="85" t="s">
        <v>817</v>
      </c>
      <c r="E196" s="85" t="s">
        <v>81</v>
      </c>
      <c r="F196" s="85" t="s">
        <v>400</v>
      </c>
      <c r="G196" s="2">
        <v>41153</v>
      </c>
      <c r="H196" s="85" t="s">
        <v>255</v>
      </c>
      <c r="I196" s="85" t="s">
        <v>255</v>
      </c>
      <c r="J196" s="85" t="s">
        <v>405</v>
      </c>
      <c r="K196" s="85" t="s">
        <v>405</v>
      </c>
      <c r="L196" s="85" t="s">
        <v>258</v>
      </c>
      <c r="M196" s="85" t="s">
        <v>236</v>
      </c>
      <c r="N196" s="85" t="s">
        <v>135</v>
      </c>
      <c r="O196" s="85" t="s">
        <v>142</v>
      </c>
      <c r="P196" s="85" t="s">
        <v>142</v>
      </c>
      <c r="Q196" s="85" t="s">
        <v>818</v>
      </c>
      <c r="R196" s="85">
        <v>5</v>
      </c>
      <c r="S196" s="85">
        <v>321</v>
      </c>
      <c r="T196" s="2">
        <v>44110</v>
      </c>
      <c r="U196" s="2">
        <v>44157</v>
      </c>
    </row>
    <row r="197" spans="1:21" x14ac:dyDescent="0.2">
      <c r="A197" s="3" t="str">
        <f>HYPERLINK("http://www.ofsted.gov.uk/inspection-reports/find-inspection-report/provider/ELS/105384 ","Ofsted School Webpage")</f>
        <v>Ofsted School Webpage</v>
      </c>
      <c r="B197" s="85">
        <v>105384</v>
      </c>
      <c r="C197" s="85">
        <v>3521007</v>
      </c>
      <c r="D197" s="85" t="s">
        <v>819</v>
      </c>
      <c r="E197" s="85" t="s">
        <v>80</v>
      </c>
      <c r="F197" s="85" t="s">
        <v>569</v>
      </c>
      <c r="G197" s="85" t="s">
        <v>262</v>
      </c>
      <c r="H197" s="85" t="s">
        <v>255</v>
      </c>
      <c r="I197" s="85" t="s">
        <v>255</v>
      </c>
      <c r="J197" s="85" t="s">
        <v>257</v>
      </c>
      <c r="K197" s="85" t="s">
        <v>257</v>
      </c>
      <c r="L197" s="85" t="s">
        <v>258</v>
      </c>
      <c r="M197" s="85" t="s">
        <v>148</v>
      </c>
      <c r="N197" s="85" t="s">
        <v>148</v>
      </c>
      <c r="O197" s="85" t="s">
        <v>151</v>
      </c>
      <c r="P197" s="85" t="s">
        <v>639</v>
      </c>
      <c r="Q197" s="85" t="s">
        <v>820</v>
      </c>
      <c r="R197" s="85">
        <v>5</v>
      </c>
      <c r="S197" s="85">
        <v>98</v>
      </c>
      <c r="T197" s="2">
        <v>44110</v>
      </c>
      <c r="U197" s="2">
        <v>44153</v>
      </c>
    </row>
    <row r="198" spans="1:21" x14ac:dyDescent="0.2">
      <c r="A198" s="3" t="str">
        <f>HYPERLINK("http://www.ofsted.gov.uk/inspection-reports/find-inspection-report/provider/ELS/138087 ","Ofsted School Webpage")</f>
        <v>Ofsted School Webpage</v>
      </c>
      <c r="B198" s="85">
        <v>138087</v>
      </c>
      <c r="C198" s="85">
        <v>3804041</v>
      </c>
      <c r="D198" s="85" t="s">
        <v>821</v>
      </c>
      <c r="E198" s="85" t="s">
        <v>82</v>
      </c>
      <c r="F198" s="85" t="s">
        <v>400</v>
      </c>
      <c r="G198" s="2">
        <v>41000</v>
      </c>
      <c r="H198" s="85" t="s">
        <v>275</v>
      </c>
      <c r="I198" s="85" t="s">
        <v>276</v>
      </c>
      <c r="J198" s="85" t="s">
        <v>257</v>
      </c>
      <c r="K198" s="85" t="s">
        <v>257</v>
      </c>
      <c r="L198" s="85" t="s">
        <v>258</v>
      </c>
      <c r="M198" s="85" t="s">
        <v>236</v>
      </c>
      <c r="N198" s="85" t="s">
        <v>218</v>
      </c>
      <c r="O198" s="85" t="s">
        <v>227</v>
      </c>
      <c r="P198" s="85" t="s">
        <v>822</v>
      </c>
      <c r="Q198" s="85" t="s">
        <v>823</v>
      </c>
      <c r="R198" s="85">
        <v>5</v>
      </c>
      <c r="S198" s="85">
        <v>1130</v>
      </c>
      <c r="T198" s="2">
        <v>44110</v>
      </c>
      <c r="U198" s="2">
        <v>44153</v>
      </c>
    </row>
    <row r="199" spans="1:21" x14ac:dyDescent="0.2">
      <c r="A199" s="3" t="str">
        <f>HYPERLINK("http://www.ofsted.gov.uk/inspection-reports/find-inspection-report/provider/ELS/104278 ","Ofsted School Webpage")</f>
        <v>Ofsted School Webpage</v>
      </c>
      <c r="B199" s="85">
        <v>104278</v>
      </c>
      <c r="C199" s="85">
        <v>3361002</v>
      </c>
      <c r="D199" s="85" t="s">
        <v>824</v>
      </c>
      <c r="E199" s="85" t="s">
        <v>80</v>
      </c>
      <c r="F199" s="85" t="s">
        <v>569</v>
      </c>
      <c r="G199" s="85" t="s">
        <v>262</v>
      </c>
      <c r="H199" s="85" t="s">
        <v>255</v>
      </c>
      <c r="I199" s="85" t="s">
        <v>255</v>
      </c>
      <c r="J199" s="85" t="s">
        <v>257</v>
      </c>
      <c r="K199" s="85" t="s">
        <v>257</v>
      </c>
      <c r="L199" s="85" t="s">
        <v>258</v>
      </c>
      <c r="M199" s="85" t="s">
        <v>203</v>
      </c>
      <c r="N199" s="85" t="s">
        <v>203</v>
      </c>
      <c r="O199" s="85" t="s">
        <v>208</v>
      </c>
      <c r="P199" s="85" t="s">
        <v>647</v>
      </c>
      <c r="Q199" s="85" t="s">
        <v>825</v>
      </c>
      <c r="R199" s="85">
        <v>5</v>
      </c>
      <c r="S199" s="85">
        <v>168</v>
      </c>
      <c r="T199" s="2">
        <v>44110</v>
      </c>
      <c r="U199" s="2">
        <v>44150</v>
      </c>
    </row>
    <row r="200" spans="1:21" x14ac:dyDescent="0.2">
      <c r="A200" s="3" t="str">
        <f>HYPERLINK("http://www.ofsted.gov.uk/inspection-reports/find-inspection-report/provider/ELS/141617 ","Ofsted School Webpage")</f>
        <v>Ofsted School Webpage</v>
      </c>
      <c r="B200" s="85">
        <v>141617</v>
      </c>
      <c r="C200" s="85">
        <v>2054002</v>
      </c>
      <c r="D200" s="85" t="s">
        <v>826</v>
      </c>
      <c r="E200" s="85" t="s">
        <v>82</v>
      </c>
      <c r="F200" s="85" t="s">
        <v>404</v>
      </c>
      <c r="G200" s="2">
        <v>42005</v>
      </c>
      <c r="H200" s="85" t="s">
        <v>275</v>
      </c>
      <c r="I200" s="85" t="s">
        <v>256</v>
      </c>
      <c r="J200" s="85" t="s">
        <v>257</v>
      </c>
      <c r="K200" s="85" t="s">
        <v>405</v>
      </c>
      <c r="L200" s="85" t="s">
        <v>258</v>
      </c>
      <c r="M200" s="85" t="s">
        <v>107</v>
      </c>
      <c r="N200" s="85" t="s">
        <v>107</v>
      </c>
      <c r="O200" s="85" t="s">
        <v>122</v>
      </c>
      <c r="P200" s="85" t="s">
        <v>827</v>
      </c>
      <c r="Q200" s="85" t="s">
        <v>828</v>
      </c>
      <c r="R200" s="85">
        <v>4</v>
      </c>
      <c r="S200" s="85">
        <v>548</v>
      </c>
      <c r="T200" s="2">
        <v>44110</v>
      </c>
      <c r="U200" s="2">
        <v>44158</v>
      </c>
    </row>
    <row r="201" spans="1:21" x14ac:dyDescent="0.2">
      <c r="A201" s="3" t="str">
        <f>HYPERLINK("http://www.ofsted.gov.uk/inspection-reports/find-inspection-report/provider/ELS/100316 ","Ofsted School Webpage")</f>
        <v>Ofsted School Webpage</v>
      </c>
      <c r="B201" s="85">
        <v>100316</v>
      </c>
      <c r="C201" s="85">
        <v>2051039</v>
      </c>
      <c r="D201" s="85" t="s">
        <v>829</v>
      </c>
      <c r="E201" s="85" t="s">
        <v>80</v>
      </c>
      <c r="F201" s="85" t="s">
        <v>569</v>
      </c>
      <c r="G201" s="85" t="s">
        <v>262</v>
      </c>
      <c r="H201" s="85" t="s">
        <v>255</v>
      </c>
      <c r="I201" s="85" t="s">
        <v>255</v>
      </c>
      <c r="J201" s="85" t="s">
        <v>257</v>
      </c>
      <c r="K201" s="85" t="s">
        <v>257</v>
      </c>
      <c r="L201" s="85" t="s">
        <v>258</v>
      </c>
      <c r="M201" s="85" t="s">
        <v>107</v>
      </c>
      <c r="N201" s="85" t="s">
        <v>107</v>
      </c>
      <c r="O201" s="85" t="s">
        <v>122</v>
      </c>
      <c r="P201" s="85" t="s">
        <v>830</v>
      </c>
      <c r="Q201" s="85" t="s">
        <v>831</v>
      </c>
      <c r="R201" s="85">
        <v>3</v>
      </c>
      <c r="S201" s="85">
        <v>98</v>
      </c>
      <c r="T201" s="2">
        <v>44110</v>
      </c>
      <c r="U201" s="2">
        <v>44160</v>
      </c>
    </row>
    <row r="202" spans="1:21" x14ac:dyDescent="0.2">
      <c r="A202" s="3" t="str">
        <f>HYPERLINK("http://www.ofsted.gov.uk/inspection-reports/find-inspection-report/provider/ELS/139402 ","Ofsted School Webpage")</f>
        <v>Ofsted School Webpage</v>
      </c>
      <c r="B202" s="85">
        <v>139402</v>
      </c>
      <c r="C202" s="85">
        <v>8814010</v>
      </c>
      <c r="D202" s="85" t="s">
        <v>832</v>
      </c>
      <c r="E202" s="85" t="s">
        <v>82</v>
      </c>
      <c r="F202" s="85" t="s">
        <v>404</v>
      </c>
      <c r="G202" s="2">
        <v>41365</v>
      </c>
      <c r="H202" s="85" t="s">
        <v>275</v>
      </c>
      <c r="I202" s="85" t="s">
        <v>256</v>
      </c>
      <c r="J202" s="85" t="s">
        <v>257</v>
      </c>
      <c r="K202" s="85" t="s">
        <v>405</v>
      </c>
      <c r="L202" s="85" t="s">
        <v>258</v>
      </c>
      <c r="M202" s="85" t="s">
        <v>95</v>
      </c>
      <c r="N202" s="85" t="s">
        <v>95</v>
      </c>
      <c r="O202" s="85" t="s">
        <v>104</v>
      </c>
      <c r="P202" s="85" t="s">
        <v>833</v>
      </c>
      <c r="Q202" s="85" t="s">
        <v>834</v>
      </c>
      <c r="R202" s="85">
        <v>3</v>
      </c>
      <c r="S202" s="85">
        <v>848</v>
      </c>
      <c r="T202" s="2">
        <v>44110</v>
      </c>
      <c r="U202" s="2">
        <v>44159</v>
      </c>
    </row>
    <row r="203" spans="1:21" x14ac:dyDescent="0.2">
      <c r="A203" s="3" t="str">
        <f>HYPERLINK("http://www.ofsted.gov.uk/inspection-reports/find-inspection-report/provider/ELS/137254 ","Ofsted School Webpage")</f>
        <v>Ofsted School Webpage</v>
      </c>
      <c r="B203" s="85">
        <v>137254</v>
      </c>
      <c r="C203" s="85">
        <v>9095413</v>
      </c>
      <c r="D203" s="85" t="s">
        <v>835</v>
      </c>
      <c r="E203" s="85" t="s">
        <v>82</v>
      </c>
      <c r="F203" s="85" t="s">
        <v>400</v>
      </c>
      <c r="G203" s="2">
        <v>40756</v>
      </c>
      <c r="H203" s="85" t="s">
        <v>275</v>
      </c>
      <c r="I203" s="85" t="s">
        <v>276</v>
      </c>
      <c r="J203" s="85" t="s">
        <v>405</v>
      </c>
      <c r="K203" s="85" t="s">
        <v>257</v>
      </c>
      <c r="L203" s="85" t="s">
        <v>258</v>
      </c>
      <c r="M203" s="85" t="s">
        <v>148</v>
      </c>
      <c r="N203" s="85" t="s">
        <v>148</v>
      </c>
      <c r="O203" s="85" t="s">
        <v>156</v>
      </c>
      <c r="P203" s="85" t="s">
        <v>836</v>
      </c>
      <c r="Q203" s="85" t="s">
        <v>837</v>
      </c>
      <c r="R203" s="85">
        <v>2</v>
      </c>
      <c r="S203" s="85">
        <v>949</v>
      </c>
      <c r="T203" s="2">
        <v>44110</v>
      </c>
      <c r="U203" s="2">
        <v>44159</v>
      </c>
    </row>
    <row r="204" spans="1:21" x14ac:dyDescent="0.2">
      <c r="A204" s="3" t="str">
        <f>HYPERLINK("http://www.ofsted.gov.uk/inspection-reports/find-inspection-report/provider/ELS/139852 ","Ofsted School Webpage")</f>
        <v>Ofsted School Webpage</v>
      </c>
      <c r="B204" s="85">
        <v>139852</v>
      </c>
      <c r="C204" s="85">
        <v>3944037</v>
      </c>
      <c r="D204" s="85" t="s">
        <v>838</v>
      </c>
      <c r="E204" s="85" t="s">
        <v>82</v>
      </c>
      <c r="F204" s="85" t="s">
        <v>400</v>
      </c>
      <c r="G204" s="2">
        <v>41456</v>
      </c>
      <c r="H204" s="85" t="s">
        <v>275</v>
      </c>
      <c r="I204" s="85" t="s">
        <v>256</v>
      </c>
      <c r="J204" s="85" t="s">
        <v>257</v>
      </c>
      <c r="K204" s="85" t="s">
        <v>257</v>
      </c>
      <c r="L204" s="85" t="s">
        <v>258</v>
      </c>
      <c r="M204" s="85" t="s">
        <v>236</v>
      </c>
      <c r="N204" s="85" t="s">
        <v>135</v>
      </c>
      <c r="O204" s="85" t="s">
        <v>144</v>
      </c>
      <c r="P204" s="85" t="s">
        <v>839</v>
      </c>
      <c r="Q204" s="85" t="s">
        <v>840</v>
      </c>
      <c r="R204" s="85">
        <v>5</v>
      </c>
      <c r="S204" s="85">
        <v>737</v>
      </c>
      <c r="T204" s="2">
        <v>44110</v>
      </c>
      <c r="U204" s="2">
        <v>44153</v>
      </c>
    </row>
    <row r="205" spans="1:21" x14ac:dyDescent="0.2">
      <c r="A205" s="3" t="str">
        <f>HYPERLINK("http://www.ofsted.gov.uk/inspection-reports/find-inspection-report/provider/ELS/138481 ","Ofsted School Webpage")</f>
        <v>Ofsted School Webpage</v>
      </c>
      <c r="B205" s="85">
        <v>138481</v>
      </c>
      <c r="C205" s="85">
        <v>8914008</v>
      </c>
      <c r="D205" s="85" t="s">
        <v>841</v>
      </c>
      <c r="E205" s="85" t="s">
        <v>82</v>
      </c>
      <c r="F205" s="85" t="s">
        <v>400</v>
      </c>
      <c r="G205" s="2">
        <v>41122</v>
      </c>
      <c r="H205" s="85" t="s">
        <v>275</v>
      </c>
      <c r="I205" s="85" t="s">
        <v>276</v>
      </c>
      <c r="J205" s="85" t="s">
        <v>257</v>
      </c>
      <c r="K205" s="85" t="s">
        <v>257</v>
      </c>
      <c r="L205" s="85" t="s">
        <v>258</v>
      </c>
      <c r="M205" s="85" t="s">
        <v>85</v>
      </c>
      <c r="N205" s="85" t="s">
        <v>85</v>
      </c>
      <c r="O205" s="85" t="s">
        <v>90</v>
      </c>
      <c r="P205" s="85" t="s">
        <v>415</v>
      </c>
      <c r="Q205" s="85" t="s">
        <v>842</v>
      </c>
      <c r="R205" s="85">
        <v>5</v>
      </c>
      <c r="S205" s="85">
        <v>395</v>
      </c>
      <c r="T205" s="2">
        <v>44110</v>
      </c>
      <c r="U205" s="2">
        <v>44159</v>
      </c>
    </row>
    <row r="206" spans="1:21" x14ac:dyDescent="0.2">
      <c r="A206" s="3" t="str">
        <f>HYPERLINK("http://www.ofsted.gov.uk/inspection-reports/find-inspection-report/provider/ELS/141304 ","Ofsted School Webpage")</f>
        <v>Ofsted School Webpage</v>
      </c>
      <c r="B206" s="85">
        <v>141304</v>
      </c>
      <c r="C206" s="85">
        <v>8812785</v>
      </c>
      <c r="D206" s="85" t="s">
        <v>843</v>
      </c>
      <c r="E206" s="85" t="s">
        <v>81</v>
      </c>
      <c r="F206" s="85" t="s">
        <v>400</v>
      </c>
      <c r="G206" s="2">
        <v>41883</v>
      </c>
      <c r="H206" s="85" t="s">
        <v>255</v>
      </c>
      <c r="I206" s="85" t="s">
        <v>256</v>
      </c>
      <c r="J206" s="85" t="s">
        <v>257</v>
      </c>
      <c r="K206" s="85" t="s">
        <v>257</v>
      </c>
      <c r="L206" s="85" t="s">
        <v>258</v>
      </c>
      <c r="M206" s="85" t="s">
        <v>95</v>
      </c>
      <c r="N206" s="85" t="s">
        <v>95</v>
      </c>
      <c r="O206" s="85" t="s">
        <v>104</v>
      </c>
      <c r="P206" s="85" t="s">
        <v>844</v>
      </c>
      <c r="Q206" s="85" t="s">
        <v>845</v>
      </c>
      <c r="R206" s="85">
        <v>4</v>
      </c>
      <c r="S206" s="85">
        <v>464</v>
      </c>
      <c r="T206" s="2">
        <v>44110</v>
      </c>
      <c r="U206" s="2">
        <v>44146</v>
      </c>
    </row>
    <row r="207" spans="1:21" x14ac:dyDescent="0.2">
      <c r="A207" s="3" t="str">
        <f>HYPERLINK("http://www.ofsted.gov.uk/inspection-reports/find-inspection-report/provider/ELS/139488 ","Ofsted School Webpage")</f>
        <v>Ofsted School Webpage</v>
      </c>
      <c r="B207" s="85">
        <v>139488</v>
      </c>
      <c r="C207" s="85">
        <v>3072185</v>
      </c>
      <c r="D207" s="85" t="s">
        <v>846</v>
      </c>
      <c r="E207" s="85" t="s">
        <v>81</v>
      </c>
      <c r="F207" s="85" t="s">
        <v>400</v>
      </c>
      <c r="G207" s="2">
        <v>41365</v>
      </c>
      <c r="H207" s="85" t="s">
        <v>255</v>
      </c>
      <c r="I207" s="85" t="s">
        <v>256</v>
      </c>
      <c r="J207" s="85" t="s">
        <v>405</v>
      </c>
      <c r="K207" s="85" t="s">
        <v>257</v>
      </c>
      <c r="L207" s="85" t="s">
        <v>258</v>
      </c>
      <c r="M207" s="85" t="s">
        <v>107</v>
      </c>
      <c r="N207" s="85" t="s">
        <v>107</v>
      </c>
      <c r="O207" s="85" t="s">
        <v>108</v>
      </c>
      <c r="P207" s="85" t="s">
        <v>847</v>
      </c>
      <c r="Q207" s="85" t="s">
        <v>848</v>
      </c>
      <c r="R207" s="85">
        <v>4</v>
      </c>
      <c r="S207" s="85">
        <v>426</v>
      </c>
      <c r="T207" s="2">
        <v>44110</v>
      </c>
      <c r="U207" s="2">
        <v>44154</v>
      </c>
    </row>
    <row r="208" spans="1:21" x14ac:dyDescent="0.2">
      <c r="A208" s="3" t="str">
        <f>HYPERLINK("http://www.ofsted.gov.uk/inspection-reports/find-inspection-report/provider/ELS/136602 ","Ofsted School Webpage")</f>
        <v>Ofsted School Webpage</v>
      </c>
      <c r="B208" s="85">
        <v>136602</v>
      </c>
      <c r="C208" s="85">
        <v>8802456</v>
      </c>
      <c r="D208" s="85" t="s">
        <v>849</v>
      </c>
      <c r="E208" s="85" t="s">
        <v>81</v>
      </c>
      <c r="F208" s="85" t="s">
        <v>400</v>
      </c>
      <c r="G208" s="2">
        <v>40634</v>
      </c>
      <c r="H208" s="85" t="s">
        <v>255</v>
      </c>
      <c r="I208" s="85" t="s">
        <v>255</v>
      </c>
      <c r="J208" s="85" t="s">
        <v>257</v>
      </c>
      <c r="K208" s="85" t="s">
        <v>257</v>
      </c>
      <c r="L208" s="85" t="s">
        <v>258</v>
      </c>
      <c r="M208" s="85" t="s">
        <v>188</v>
      </c>
      <c r="N208" s="85" t="s">
        <v>188</v>
      </c>
      <c r="O208" s="85" t="s">
        <v>192</v>
      </c>
      <c r="P208" s="85" t="s">
        <v>192</v>
      </c>
      <c r="Q208" s="85" t="s">
        <v>850</v>
      </c>
      <c r="R208" s="85">
        <v>5</v>
      </c>
      <c r="S208" s="85">
        <v>414</v>
      </c>
      <c r="T208" s="2">
        <v>44110</v>
      </c>
      <c r="U208" s="2">
        <v>44147</v>
      </c>
    </row>
    <row r="209" spans="1:21" x14ac:dyDescent="0.2">
      <c r="A209" s="3" t="str">
        <f>HYPERLINK("http://www.ofsted.gov.uk/inspection-reports/find-inspection-report/provider/ELS/137402 ","Ofsted School Webpage")</f>
        <v>Ofsted School Webpage</v>
      </c>
      <c r="B209" s="85">
        <v>137402</v>
      </c>
      <c r="C209" s="85">
        <v>9082437</v>
      </c>
      <c r="D209" s="85" t="s">
        <v>851</v>
      </c>
      <c r="E209" s="85" t="s">
        <v>81</v>
      </c>
      <c r="F209" s="85" t="s">
        <v>400</v>
      </c>
      <c r="G209" s="2">
        <v>40787</v>
      </c>
      <c r="H209" s="85" t="s">
        <v>255</v>
      </c>
      <c r="I209" s="85" t="s">
        <v>255</v>
      </c>
      <c r="J209" s="85" t="s">
        <v>257</v>
      </c>
      <c r="K209" s="85" t="s">
        <v>257</v>
      </c>
      <c r="L209" s="85" t="s">
        <v>258</v>
      </c>
      <c r="M209" s="85" t="s">
        <v>188</v>
      </c>
      <c r="N209" s="85" t="s">
        <v>188</v>
      </c>
      <c r="O209" s="85" t="s">
        <v>196</v>
      </c>
      <c r="P209" s="85" t="s">
        <v>412</v>
      </c>
      <c r="Q209" s="85" t="s">
        <v>852</v>
      </c>
      <c r="R209" s="85">
        <v>3</v>
      </c>
      <c r="S209" s="85">
        <v>475</v>
      </c>
      <c r="T209" s="2">
        <v>44110</v>
      </c>
      <c r="U209" s="2">
        <v>44147</v>
      </c>
    </row>
    <row r="210" spans="1:21" x14ac:dyDescent="0.2">
      <c r="A210" s="3" t="str">
        <f>HYPERLINK("http://www.ofsted.gov.uk/inspection-reports/find-inspection-report/provider/ELS/141082 ","Ofsted School Webpage")</f>
        <v>Ofsted School Webpage</v>
      </c>
      <c r="B210" s="85">
        <v>141082</v>
      </c>
      <c r="C210" s="85">
        <v>3164006</v>
      </c>
      <c r="D210" s="85" t="s">
        <v>853</v>
      </c>
      <c r="E210" s="85" t="s">
        <v>82</v>
      </c>
      <c r="F210" s="85" t="s">
        <v>454</v>
      </c>
      <c r="G210" s="2">
        <v>41883</v>
      </c>
      <c r="H210" s="85" t="s">
        <v>275</v>
      </c>
      <c r="I210" s="85" t="s">
        <v>256</v>
      </c>
      <c r="J210" s="85" t="s">
        <v>405</v>
      </c>
      <c r="K210" s="85" t="s">
        <v>405</v>
      </c>
      <c r="L210" s="85" t="s">
        <v>258</v>
      </c>
      <c r="M210" s="85" t="s">
        <v>107</v>
      </c>
      <c r="N210" s="85" t="s">
        <v>107</v>
      </c>
      <c r="O210" s="85" t="s">
        <v>123</v>
      </c>
      <c r="P210" s="85" t="s">
        <v>854</v>
      </c>
      <c r="Q210" s="85" t="s">
        <v>855</v>
      </c>
      <c r="R210" s="85">
        <v>4</v>
      </c>
      <c r="S210" s="85">
        <v>329</v>
      </c>
      <c r="T210" s="2">
        <v>44110</v>
      </c>
      <c r="U210" s="2">
        <v>44144</v>
      </c>
    </row>
    <row r="211" spans="1:21" x14ac:dyDescent="0.2">
      <c r="A211" s="3" t="str">
        <f>HYPERLINK("http://www.ofsted.gov.uk/inspection-reports/find-inspection-report/provider/ELS/142306 ","Ofsted School Webpage")</f>
        <v>Ofsted School Webpage</v>
      </c>
      <c r="B211" s="85">
        <v>142306</v>
      </c>
      <c r="C211" s="85">
        <v>9094103</v>
      </c>
      <c r="D211" s="85" t="s">
        <v>856</v>
      </c>
      <c r="E211" s="85" t="s">
        <v>82</v>
      </c>
      <c r="F211" s="85" t="s">
        <v>400</v>
      </c>
      <c r="G211" s="2">
        <v>42248</v>
      </c>
      <c r="H211" s="85" t="s">
        <v>275</v>
      </c>
      <c r="I211" s="85" t="s">
        <v>276</v>
      </c>
      <c r="J211" s="85" t="s">
        <v>257</v>
      </c>
      <c r="K211" s="85" t="s">
        <v>257</v>
      </c>
      <c r="L211" s="85" t="s">
        <v>258</v>
      </c>
      <c r="M211" s="85" t="s">
        <v>148</v>
      </c>
      <c r="N211" s="85" t="s">
        <v>148</v>
      </c>
      <c r="O211" s="85" t="s">
        <v>156</v>
      </c>
      <c r="P211" s="85" t="s">
        <v>857</v>
      </c>
      <c r="Q211" s="85" t="s">
        <v>858</v>
      </c>
      <c r="R211" s="85">
        <v>1</v>
      </c>
      <c r="S211" s="85">
        <v>1340</v>
      </c>
      <c r="T211" s="2">
        <v>44110</v>
      </c>
      <c r="U211" s="2">
        <v>44153</v>
      </c>
    </row>
    <row r="212" spans="1:21" x14ac:dyDescent="0.2">
      <c r="A212" s="3" t="str">
        <f>HYPERLINK("http://www.ofsted.gov.uk/inspection-reports/find-inspection-report/provider/ELS/144879 ","Ofsted School Webpage")</f>
        <v>Ofsted School Webpage</v>
      </c>
      <c r="B212" s="85">
        <v>144879</v>
      </c>
      <c r="C212" s="85">
        <v>9351111</v>
      </c>
      <c r="D212" s="85" t="s">
        <v>859</v>
      </c>
      <c r="E212" s="85" t="s">
        <v>84</v>
      </c>
      <c r="F212" s="85" t="s">
        <v>860</v>
      </c>
      <c r="G212" s="2">
        <v>42979</v>
      </c>
      <c r="H212" s="85" t="s">
        <v>255</v>
      </c>
      <c r="I212" s="85" t="s">
        <v>255</v>
      </c>
      <c r="J212" s="85" t="s">
        <v>257</v>
      </c>
      <c r="K212" s="85" t="s">
        <v>257</v>
      </c>
      <c r="L212" s="85" t="s">
        <v>258</v>
      </c>
      <c r="M212" s="85" t="s">
        <v>95</v>
      </c>
      <c r="N212" s="85" t="s">
        <v>95</v>
      </c>
      <c r="O212" s="85" t="s">
        <v>99</v>
      </c>
      <c r="P212" s="85" t="s">
        <v>320</v>
      </c>
      <c r="Q212" s="85" t="s">
        <v>861</v>
      </c>
      <c r="R212" s="85">
        <v>3</v>
      </c>
      <c r="S212" s="85">
        <v>5</v>
      </c>
      <c r="T212" s="2">
        <v>44110</v>
      </c>
      <c r="U212" s="2">
        <v>44154</v>
      </c>
    </row>
    <row r="213" spans="1:21" x14ac:dyDescent="0.2">
      <c r="A213" s="3" t="str">
        <f>HYPERLINK("http://www.ofsted.gov.uk/inspection-reports/find-inspection-report/provider/ELS/145034 ","Ofsted School Webpage")</f>
        <v>Ofsted School Webpage</v>
      </c>
      <c r="B213" s="85">
        <v>145034</v>
      </c>
      <c r="C213" s="85">
        <v>8734010</v>
      </c>
      <c r="D213" s="85" t="s">
        <v>862</v>
      </c>
      <c r="E213" s="85" t="s">
        <v>82</v>
      </c>
      <c r="F213" s="85" t="s">
        <v>400</v>
      </c>
      <c r="G213" s="2">
        <v>43160</v>
      </c>
      <c r="H213" s="85" t="s">
        <v>450</v>
      </c>
      <c r="I213" s="85" t="s">
        <v>256</v>
      </c>
      <c r="J213" s="85" t="s">
        <v>405</v>
      </c>
      <c r="K213" s="85" t="s">
        <v>257</v>
      </c>
      <c r="L213" s="85" t="s">
        <v>258</v>
      </c>
      <c r="M213" s="85" t="s">
        <v>95</v>
      </c>
      <c r="N213" s="85" t="s">
        <v>95</v>
      </c>
      <c r="O213" s="85" t="s">
        <v>97</v>
      </c>
      <c r="P213" s="85" t="s">
        <v>863</v>
      </c>
      <c r="Q213" s="85" t="s">
        <v>864</v>
      </c>
      <c r="R213" s="85">
        <v>2</v>
      </c>
      <c r="S213" s="85">
        <v>406</v>
      </c>
      <c r="T213" s="2">
        <v>44110</v>
      </c>
      <c r="U213" s="2">
        <v>44159</v>
      </c>
    </row>
    <row r="214" spans="1:21" x14ac:dyDescent="0.2">
      <c r="A214" s="3" t="str">
        <f>HYPERLINK("http://www.ofsted.gov.uk/inspection-reports/find-inspection-report/provider/ELS/141470 ","Ofsted School Webpage")</f>
        <v>Ofsted School Webpage</v>
      </c>
      <c r="B214" s="85">
        <v>141470</v>
      </c>
      <c r="C214" s="85">
        <v>3824800</v>
      </c>
      <c r="D214" s="85" t="s">
        <v>865</v>
      </c>
      <c r="E214" s="85" t="s">
        <v>82</v>
      </c>
      <c r="F214" s="85" t="s">
        <v>400</v>
      </c>
      <c r="G214" s="2">
        <v>41913</v>
      </c>
      <c r="H214" s="85" t="s">
        <v>275</v>
      </c>
      <c r="I214" s="85" t="s">
        <v>276</v>
      </c>
      <c r="J214" s="85" t="s">
        <v>334</v>
      </c>
      <c r="K214" s="85" t="s">
        <v>257</v>
      </c>
      <c r="L214" s="85" t="s">
        <v>335</v>
      </c>
      <c r="M214" s="85" t="s">
        <v>236</v>
      </c>
      <c r="N214" s="85" t="s">
        <v>218</v>
      </c>
      <c r="O214" s="85" t="s">
        <v>228</v>
      </c>
      <c r="P214" s="85" t="s">
        <v>866</v>
      </c>
      <c r="Q214" s="85" t="s">
        <v>867</v>
      </c>
      <c r="R214" s="85">
        <v>4</v>
      </c>
      <c r="S214" s="85">
        <v>1117</v>
      </c>
      <c r="T214" s="2">
        <v>44110</v>
      </c>
      <c r="U214" s="2">
        <v>44158</v>
      </c>
    </row>
    <row r="215" spans="1:21" x14ac:dyDescent="0.2">
      <c r="A215" s="3" t="str">
        <f>HYPERLINK("http://www.ofsted.gov.uk/inspection-reports/find-inspection-report/provider/ELS/142739 ","Ofsted School Webpage")</f>
        <v>Ofsted School Webpage</v>
      </c>
      <c r="B215" s="85">
        <v>142739</v>
      </c>
      <c r="C215" s="85">
        <v>8083304</v>
      </c>
      <c r="D215" s="85" t="s">
        <v>868</v>
      </c>
      <c r="E215" s="85" t="s">
        <v>81</v>
      </c>
      <c r="F215" s="85" t="s">
        <v>400</v>
      </c>
      <c r="G215" s="2">
        <v>42461</v>
      </c>
      <c r="H215" s="85" t="s">
        <v>255</v>
      </c>
      <c r="I215" s="85" t="s">
        <v>256</v>
      </c>
      <c r="J215" s="85" t="s">
        <v>334</v>
      </c>
      <c r="K215" s="85" t="s">
        <v>257</v>
      </c>
      <c r="L215" s="85" t="s">
        <v>335</v>
      </c>
      <c r="M215" s="85" t="s">
        <v>236</v>
      </c>
      <c r="N215" s="85" t="s">
        <v>135</v>
      </c>
      <c r="O215" s="85" t="s">
        <v>139</v>
      </c>
      <c r="P215" s="85" t="s">
        <v>462</v>
      </c>
      <c r="Q215" s="85" t="s">
        <v>869</v>
      </c>
      <c r="R215" s="85">
        <v>2</v>
      </c>
      <c r="S215" s="85">
        <v>244</v>
      </c>
      <c r="T215" s="2">
        <v>44110</v>
      </c>
      <c r="U215" s="2">
        <v>44146</v>
      </c>
    </row>
    <row r="216" spans="1:21" x14ac:dyDescent="0.2">
      <c r="A216" s="3" t="str">
        <f>HYPERLINK("http://www.ofsted.gov.uk/inspection-reports/find-inspection-report/provider/ELS/145774 ","Ofsted School Webpage")</f>
        <v>Ofsted School Webpage</v>
      </c>
      <c r="B216" s="85">
        <v>145774</v>
      </c>
      <c r="C216" s="85">
        <v>8064136</v>
      </c>
      <c r="D216" s="85" t="s">
        <v>870</v>
      </c>
      <c r="E216" s="85" t="s">
        <v>82</v>
      </c>
      <c r="F216" s="85" t="s">
        <v>400</v>
      </c>
      <c r="G216" s="2">
        <v>43282</v>
      </c>
      <c r="H216" s="85" t="s">
        <v>275</v>
      </c>
      <c r="I216" s="85" t="s">
        <v>256</v>
      </c>
      <c r="J216" s="85" t="s">
        <v>257</v>
      </c>
      <c r="K216" s="85" t="s">
        <v>257</v>
      </c>
      <c r="L216" s="85" t="s">
        <v>258</v>
      </c>
      <c r="M216" s="85" t="s">
        <v>236</v>
      </c>
      <c r="N216" s="85" t="s">
        <v>135</v>
      </c>
      <c r="O216" s="85" t="s">
        <v>142</v>
      </c>
      <c r="P216" s="85" t="s">
        <v>142</v>
      </c>
      <c r="Q216" s="85" t="s">
        <v>871</v>
      </c>
      <c r="R216" s="85">
        <v>5</v>
      </c>
      <c r="S216" s="85">
        <v>1442</v>
      </c>
      <c r="T216" s="2">
        <v>44110</v>
      </c>
      <c r="U216" s="2">
        <v>44154</v>
      </c>
    </row>
    <row r="217" spans="1:21" x14ac:dyDescent="0.2">
      <c r="A217" s="3" t="str">
        <f>HYPERLINK("http://www.ofsted.gov.uk/inspection-reports/find-inspection-report/provider/ELS/143170 ","Ofsted School Webpage")</f>
        <v>Ofsted School Webpage</v>
      </c>
      <c r="B217" s="85">
        <v>143170</v>
      </c>
      <c r="C217" s="85">
        <v>9082238</v>
      </c>
      <c r="D217" s="85" t="s">
        <v>872</v>
      </c>
      <c r="E217" s="85" t="s">
        <v>81</v>
      </c>
      <c r="F217" s="85" t="s">
        <v>400</v>
      </c>
      <c r="G217" s="2">
        <v>42614</v>
      </c>
      <c r="H217" s="85" t="s">
        <v>255</v>
      </c>
      <c r="I217" s="85" t="s">
        <v>256</v>
      </c>
      <c r="J217" s="85" t="s">
        <v>257</v>
      </c>
      <c r="K217" s="85" t="s">
        <v>257</v>
      </c>
      <c r="L217" s="85" t="s">
        <v>258</v>
      </c>
      <c r="M217" s="85" t="s">
        <v>188</v>
      </c>
      <c r="N217" s="85" t="s">
        <v>188</v>
      </c>
      <c r="O217" s="85" t="s">
        <v>196</v>
      </c>
      <c r="P217" s="85" t="s">
        <v>873</v>
      </c>
      <c r="Q217" s="85" t="s">
        <v>874</v>
      </c>
      <c r="R217" s="85">
        <v>3</v>
      </c>
      <c r="S217" s="85">
        <v>181</v>
      </c>
      <c r="T217" s="2">
        <v>44110</v>
      </c>
      <c r="U217" s="2">
        <v>44146</v>
      </c>
    </row>
    <row r="218" spans="1:21" x14ac:dyDescent="0.2">
      <c r="A218" s="3" t="str">
        <f>HYPERLINK("http://www.ofsted.gov.uk/inspection-reports/find-inspection-report/provider/ELS/140204 ","Ofsted School Webpage")</f>
        <v>Ofsted School Webpage</v>
      </c>
      <c r="B218" s="85">
        <v>140204</v>
      </c>
      <c r="C218" s="85">
        <v>3806102</v>
      </c>
      <c r="D218" s="85" t="s">
        <v>875</v>
      </c>
      <c r="E218" s="85" t="s">
        <v>82</v>
      </c>
      <c r="F218" s="85" t="s">
        <v>454</v>
      </c>
      <c r="G218" s="2">
        <v>41519</v>
      </c>
      <c r="H218" s="85" t="s">
        <v>275</v>
      </c>
      <c r="I218" s="85" t="s">
        <v>276</v>
      </c>
      <c r="J218" s="85" t="s">
        <v>405</v>
      </c>
      <c r="K218" s="85" t="s">
        <v>335</v>
      </c>
      <c r="L218" s="85" t="s">
        <v>258</v>
      </c>
      <c r="M218" s="85" t="s">
        <v>236</v>
      </c>
      <c r="N218" s="85" t="s">
        <v>218</v>
      </c>
      <c r="O218" s="85" t="s">
        <v>227</v>
      </c>
      <c r="P218" s="85" t="s">
        <v>822</v>
      </c>
      <c r="Q218" s="85" t="s">
        <v>876</v>
      </c>
      <c r="R218" s="85">
        <v>4</v>
      </c>
      <c r="S218" s="85">
        <v>1048</v>
      </c>
      <c r="T218" s="2">
        <v>44110</v>
      </c>
      <c r="U218" s="2">
        <v>44146</v>
      </c>
    </row>
    <row r="219" spans="1:21" x14ac:dyDescent="0.2">
      <c r="A219" s="3" t="str">
        <f>HYPERLINK("http://www.ofsted.gov.uk/inspection-reports/find-inspection-report/provider/ELS/140934 ","Ofsted School Webpage")</f>
        <v>Ofsted School Webpage</v>
      </c>
      <c r="B219" s="85">
        <v>140934</v>
      </c>
      <c r="C219" s="85">
        <v>3052031</v>
      </c>
      <c r="D219" s="85" t="s">
        <v>877</v>
      </c>
      <c r="E219" s="85" t="s">
        <v>81</v>
      </c>
      <c r="F219" s="85" t="s">
        <v>454</v>
      </c>
      <c r="G219" s="2">
        <v>42248</v>
      </c>
      <c r="H219" s="85" t="s">
        <v>275</v>
      </c>
      <c r="I219" s="85" t="s">
        <v>256</v>
      </c>
      <c r="J219" s="85" t="s">
        <v>405</v>
      </c>
      <c r="K219" s="85" t="s">
        <v>405</v>
      </c>
      <c r="L219" s="85" t="s">
        <v>258</v>
      </c>
      <c r="M219" s="85" t="s">
        <v>107</v>
      </c>
      <c r="N219" s="85" t="s">
        <v>107</v>
      </c>
      <c r="O219" s="85" t="s">
        <v>124</v>
      </c>
      <c r="P219" s="85" t="s">
        <v>878</v>
      </c>
      <c r="Q219" s="85" t="s">
        <v>879</v>
      </c>
      <c r="R219" s="85">
        <v>2</v>
      </c>
      <c r="S219" s="85">
        <v>279</v>
      </c>
      <c r="T219" s="2">
        <v>44110</v>
      </c>
      <c r="U219" s="2">
        <v>44157</v>
      </c>
    </row>
    <row r="220" spans="1:21" x14ac:dyDescent="0.2">
      <c r="A220" s="3" t="str">
        <f>HYPERLINK("http://www.ofsted.gov.uk/inspection-reports/find-inspection-report/provider/ELS/141943 ","Ofsted School Webpage")</f>
        <v>Ofsted School Webpage</v>
      </c>
      <c r="B220" s="85">
        <v>141943</v>
      </c>
      <c r="C220" s="85">
        <v>3304020</v>
      </c>
      <c r="D220" s="85" t="s">
        <v>880</v>
      </c>
      <c r="E220" s="85" t="s">
        <v>82</v>
      </c>
      <c r="F220" s="85" t="s">
        <v>454</v>
      </c>
      <c r="G220" s="2">
        <v>42248</v>
      </c>
      <c r="H220" s="85" t="s">
        <v>450</v>
      </c>
      <c r="I220" s="85" t="s">
        <v>256</v>
      </c>
      <c r="J220" s="85" t="s">
        <v>335</v>
      </c>
      <c r="K220" s="85" t="s">
        <v>405</v>
      </c>
      <c r="L220" s="85" t="s">
        <v>335</v>
      </c>
      <c r="M220" s="85" t="s">
        <v>203</v>
      </c>
      <c r="N220" s="85" t="s">
        <v>203</v>
      </c>
      <c r="O220" s="85" t="s">
        <v>209</v>
      </c>
      <c r="P220" s="85" t="s">
        <v>881</v>
      </c>
      <c r="Q220" s="85" t="s">
        <v>882</v>
      </c>
      <c r="R220" s="85">
        <v>5</v>
      </c>
      <c r="S220" s="85">
        <v>590</v>
      </c>
      <c r="T220" s="2">
        <v>44110</v>
      </c>
      <c r="U220" s="2">
        <v>44146</v>
      </c>
    </row>
    <row r="221" spans="1:21" x14ac:dyDescent="0.2">
      <c r="A221" s="3" t="str">
        <f>HYPERLINK("http://www.ofsted.gov.uk/inspection-reports/find-inspection-report/provider/ELS/144649 ","Ofsted School Webpage")</f>
        <v>Ofsted School Webpage</v>
      </c>
      <c r="B221" s="85">
        <v>144649</v>
      </c>
      <c r="C221" s="85">
        <v>3582016</v>
      </c>
      <c r="D221" s="85" t="s">
        <v>883</v>
      </c>
      <c r="E221" s="85" t="s">
        <v>81</v>
      </c>
      <c r="F221" s="85" t="s">
        <v>404</v>
      </c>
      <c r="G221" s="2">
        <v>43160</v>
      </c>
      <c r="H221" s="85" t="s">
        <v>255</v>
      </c>
      <c r="I221" s="85" t="s">
        <v>256</v>
      </c>
      <c r="J221" s="85" t="s">
        <v>257</v>
      </c>
      <c r="K221" s="85" t="s">
        <v>450</v>
      </c>
      <c r="L221" s="85" t="s">
        <v>258</v>
      </c>
      <c r="M221" s="85" t="s">
        <v>148</v>
      </c>
      <c r="N221" s="85" t="s">
        <v>148</v>
      </c>
      <c r="O221" s="85" t="s">
        <v>166</v>
      </c>
      <c r="P221" s="85" t="s">
        <v>884</v>
      </c>
      <c r="Q221" s="85" t="s">
        <v>885</v>
      </c>
      <c r="R221" s="85">
        <v>4</v>
      </c>
      <c r="S221" s="85">
        <v>194</v>
      </c>
      <c r="T221" s="2">
        <v>44110</v>
      </c>
      <c r="U221" s="2">
        <v>44150</v>
      </c>
    </row>
    <row r="222" spans="1:21" x14ac:dyDescent="0.2">
      <c r="A222" s="3" t="str">
        <f>HYPERLINK("http://www.ofsted.gov.uk/inspection-reports/find-inspection-report/provider/ELS/140117 ","Ofsted School Webpage")</f>
        <v>Ofsted School Webpage</v>
      </c>
      <c r="B222" s="85">
        <v>140117</v>
      </c>
      <c r="C222" s="85">
        <v>9364190</v>
      </c>
      <c r="D222" s="85" t="s">
        <v>886</v>
      </c>
      <c r="E222" s="85" t="s">
        <v>82</v>
      </c>
      <c r="F222" s="85" t="s">
        <v>400</v>
      </c>
      <c r="G222" s="2">
        <v>41518</v>
      </c>
      <c r="H222" s="85" t="s">
        <v>275</v>
      </c>
      <c r="I222" s="85" t="s">
        <v>276</v>
      </c>
      <c r="J222" s="85" t="s">
        <v>405</v>
      </c>
      <c r="K222" s="85" t="s">
        <v>257</v>
      </c>
      <c r="L222" s="85" t="s">
        <v>258</v>
      </c>
      <c r="M222" s="85" t="s">
        <v>169</v>
      </c>
      <c r="N222" s="85" t="s">
        <v>169</v>
      </c>
      <c r="O222" s="85" t="s">
        <v>175</v>
      </c>
      <c r="P222" s="85" t="s">
        <v>887</v>
      </c>
      <c r="Q222" s="85" t="s">
        <v>888</v>
      </c>
      <c r="R222" s="85">
        <v>1</v>
      </c>
      <c r="S222" s="85">
        <v>1479</v>
      </c>
      <c r="T222" s="2">
        <v>44110</v>
      </c>
      <c r="U222" s="2">
        <v>44160</v>
      </c>
    </row>
    <row r="223" spans="1:21" x14ac:dyDescent="0.2">
      <c r="A223" s="3" t="str">
        <f>HYPERLINK("http://www.ofsted.gov.uk/inspection-reports/find-inspection-report/provider/ELS/141454 ","Ofsted School Webpage")</f>
        <v>Ofsted School Webpage</v>
      </c>
      <c r="B223" s="85">
        <v>141454</v>
      </c>
      <c r="C223" s="85">
        <v>8573117</v>
      </c>
      <c r="D223" s="85" t="s">
        <v>889</v>
      </c>
      <c r="E223" s="85" t="s">
        <v>81</v>
      </c>
      <c r="F223" s="85" t="s">
        <v>400</v>
      </c>
      <c r="G223" s="2">
        <v>41913</v>
      </c>
      <c r="H223" s="85" t="s">
        <v>255</v>
      </c>
      <c r="I223" s="85" t="s">
        <v>256</v>
      </c>
      <c r="J223" s="85" t="s">
        <v>342</v>
      </c>
      <c r="K223" s="85" t="s">
        <v>257</v>
      </c>
      <c r="L223" s="85" t="s">
        <v>335</v>
      </c>
      <c r="M223" s="85" t="s">
        <v>85</v>
      </c>
      <c r="N223" s="85" t="s">
        <v>85</v>
      </c>
      <c r="O223" s="85" t="s">
        <v>88</v>
      </c>
      <c r="P223" s="85" t="s">
        <v>430</v>
      </c>
      <c r="Q223" s="85" t="s">
        <v>890</v>
      </c>
      <c r="R223" s="85">
        <v>2</v>
      </c>
      <c r="S223" s="85">
        <v>196</v>
      </c>
      <c r="T223" s="2">
        <v>44110</v>
      </c>
      <c r="U223" s="2">
        <v>44154</v>
      </c>
    </row>
    <row r="224" spans="1:21" x14ac:dyDescent="0.2">
      <c r="A224" s="3" t="str">
        <f>HYPERLINK("http://www.ofsted.gov.uk/inspection-reports/find-inspection-report/provider/ELS/143477 ","Ofsted School Webpage")</f>
        <v>Ofsted School Webpage</v>
      </c>
      <c r="B224" s="85">
        <v>143477</v>
      </c>
      <c r="C224" s="85">
        <v>8392264</v>
      </c>
      <c r="D224" s="85" t="s">
        <v>891</v>
      </c>
      <c r="E224" s="85" t="s">
        <v>81</v>
      </c>
      <c r="F224" s="85" t="s">
        <v>400</v>
      </c>
      <c r="G224" s="2">
        <v>42644</v>
      </c>
      <c r="H224" s="85" t="s">
        <v>255</v>
      </c>
      <c r="I224" s="85" t="s">
        <v>256</v>
      </c>
      <c r="J224" s="85" t="s">
        <v>257</v>
      </c>
      <c r="K224" s="85" t="s">
        <v>257</v>
      </c>
      <c r="L224" s="85" t="s">
        <v>258</v>
      </c>
      <c r="M224" s="85" t="s">
        <v>188</v>
      </c>
      <c r="N224" s="85" t="s">
        <v>188</v>
      </c>
      <c r="O224" s="85" t="s">
        <v>200</v>
      </c>
      <c r="P224" s="85" t="s">
        <v>892</v>
      </c>
      <c r="Q224" s="85" t="s">
        <v>893</v>
      </c>
      <c r="R224" s="85">
        <v>3</v>
      </c>
      <c r="S224" s="85">
        <v>205</v>
      </c>
      <c r="T224" s="2">
        <v>44110</v>
      </c>
      <c r="U224" s="2">
        <v>44146</v>
      </c>
    </row>
    <row r="225" spans="1:21" x14ac:dyDescent="0.2">
      <c r="A225" s="3" t="str">
        <f>HYPERLINK("http://www.ofsted.gov.uk/inspection-reports/find-inspection-report/provider/ELS/138017 ","Ofsted School Webpage")</f>
        <v>Ofsted School Webpage</v>
      </c>
      <c r="B225" s="85">
        <v>138017</v>
      </c>
      <c r="C225" s="85">
        <v>8133326</v>
      </c>
      <c r="D225" s="85" t="s">
        <v>894</v>
      </c>
      <c r="E225" s="85" t="s">
        <v>81</v>
      </c>
      <c r="F225" s="85" t="s">
        <v>400</v>
      </c>
      <c r="G225" s="2">
        <v>41000</v>
      </c>
      <c r="H225" s="85" t="s">
        <v>275</v>
      </c>
      <c r="I225" s="85" t="s">
        <v>256</v>
      </c>
      <c r="J225" s="85" t="s">
        <v>334</v>
      </c>
      <c r="K225" s="85" t="s">
        <v>257</v>
      </c>
      <c r="L225" s="85" t="s">
        <v>335</v>
      </c>
      <c r="M225" s="85" t="s">
        <v>236</v>
      </c>
      <c r="N225" s="85" t="s">
        <v>218</v>
      </c>
      <c r="O225" s="85" t="s">
        <v>229</v>
      </c>
      <c r="P225" s="85" t="s">
        <v>895</v>
      </c>
      <c r="Q225" s="85" t="s">
        <v>896</v>
      </c>
      <c r="R225" s="85">
        <v>4</v>
      </c>
      <c r="S225" s="85">
        <v>411</v>
      </c>
      <c r="T225" s="2">
        <v>44111</v>
      </c>
      <c r="U225" s="2">
        <v>44147</v>
      </c>
    </row>
    <row r="226" spans="1:21" x14ac:dyDescent="0.2">
      <c r="A226" s="3" t="str">
        <f>HYPERLINK("http://www.ofsted.gov.uk/inspection-reports/find-inspection-report/provider/ELS/114033 ","Ofsted School Webpage")</f>
        <v>Ofsted School Webpage</v>
      </c>
      <c r="B226" s="85">
        <v>114033</v>
      </c>
      <c r="C226" s="85">
        <v>8402232</v>
      </c>
      <c r="D226" s="85" t="s">
        <v>897</v>
      </c>
      <c r="E226" s="85" t="s">
        <v>81</v>
      </c>
      <c r="F226" s="85" t="s">
        <v>254</v>
      </c>
      <c r="G226" s="85" t="s">
        <v>262</v>
      </c>
      <c r="H226" s="85" t="s">
        <v>255</v>
      </c>
      <c r="I226" s="85" t="s">
        <v>256</v>
      </c>
      <c r="J226" s="85" t="s">
        <v>257</v>
      </c>
      <c r="K226" s="85" t="s">
        <v>257</v>
      </c>
      <c r="L226" s="85" t="s">
        <v>258</v>
      </c>
      <c r="M226" s="85" t="s">
        <v>236</v>
      </c>
      <c r="N226" s="85" t="s">
        <v>135</v>
      </c>
      <c r="O226" s="85" t="s">
        <v>143</v>
      </c>
      <c r="P226" s="85" t="s">
        <v>898</v>
      </c>
      <c r="Q226" s="85" t="s">
        <v>899</v>
      </c>
      <c r="R226" s="85">
        <v>5</v>
      </c>
      <c r="S226" s="85">
        <v>205</v>
      </c>
      <c r="T226" s="2">
        <v>44111</v>
      </c>
      <c r="U226" s="2">
        <v>44154</v>
      </c>
    </row>
    <row r="227" spans="1:21" x14ac:dyDescent="0.2">
      <c r="A227" s="3" t="str">
        <f>HYPERLINK("http://www.ofsted.gov.uk/inspection-reports/find-inspection-report/provider/ELS/104859 ","Ofsted School Webpage")</f>
        <v>Ofsted School Webpage</v>
      </c>
      <c r="B227" s="85">
        <v>104859</v>
      </c>
      <c r="C227" s="85">
        <v>3432023</v>
      </c>
      <c r="D227" s="85" t="s">
        <v>900</v>
      </c>
      <c r="E227" s="85" t="s">
        <v>81</v>
      </c>
      <c r="F227" s="85" t="s">
        <v>254</v>
      </c>
      <c r="G227" s="85" t="s">
        <v>262</v>
      </c>
      <c r="H227" s="85" t="s">
        <v>255</v>
      </c>
      <c r="I227" s="85" t="s">
        <v>256</v>
      </c>
      <c r="J227" s="85" t="s">
        <v>257</v>
      </c>
      <c r="K227" s="85" t="s">
        <v>257</v>
      </c>
      <c r="L227" s="85" t="s">
        <v>258</v>
      </c>
      <c r="M227" s="85" t="s">
        <v>148</v>
      </c>
      <c r="N227" s="85" t="s">
        <v>148</v>
      </c>
      <c r="O227" s="85" t="s">
        <v>163</v>
      </c>
      <c r="P227" s="85" t="s">
        <v>787</v>
      </c>
      <c r="Q227" s="85" t="s">
        <v>901</v>
      </c>
      <c r="R227" s="85">
        <v>5</v>
      </c>
      <c r="S227" s="85">
        <v>289</v>
      </c>
      <c r="T227" s="2">
        <v>44112</v>
      </c>
      <c r="U227" s="2">
        <v>44157</v>
      </c>
    </row>
    <row r="228" spans="1:21" x14ac:dyDescent="0.2">
      <c r="A228" s="3" t="str">
        <f>HYPERLINK("http://www.ofsted.gov.uk/inspection-reports/find-inspection-report/provider/ELS/113533 ","Ofsted School Webpage")</f>
        <v>Ofsted School Webpage</v>
      </c>
      <c r="B228" s="85">
        <v>113533</v>
      </c>
      <c r="C228" s="85">
        <v>8794172</v>
      </c>
      <c r="D228" s="85" t="s">
        <v>902</v>
      </c>
      <c r="E228" s="85" t="s">
        <v>82</v>
      </c>
      <c r="F228" s="85" t="s">
        <v>382</v>
      </c>
      <c r="G228" s="85" t="s">
        <v>262</v>
      </c>
      <c r="H228" s="85" t="s">
        <v>275</v>
      </c>
      <c r="I228" s="85" t="s">
        <v>276</v>
      </c>
      <c r="J228" s="85" t="s">
        <v>257</v>
      </c>
      <c r="K228" s="85" t="s">
        <v>257</v>
      </c>
      <c r="L228" s="85" t="s">
        <v>258</v>
      </c>
      <c r="M228" s="85" t="s">
        <v>188</v>
      </c>
      <c r="N228" s="85" t="s">
        <v>188</v>
      </c>
      <c r="O228" s="85" t="s">
        <v>191</v>
      </c>
      <c r="P228" s="85" t="s">
        <v>570</v>
      </c>
      <c r="Q228" s="85" t="s">
        <v>903</v>
      </c>
      <c r="R228" s="85">
        <v>5</v>
      </c>
      <c r="S228" s="85">
        <v>771</v>
      </c>
      <c r="T228" s="2">
        <v>44112</v>
      </c>
      <c r="U228" s="2">
        <v>44147</v>
      </c>
    </row>
    <row r="229" spans="1:21" x14ac:dyDescent="0.2">
      <c r="A229" s="3" t="str">
        <f>HYPERLINK("http://www.ofsted.gov.uk/inspection-reports/find-inspection-report/provider/ELS/111143 ","Ofsted School Webpage")</f>
        <v>Ofsted School Webpage</v>
      </c>
      <c r="B229" s="85">
        <v>111143</v>
      </c>
      <c r="C229" s="85">
        <v>8952328</v>
      </c>
      <c r="D229" s="85" t="s">
        <v>904</v>
      </c>
      <c r="E229" s="85" t="s">
        <v>81</v>
      </c>
      <c r="F229" s="85" t="s">
        <v>254</v>
      </c>
      <c r="G229" s="85" t="s">
        <v>262</v>
      </c>
      <c r="H229" s="85" t="s">
        <v>255</v>
      </c>
      <c r="I229" s="85" t="s">
        <v>256</v>
      </c>
      <c r="J229" s="85" t="s">
        <v>257</v>
      </c>
      <c r="K229" s="85" t="s">
        <v>257</v>
      </c>
      <c r="L229" s="85" t="s">
        <v>258</v>
      </c>
      <c r="M229" s="85" t="s">
        <v>148</v>
      </c>
      <c r="N229" s="85" t="s">
        <v>148</v>
      </c>
      <c r="O229" s="85" t="s">
        <v>160</v>
      </c>
      <c r="P229" s="85" t="s">
        <v>905</v>
      </c>
      <c r="Q229" s="85" t="s">
        <v>906</v>
      </c>
      <c r="R229" s="85">
        <v>3</v>
      </c>
      <c r="S229" s="85">
        <v>198</v>
      </c>
      <c r="T229" s="2">
        <v>44112</v>
      </c>
      <c r="U229" s="2">
        <v>44157</v>
      </c>
    </row>
    <row r="230" spans="1:21" x14ac:dyDescent="0.2">
      <c r="A230" s="3" t="str">
        <f>HYPERLINK("http://www.ofsted.gov.uk/inspection-reports/find-inspection-report/provider/ELS/122172 ","Ofsted School Webpage")</f>
        <v>Ofsted School Webpage</v>
      </c>
      <c r="B230" s="85">
        <v>122172</v>
      </c>
      <c r="C230" s="85">
        <v>9292015</v>
      </c>
      <c r="D230" s="85" t="s">
        <v>907</v>
      </c>
      <c r="E230" s="85" t="s">
        <v>81</v>
      </c>
      <c r="F230" s="85" t="s">
        <v>254</v>
      </c>
      <c r="G230" s="85" t="s">
        <v>262</v>
      </c>
      <c r="H230" s="85" t="s">
        <v>255</v>
      </c>
      <c r="I230" s="85" t="s">
        <v>256</v>
      </c>
      <c r="J230" s="85" t="s">
        <v>257</v>
      </c>
      <c r="K230" s="85" t="s">
        <v>257</v>
      </c>
      <c r="L230" s="85" t="s">
        <v>258</v>
      </c>
      <c r="M230" s="85" t="s">
        <v>236</v>
      </c>
      <c r="N230" s="85" t="s">
        <v>135</v>
      </c>
      <c r="O230" s="85" t="s">
        <v>138</v>
      </c>
      <c r="P230" s="85" t="s">
        <v>401</v>
      </c>
      <c r="Q230" s="85" t="s">
        <v>908</v>
      </c>
      <c r="R230" s="85">
        <v>2</v>
      </c>
      <c r="S230" s="85">
        <v>379</v>
      </c>
      <c r="T230" s="2">
        <v>44112</v>
      </c>
      <c r="U230" s="2">
        <v>44158</v>
      </c>
    </row>
    <row r="231" spans="1:21" x14ac:dyDescent="0.2">
      <c r="A231" s="3" t="str">
        <f>HYPERLINK("http://www.ofsted.gov.uk/inspection-reports/find-inspection-report/provider/ELS/113335 ","Ofsted School Webpage")</f>
        <v>Ofsted School Webpage</v>
      </c>
      <c r="B231" s="85">
        <v>113335</v>
      </c>
      <c r="C231" s="85">
        <v>8782715</v>
      </c>
      <c r="D231" s="85" t="s">
        <v>909</v>
      </c>
      <c r="E231" s="85" t="s">
        <v>81</v>
      </c>
      <c r="F231" s="85" t="s">
        <v>254</v>
      </c>
      <c r="G231" s="85" t="s">
        <v>262</v>
      </c>
      <c r="H231" s="85" t="s">
        <v>255</v>
      </c>
      <c r="I231" s="85" t="s">
        <v>256</v>
      </c>
      <c r="J231" s="85" t="s">
        <v>257</v>
      </c>
      <c r="K231" s="85" t="s">
        <v>257</v>
      </c>
      <c r="L231" s="85" t="s">
        <v>258</v>
      </c>
      <c r="M231" s="85" t="s">
        <v>188</v>
      </c>
      <c r="N231" s="85" t="s">
        <v>188</v>
      </c>
      <c r="O231" s="85" t="s">
        <v>197</v>
      </c>
      <c r="P231" s="85" t="s">
        <v>326</v>
      </c>
      <c r="Q231" s="85" t="s">
        <v>910</v>
      </c>
      <c r="R231" s="85">
        <v>2</v>
      </c>
      <c r="S231" s="85">
        <v>180</v>
      </c>
      <c r="T231" s="2">
        <v>44112</v>
      </c>
      <c r="U231" s="2">
        <v>44151</v>
      </c>
    </row>
    <row r="232" spans="1:21" x14ac:dyDescent="0.2">
      <c r="A232" s="3" t="str">
        <f>HYPERLINK("http://www.ofsted.gov.uk/inspection-reports/find-inspection-report/provider/ELS/110734 ","Ofsted School Webpage")</f>
        <v>Ofsted School Webpage</v>
      </c>
      <c r="B232" s="85">
        <v>110734</v>
      </c>
      <c r="C232" s="85">
        <v>8742295</v>
      </c>
      <c r="D232" s="85" t="s">
        <v>911</v>
      </c>
      <c r="E232" s="85" t="s">
        <v>81</v>
      </c>
      <c r="F232" s="85" t="s">
        <v>254</v>
      </c>
      <c r="G232" s="85" t="s">
        <v>262</v>
      </c>
      <c r="H232" s="85" t="s">
        <v>255</v>
      </c>
      <c r="I232" s="85" t="s">
        <v>256</v>
      </c>
      <c r="J232" s="85" t="s">
        <v>257</v>
      </c>
      <c r="K232" s="85" t="s">
        <v>257</v>
      </c>
      <c r="L232" s="85" t="s">
        <v>258</v>
      </c>
      <c r="M232" s="85" t="s">
        <v>95</v>
      </c>
      <c r="N232" s="85" t="s">
        <v>95</v>
      </c>
      <c r="O232" s="85" t="s">
        <v>100</v>
      </c>
      <c r="P232" s="85" t="s">
        <v>100</v>
      </c>
      <c r="Q232" s="85" t="s">
        <v>912</v>
      </c>
      <c r="R232" s="85">
        <v>4</v>
      </c>
      <c r="S232" s="85">
        <v>209</v>
      </c>
      <c r="T232" s="2">
        <v>44112</v>
      </c>
      <c r="U232" s="2">
        <v>44154</v>
      </c>
    </row>
    <row r="233" spans="1:21" x14ac:dyDescent="0.2">
      <c r="A233" s="3" t="str">
        <f>HYPERLINK("http://www.ofsted.gov.uk/inspection-reports/find-inspection-report/provider/ELS/121281 ","Ofsted School Webpage")</f>
        <v>Ofsted School Webpage</v>
      </c>
      <c r="B233" s="85">
        <v>121281</v>
      </c>
      <c r="C233" s="85">
        <v>8162014</v>
      </c>
      <c r="D233" s="85" t="s">
        <v>913</v>
      </c>
      <c r="E233" s="85" t="s">
        <v>81</v>
      </c>
      <c r="F233" s="85" t="s">
        <v>254</v>
      </c>
      <c r="G233" s="85" t="s">
        <v>262</v>
      </c>
      <c r="H233" s="85" t="s">
        <v>255</v>
      </c>
      <c r="I233" s="85" t="s">
        <v>256</v>
      </c>
      <c r="J233" s="85" t="s">
        <v>257</v>
      </c>
      <c r="K233" s="85" t="s">
        <v>257</v>
      </c>
      <c r="L233" s="85" t="s">
        <v>258</v>
      </c>
      <c r="M233" s="85" t="s">
        <v>236</v>
      </c>
      <c r="N233" s="85" t="s">
        <v>218</v>
      </c>
      <c r="O233" s="85" t="s">
        <v>222</v>
      </c>
      <c r="P233" s="85" t="s">
        <v>397</v>
      </c>
      <c r="Q233" s="85" t="s">
        <v>914</v>
      </c>
      <c r="R233" s="85">
        <v>3</v>
      </c>
      <c r="S233" s="85">
        <v>390</v>
      </c>
      <c r="T233" s="2">
        <v>44112</v>
      </c>
      <c r="U233" s="2">
        <v>44160</v>
      </c>
    </row>
    <row r="234" spans="1:21" x14ac:dyDescent="0.2">
      <c r="A234" s="3" t="str">
        <f>HYPERLINK("http://www.ofsted.gov.uk/inspection-reports/find-inspection-report/provider/ELS/112385 ","Ofsted School Webpage")</f>
        <v>Ofsted School Webpage</v>
      </c>
      <c r="B234" s="85">
        <v>112385</v>
      </c>
      <c r="C234" s="85">
        <v>9094152</v>
      </c>
      <c r="D234" s="85" t="s">
        <v>915</v>
      </c>
      <c r="E234" s="85" t="s">
        <v>82</v>
      </c>
      <c r="F234" s="85" t="s">
        <v>254</v>
      </c>
      <c r="G234" s="85" t="s">
        <v>262</v>
      </c>
      <c r="H234" s="85" t="s">
        <v>275</v>
      </c>
      <c r="I234" s="85" t="s">
        <v>276</v>
      </c>
      <c r="J234" s="85" t="s">
        <v>257</v>
      </c>
      <c r="K234" s="85" t="s">
        <v>257</v>
      </c>
      <c r="L234" s="85" t="s">
        <v>258</v>
      </c>
      <c r="M234" s="85" t="s">
        <v>148</v>
      </c>
      <c r="N234" s="85" t="s">
        <v>148</v>
      </c>
      <c r="O234" s="85" t="s">
        <v>156</v>
      </c>
      <c r="P234" s="85" t="s">
        <v>349</v>
      </c>
      <c r="Q234" s="85" t="s">
        <v>916</v>
      </c>
      <c r="R234" s="85">
        <v>1</v>
      </c>
      <c r="S234" s="85">
        <v>1364</v>
      </c>
      <c r="T234" s="2">
        <v>44112</v>
      </c>
      <c r="U234" s="2">
        <v>44154</v>
      </c>
    </row>
    <row r="235" spans="1:21" x14ac:dyDescent="0.2">
      <c r="A235" s="3" t="str">
        <f>HYPERLINK("http://www.ofsted.gov.uk/inspection-reports/find-inspection-report/provider/ELS/114410 ","Ofsted School Webpage")</f>
        <v>Ofsted School Webpage</v>
      </c>
      <c r="B235" s="85">
        <v>114410</v>
      </c>
      <c r="C235" s="85">
        <v>8452078</v>
      </c>
      <c r="D235" s="85" t="s">
        <v>917</v>
      </c>
      <c r="E235" s="85" t="s">
        <v>81</v>
      </c>
      <c r="F235" s="85" t="s">
        <v>254</v>
      </c>
      <c r="G235" s="85" t="s">
        <v>262</v>
      </c>
      <c r="H235" s="85" t="s">
        <v>255</v>
      </c>
      <c r="I235" s="85" t="s">
        <v>256</v>
      </c>
      <c r="J235" s="85" t="s">
        <v>257</v>
      </c>
      <c r="K235" s="85" t="s">
        <v>257</v>
      </c>
      <c r="L235" s="85" t="s">
        <v>258</v>
      </c>
      <c r="M235" s="85" t="s">
        <v>169</v>
      </c>
      <c r="N235" s="85" t="s">
        <v>169</v>
      </c>
      <c r="O235" s="85" t="s">
        <v>180</v>
      </c>
      <c r="P235" s="85" t="s">
        <v>918</v>
      </c>
      <c r="Q235" s="85" t="s">
        <v>919</v>
      </c>
      <c r="R235" s="85">
        <v>1</v>
      </c>
      <c r="S235" s="85">
        <v>111</v>
      </c>
      <c r="T235" s="2">
        <v>44112</v>
      </c>
      <c r="U235" s="2">
        <v>44157</v>
      </c>
    </row>
    <row r="236" spans="1:21" x14ac:dyDescent="0.2">
      <c r="A236" s="3" t="str">
        <f>HYPERLINK("http://www.ofsted.gov.uk/inspection-reports/find-inspection-report/provider/ELS/124552 ","Ofsted School Webpage")</f>
        <v>Ofsted School Webpage</v>
      </c>
      <c r="B236" s="85">
        <v>124552</v>
      </c>
      <c r="C236" s="85">
        <v>9352034</v>
      </c>
      <c r="D236" s="85" t="s">
        <v>920</v>
      </c>
      <c r="E236" s="85" t="s">
        <v>81</v>
      </c>
      <c r="F236" s="85" t="s">
        <v>254</v>
      </c>
      <c r="G236" s="85" t="s">
        <v>262</v>
      </c>
      <c r="H236" s="85" t="s">
        <v>255</v>
      </c>
      <c r="I236" s="85" t="s">
        <v>256</v>
      </c>
      <c r="J236" s="85" t="s">
        <v>257</v>
      </c>
      <c r="K236" s="85" t="s">
        <v>257</v>
      </c>
      <c r="L236" s="85" t="s">
        <v>258</v>
      </c>
      <c r="M236" s="85" t="s">
        <v>95</v>
      </c>
      <c r="N236" s="85" t="s">
        <v>95</v>
      </c>
      <c r="O236" s="85" t="s">
        <v>99</v>
      </c>
      <c r="P236" s="85" t="s">
        <v>921</v>
      </c>
      <c r="Q236" s="85" t="s">
        <v>922</v>
      </c>
      <c r="R236" s="85">
        <v>2</v>
      </c>
      <c r="S236" s="85">
        <v>335</v>
      </c>
      <c r="T236" s="2">
        <v>44112</v>
      </c>
      <c r="U236" s="2">
        <v>44159</v>
      </c>
    </row>
    <row r="237" spans="1:21" x14ac:dyDescent="0.2">
      <c r="A237" s="3" t="str">
        <f>HYPERLINK("http://www.ofsted.gov.uk/inspection-reports/find-inspection-report/provider/ELS/119510 ","Ofsted School Webpage")</f>
        <v>Ofsted School Webpage</v>
      </c>
      <c r="B237" s="85">
        <v>119510</v>
      </c>
      <c r="C237" s="85">
        <v>8893500</v>
      </c>
      <c r="D237" s="85" t="s">
        <v>923</v>
      </c>
      <c r="E237" s="85" t="s">
        <v>81</v>
      </c>
      <c r="F237" s="85" t="s">
        <v>333</v>
      </c>
      <c r="G237" s="85" t="s">
        <v>262</v>
      </c>
      <c r="H237" s="85" t="s">
        <v>255</v>
      </c>
      <c r="I237" s="85" t="s">
        <v>256</v>
      </c>
      <c r="J237" s="85" t="s">
        <v>334</v>
      </c>
      <c r="K237" s="85" t="s">
        <v>257</v>
      </c>
      <c r="L237" s="85" t="s">
        <v>335</v>
      </c>
      <c r="M237" s="85" t="s">
        <v>148</v>
      </c>
      <c r="N237" s="85" t="s">
        <v>148</v>
      </c>
      <c r="O237" s="85" t="s">
        <v>159</v>
      </c>
      <c r="P237" s="85" t="s">
        <v>924</v>
      </c>
      <c r="Q237" s="85" t="s">
        <v>925</v>
      </c>
      <c r="R237" s="85">
        <v>3</v>
      </c>
      <c r="S237" s="85">
        <v>169</v>
      </c>
      <c r="T237" s="2">
        <v>44112</v>
      </c>
      <c r="U237" s="2">
        <v>44146</v>
      </c>
    </row>
    <row r="238" spans="1:21" x14ac:dyDescent="0.2">
      <c r="A238" s="3" t="str">
        <f>HYPERLINK("http://www.ofsted.gov.uk/inspection-reports/find-inspection-report/provider/ELS/123551 ","Ofsted School Webpage")</f>
        <v>Ofsted School Webpage</v>
      </c>
      <c r="B238" s="85">
        <v>123551</v>
      </c>
      <c r="C238" s="85">
        <v>8933350</v>
      </c>
      <c r="D238" s="85" t="s">
        <v>926</v>
      </c>
      <c r="E238" s="85" t="s">
        <v>81</v>
      </c>
      <c r="F238" s="85" t="s">
        <v>333</v>
      </c>
      <c r="G238" s="85" t="s">
        <v>262</v>
      </c>
      <c r="H238" s="85" t="s">
        <v>255</v>
      </c>
      <c r="I238" s="85" t="s">
        <v>256</v>
      </c>
      <c r="J238" s="85" t="s">
        <v>334</v>
      </c>
      <c r="K238" s="85" t="s">
        <v>257</v>
      </c>
      <c r="L238" s="85" t="s">
        <v>335</v>
      </c>
      <c r="M238" s="85" t="s">
        <v>203</v>
      </c>
      <c r="N238" s="85" t="s">
        <v>203</v>
      </c>
      <c r="O238" s="85" t="s">
        <v>214</v>
      </c>
      <c r="P238" s="85" t="s">
        <v>927</v>
      </c>
      <c r="Q238" s="85" t="s">
        <v>928</v>
      </c>
      <c r="R238" s="85">
        <v>2</v>
      </c>
      <c r="S238" s="85">
        <v>200</v>
      </c>
      <c r="T238" s="2">
        <v>44112</v>
      </c>
      <c r="U238" s="2">
        <v>44152</v>
      </c>
    </row>
    <row r="239" spans="1:21" x14ac:dyDescent="0.2">
      <c r="A239" s="3" t="str">
        <f>HYPERLINK("http://www.ofsted.gov.uk/inspection-reports/find-inspection-report/provider/ELS/123696 ","Ofsted School Webpage")</f>
        <v>Ofsted School Webpage</v>
      </c>
      <c r="B239" s="85">
        <v>123696</v>
      </c>
      <c r="C239" s="85">
        <v>9332184</v>
      </c>
      <c r="D239" s="85" t="s">
        <v>929</v>
      </c>
      <c r="E239" s="85" t="s">
        <v>81</v>
      </c>
      <c r="F239" s="85" t="s">
        <v>254</v>
      </c>
      <c r="G239" s="85" t="s">
        <v>262</v>
      </c>
      <c r="H239" s="85" t="s">
        <v>255</v>
      </c>
      <c r="I239" s="85" t="s">
        <v>256</v>
      </c>
      <c r="J239" s="85" t="s">
        <v>257</v>
      </c>
      <c r="K239" s="85" t="s">
        <v>257</v>
      </c>
      <c r="L239" s="85" t="s">
        <v>258</v>
      </c>
      <c r="M239" s="85" t="s">
        <v>188</v>
      </c>
      <c r="N239" s="85" t="s">
        <v>188</v>
      </c>
      <c r="O239" s="85" t="s">
        <v>195</v>
      </c>
      <c r="P239" s="85" t="s">
        <v>409</v>
      </c>
      <c r="Q239" s="85" t="s">
        <v>930</v>
      </c>
      <c r="R239" s="85">
        <v>4</v>
      </c>
      <c r="S239" s="85">
        <v>107</v>
      </c>
      <c r="T239" s="2">
        <v>44112</v>
      </c>
      <c r="U239" s="2">
        <v>44146</v>
      </c>
    </row>
    <row r="240" spans="1:21" x14ac:dyDescent="0.2">
      <c r="A240" s="3" t="str">
        <f>HYPERLINK("http://www.ofsted.gov.uk/inspection-reports/find-inspection-report/provider/ELS/114467 ","Ofsted School Webpage")</f>
        <v>Ofsted School Webpage</v>
      </c>
      <c r="B240" s="85">
        <v>114467</v>
      </c>
      <c r="C240" s="85">
        <v>8452143</v>
      </c>
      <c r="D240" s="85" t="s">
        <v>931</v>
      </c>
      <c r="E240" s="85" t="s">
        <v>81</v>
      </c>
      <c r="F240" s="85" t="s">
        <v>254</v>
      </c>
      <c r="G240" s="85" t="s">
        <v>262</v>
      </c>
      <c r="H240" s="85" t="s">
        <v>255</v>
      </c>
      <c r="I240" s="85" t="s">
        <v>256</v>
      </c>
      <c r="J240" s="85" t="s">
        <v>257</v>
      </c>
      <c r="K240" s="85" t="s">
        <v>257</v>
      </c>
      <c r="L240" s="85" t="s">
        <v>258</v>
      </c>
      <c r="M240" s="85" t="s">
        <v>169</v>
      </c>
      <c r="N240" s="85" t="s">
        <v>169</v>
      </c>
      <c r="O240" s="85" t="s">
        <v>180</v>
      </c>
      <c r="P240" s="85" t="s">
        <v>784</v>
      </c>
      <c r="Q240" s="85" t="s">
        <v>932</v>
      </c>
      <c r="R240" s="85">
        <v>4</v>
      </c>
      <c r="S240" s="85">
        <v>356</v>
      </c>
      <c r="T240" s="2">
        <v>44112</v>
      </c>
      <c r="U240" s="2">
        <v>44154</v>
      </c>
    </row>
    <row r="241" spans="1:21" x14ac:dyDescent="0.2">
      <c r="A241" s="3" t="str">
        <f>HYPERLINK("http://www.ofsted.gov.uk/inspection-reports/find-inspection-report/provider/ELS/119813 ","Ofsted School Webpage")</f>
        <v>Ofsted School Webpage</v>
      </c>
      <c r="B241" s="85">
        <v>119813</v>
      </c>
      <c r="C241" s="85">
        <v>8885404</v>
      </c>
      <c r="D241" s="85" t="s">
        <v>933</v>
      </c>
      <c r="E241" s="85" t="s">
        <v>82</v>
      </c>
      <c r="F241" s="85" t="s">
        <v>333</v>
      </c>
      <c r="G241" s="85" t="s">
        <v>262</v>
      </c>
      <c r="H241" s="85" t="s">
        <v>275</v>
      </c>
      <c r="I241" s="85" t="s">
        <v>256</v>
      </c>
      <c r="J241" s="85" t="s">
        <v>405</v>
      </c>
      <c r="K241" s="85" t="s">
        <v>257</v>
      </c>
      <c r="L241" s="85" t="s">
        <v>258</v>
      </c>
      <c r="M241" s="85" t="s">
        <v>148</v>
      </c>
      <c r="N241" s="85" t="s">
        <v>148</v>
      </c>
      <c r="O241" s="85" t="s">
        <v>149</v>
      </c>
      <c r="P241" s="85" t="s">
        <v>644</v>
      </c>
      <c r="Q241" s="85" t="s">
        <v>934</v>
      </c>
      <c r="R241" s="85">
        <v>4</v>
      </c>
      <c r="S241" s="85">
        <v>841</v>
      </c>
      <c r="T241" s="2">
        <v>44112</v>
      </c>
      <c r="U241" s="2">
        <v>44154</v>
      </c>
    </row>
    <row r="242" spans="1:21" x14ac:dyDescent="0.2">
      <c r="A242" s="3" t="str">
        <f>HYPERLINK("http://www.ofsted.gov.uk/inspection-reports/find-inspection-report/provider/ELS/103333 ","Ofsted School Webpage")</f>
        <v>Ofsted School Webpage</v>
      </c>
      <c r="B242" s="85">
        <v>103333</v>
      </c>
      <c r="C242" s="85">
        <v>3302313</v>
      </c>
      <c r="D242" s="85" t="s">
        <v>935</v>
      </c>
      <c r="E242" s="85" t="s">
        <v>81</v>
      </c>
      <c r="F242" s="85" t="s">
        <v>254</v>
      </c>
      <c r="G242" s="85" t="s">
        <v>262</v>
      </c>
      <c r="H242" s="85" t="s">
        <v>255</v>
      </c>
      <c r="I242" s="85" t="s">
        <v>255</v>
      </c>
      <c r="J242" s="85" t="s">
        <v>257</v>
      </c>
      <c r="K242" s="85" t="s">
        <v>257</v>
      </c>
      <c r="L242" s="85" t="s">
        <v>258</v>
      </c>
      <c r="M242" s="85" t="s">
        <v>203</v>
      </c>
      <c r="N242" s="85" t="s">
        <v>203</v>
      </c>
      <c r="O242" s="85" t="s">
        <v>209</v>
      </c>
      <c r="P242" s="85" t="s">
        <v>936</v>
      </c>
      <c r="Q242" s="85" t="s">
        <v>937</v>
      </c>
      <c r="R242" s="85">
        <v>5</v>
      </c>
      <c r="S242" s="85">
        <v>358</v>
      </c>
      <c r="T242" s="2">
        <v>44112</v>
      </c>
      <c r="U242" s="2">
        <v>44146</v>
      </c>
    </row>
    <row r="243" spans="1:21" x14ac:dyDescent="0.2">
      <c r="A243" s="3" t="str">
        <f>HYPERLINK("http://www.ofsted.gov.uk/inspection-reports/find-inspection-report/provider/ELS/107283 ","Ofsted School Webpage")</f>
        <v>Ofsted School Webpage</v>
      </c>
      <c r="B243" s="85">
        <v>107283</v>
      </c>
      <c r="C243" s="85">
        <v>3802168</v>
      </c>
      <c r="D243" s="85" t="s">
        <v>938</v>
      </c>
      <c r="E243" s="85" t="s">
        <v>81</v>
      </c>
      <c r="F243" s="85" t="s">
        <v>254</v>
      </c>
      <c r="G243" s="85" t="s">
        <v>262</v>
      </c>
      <c r="H243" s="85" t="s">
        <v>255</v>
      </c>
      <c r="I243" s="85" t="s">
        <v>256</v>
      </c>
      <c r="J243" s="85" t="s">
        <v>257</v>
      </c>
      <c r="K243" s="85" t="s">
        <v>257</v>
      </c>
      <c r="L243" s="85" t="s">
        <v>258</v>
      </c>
      <c r="M243" s="85" t="s">
        <v>236</v>
      </c>
      <c r="N243" s="85" t="s">
        <v>218</v>
      </c>
      <c r="O243" s="85" t="s">
        <v>227</v>
      </c>
      <c r="P243" s="85" t="s">
        <v>939</v>
      </c>
      <c r="Q243" s="85" t="s">
        <v>940</v>
      </c>
      <c r="R243" s="85">
        <v>3</v>
      </c>
      <c r="S243" s="85">
        <v>294</v>
      </c>
      <c r="T243" s="2">
        <v>44112</v>
      </c>
      <c r="U243" s="2">
        <v>44159</v>
      </c>
    </row>
    <row r="244" spans="1:21" x14ac:dyDescent="0.2">
      <c r="A244" s="3" t="str">
        <f>HYPERLINK("http://www.ofsted.gov.uk/inspection-reports/find-inspection-report/provider/ELS/112523 ","Ofsted School Webpage")</f>
        <v>Ofsted School Webpage</v>
      </c>
      <c r="B244" s="85">
        <v>112523</v>
      </c>
      <c r="C244" s="85">
        <v>8302062</v>
      </c>
      <c r="D244" s="85" t="s">
        <v>941</v>
      </c>
      <c r="E244" s="85" t="s">
        <v>81</v>
      </c>
      <c r="F244" s="85" t="s">
        <v>254</v>
      </c>
      <c r="G244" s="85" t="s">
        <v>262</v>
      </c>
      <c r="H244" s="85" t="s">
        <v>255</v>
      </c>
      <c r="I244" s="85" t="s">
        <v>256</v>
      </c>
      <c r="J244" s="85" t="s">
        <v>257</v>
      </c>
      <c r="K244" s="85" t="s">
        <v>257</v>
      </c>
      <c r="L244" s="85" t="s">
        <v>258</v>
      </c>
      <c r="M244" s="85" t="s">
        <v>85</v>
      </c>
      <c r="N244" s="85" t="s">
        <v>85</v>
      </c>
      <c r="O244" s="85" t="s">
        <v>86</v>
      </c>
      <c r="P244" s="85" t="s">
        <v>277</v>
      </c>
      <c r="Q244" s="85" t="s">
        <v>942</v>
      </c>
      <c r="R244" s="85">
        <v>1</v>
      </c>
      <c r="S244" s="85">
        <v>314</v>
      </c>
      <c r="T244" s="2">
        <v>44112</v>
      </c>
      <c r="U244" s="2">
        <v>44159</v>
      </c>
    </row>
    <row r="245" spans="1:21" x14ac:dyDescent="0.2">
      <c r="A245" s="3" t="str">
        <f>HYPERLINK("http://www.ofsted.gov.uk/inspection-reports/find-inspection-report/provider/ELS/116431 ","Ofsted School Webpage")</f>
        <v>Ofsted School Webpage</v>
      </c>
      <c r="B245" s="85">
        <v>116431</v>
      </c>
      <c r="C245" s="85">
        <v>8504163</v>
      </c>
      <c r="D245" s="85" t="s">
        <v>943</v>
      </c>
      <c r="E245" s="85" t="s">
        <v>82</v>
      </c>
      <c r="F245" s="85" t="s">
        <v>254</v>
      </c>
      <c r="G245" s="85" t="s">
        <v>262</v>
      </c>
      <c r="H245" s="85" t="s">
        <v>275</v>
      </c>
      <c r="I245" s="85" t="s">
        <v>256</v>
      </c>
      <c r="J245" s="85" t="s">
        <v>257</v>
      </c>
      <c r="K245" s="85" t="s">
        <v>257</v>
      </c>
      <c r="L245" s="85" t="s">
        <v>258</v>
      </c>
      <c r="M245" s="85" t="s">
        <v>169</v>
      </c>
      <c r="N245" s="85" t="s">
        <v>169</v>
      </c>
      <c r="O245" s="85" t="s">
        <v>170</v>
      </c>
      <c r="P245" s="85" t="s">
        <v>944</v>
      </c>
      <c r="Q245" s="85" t="s">
        <v>945</v>
      </c>
      <c r="R245" s="85">
        <v>2</v>
      </c>
      <c r="S245" s="85">
        <v>937</v>
      </c>
      <c r="T245" s="2">
        <v>44112</v>
      </c>
      <c r="U245" s="2">
        <v>44151</v>
      </c>
    </row>
    <row r="246" spans="1:21" x14ac:dyDescent="0.2">
      <c r="A246" s="3" t="str">
        <f>HYPERLINK("http://www.ofsted.gov.uk/inspection-reports/find-inspection-report/provider/ELS/133274 ","Ofsted School Webpage")</f>
        <v>Ofsted School Webpage</v>
      </c>
      <c r="B246" s="85">
        <v>133274</v>
      </c>
      <c r="C246" s="85">
        <v>8913779</v>
      </c>
      <c r="D246" s="85" t="s">
        <v>946</v>
      </c>
      <c r="E246" s="85" t="s">
        <v>81</v>
      </c>
      <c r="F246" s="85" t="s">
        <v>254</v>
      </c>
      <c r="G246" s="2">
        <v>37135</v>
      </c>
      <c r="H246" s="85" t="s">
        <v>255</v>
      </c>
      <c r="I246" s="85" t="s">
        <v>256</v>
      </c>
      <c r="J246" s="85" t="s">
        <v>257</v>
      </c>
      <c r="K246" s="85" t="s">
        <v>257</v>
      </c>
      <c r="L246" s="85" t="s">
        <v>258</v>
      </c>
      <c r="M246" s="85" t="s">
        <v>85</v>
      </c>
      <c r="N246" s="85" t="s">
        <v>85</v>
      </c>
      <c r="O246" s="85" t="s">
        <v>90</v>
      </c>
      <c r="P246" s="85" t="s">
        <v>947</v>
      </c>
      <c r="Q246" s="85" t="s">
        <v>948</v>
      </c>
      <c r="R246" s="85">
        <v>4</v>
      </c>
      <c r="S246" s="85">
        <v>431</v>
      </c>
      <c r="T246" s="2">
        <v>44112</v>
      </c>
      <c r="U246" s="2">
        <v>44157</v>
      </c>
    </row>
    <row r="247" spans="1:21" x14ac:dyDescent="0.2">
      <c r="A247" s="3" t="str">
        <f>HYPERLINK("http://www.ofsted.gov.uk/inspection-reports/find-inspection-report/provider/ELS/118262 ","Ofsted School Webpage")</f>
        <v>Ofsted School Webpage</v>
      </c>
      <c r="B247" s="85">
        <v>118262</v>
      </c>
      <c r="C247" s="85">
        <v>8862109</v>
      </c>
      <c r="D247" s="85" t="s">
        <v>949</v>
      </c>
      <c r="E247" s="85" t="s">
        <v>81</v>
      </c>
      <c r="F247" s="85" t="s">
        <v>254</v>
      </c>
      <c r="G247" s="85" t="s">
        <v>262</v>
      </c>
      <c r="H247" s="85" t="s">
        <v>255</v>
      </c>
      <c r="I247" s="85" t="s">
        <v>256</v>
      </c>
      <c r="J247" s="85" t="s">
        <v>257</v>
      </c>
      <c r="K247" s="85" t="s">
        <v>257</v>
      </c>
      <c r="L247" s="85" t="s">
        <v>258</v>
      </c>
      <c r="M247" s="85" t="s">
        <v>169</v>
      </c>
      <c r="N247" s="85" t="s">
        <v>169</v>
      </c>
      <c r="O247" s="85" t="s">
        <v>171</v>
      </c>
      <c r="P247" s="85" t="s">
        <v>950</v>
      </c>
      <c r="Q247" s="85" t="s">
        <v>951</v>
      </c>
      <c r="R247" s="85">
        <v>2</v>
      </c>
      <c r="S247" s="85">
        <v>207</v>
      </c>
      <c r="T247" s="2">
        <v>44112</v>
      </c>
      <c r="U247" s="2">
        <v>44153</v>
      </c>
    </row>
    <row r="248" spans="1:21" x14ac:dyDescent="0.2">
      <c r="A248" s="3" t="str">
        <f>HYPERLINK("http://www.ofsted.gov.uk/inspection-reports/find-inspection-report/provider/ELS/119137 ","Ofsted School Webpage")</f>
        <v>Ofsted School Webpage</v>
      </c>
      <c r="B248" s="85">
        <v>119137</v>
      </c>
      <c r="C248" s="85">
        <v>8882027</v>
      </c>
      <c r="D248" s="85" t="s">
        <v>952</v>
      </c>
      <c r="E248" s="85" t="s">
        <v>81</v>
      </c>
      <c r="F248" s="85" t="s">
        <v>254</v>
      </c>
      <c r="G248" s="85" t="s">
        <v>262</v>
      </c>
      <c r="H248" s="85" t="s">
        <v>255</v>
      </c>
      <c r="I248" s="85" t="s">
        <v>256</v>
      </c>
      <c r="J248" s="85" t="s">
        <v>257</v>
      </c>
      <c r="K248" s="85" t="s">
        <v>257</v>
      </c>
      <c r="L248" s="85" t="s">
        <v>258</v>
      </c>
      <c r="M248" s="85" t="s">
        <v>148</v>
      </c>
      <c r="N248" s="85" t="s">
        <v>148</v>
      </c>
      <c r="O248" s="85" t="s">
        <v>149</v>
      </c>
      <c r="P248" s="85" t="s">
        <v>953</v>
      </c>
      <c r="Q248" s="85" t="s">
        <v>954</v>
      </c>
      <c r="R248" s="85">
        <v>4</v>
      </c>
      <c r="S248" s="85">
        <v>536</v>
      </c>
      <c r="T248" s="2">
        <v>44112</v>
      </c>
      <c r="U248" s="2">
        <v>44159</v>
      </c>
    </row>
    <row r="249" spans="1:21" x14ac:dyDescent="0.2">
      <c r="A249" s="3" t="str">
        <f>HYPERLINK("http://www.ofsted.gov.uk/inspection-reports/find-inspection-report/provider/ELS/131943 ","Ofsted School Webpage")</f>
        <v>Ofsted School Webpage</v>
      </c>
      <c r="B249" s="85">
        <v>131943</v>
      </c>
      <c r="C249" s="85">
        <v>3332188</v>
      </c>
      <c r="D249" s="85" t="s">
        <v>955</v>
      </c>
      <c r="E249" s="85" t="s">
        <v>81</v>
      </c>
      <c r="F249" s="85" t="s">
        <v>254</v>
      </c>
      <c r="G249" s="2">
        <v>36404</v>
      </c>
      <c r="H249" s="85" t="s">
        <v>255</v>
      </c>
      <c r="I249" s="85" t="s">
        <v>256</v>
      </c>
      <c r="J249" s="85" t="s">
        <v>257</v>
      </c>
      <c r="K249" s="85" t="s">
        <v>257</v>
      </c>
      <c r="L249" s="85" t="s">
        <v>258</v>
      </c>
      <c r="M249" s="85" t="s">
        <v>203</v>
      </c>
      <c r="N249" s="85" t="s">
        <v>203</v>
      </c>
      <c r="O249" s="85" t="s">
        <v>205</v>
      </c>
      <c r="P249" s="85" t="s">
        <v>956</v>
      </c>
      <c r="Q249" s="85" t="s">
        <v>957</v>
      </c>
      <c r="R249" s="85">
        <v>4</v>
      </c>
      <c r="S249" s="85">
        <v>455</v>
      </c>
      <c r="T249" s="2">
        <v>44112</v>
      </c>
      <c r="U249" s="2">
        <v>44146</v>
      </c>
    </row>
    <row r="250" spans="1:21" x14ac:dyDescent="0.2">
      <c r="A250" s="3" t="str">
        <f>HYPERLINK("http://www.ofsted.gov.uk/inspection-reports/find-inspection-report/provider/ELS/101900 ","Ofsted School Webpage")</f>
        <v>Ofsted School Webpage</v>
      </c>
      <c r="B250" s="85">
        <v>101900</v>
      </c>
      <c r="C250" s="85">
        <v>3072170</v>
      </c>
      <c r="D250" s="85" t="s">
        <v>958</v>
      </c>
      <c r="E250" s="85" t="s">
        <v>81</v>
      </c>
      <c r="F250" s="85" t="s">
        <v>254</v>
      </c>
      <c r="G250" s="85" t="s">
        <v>262</v>
      </c>
      <c r="H250" s="85" t="s">
        <v>255</v>
      </c>
      <c r="I250" s="85" t="s">
        <v>256</v>
      </c>
      <c r="J250" s="85" t="s">
        <v>257</v>
      </c>
      <c r="K250" s="85" t="s">
        <v>257</v>
      </c>
      <c r="L250" s="85" t="s">
        <v>258</v>
      </c>
      <c r="M250" s="85" t="s">
        <v>107</v>
      </c>
      <c r="N250" s="85" t="s">
        <v>107</v>
      </c>
      <c r="O250" s="85" t="s">
        <v>108</v>
      </c>
      <c r="P250" s="85" t="s">
        <v>477</v>
      </c>
      <c r="Q250" s="85" t="s">
        <v>959</v>
      </c>
      <c r="R250" s="85">
        <v>4</v>
      </c>
      <c r="S250" s="85">
        <v>448</v>
      </c>
      <c r="T250" s="2">
        <v>44112</v>
      </c>
      <c r="U250" s="2">
        <v>44151</v>
      </c>
    </row>
    <row r="251" spans="1:21" x14ac:dyDescent="0.2">
      <c r="A251" s="3" t="str">
        <f>HYPERLINK("http://www.ofsted.gov.uk/inspection-reports/find-inspection-report/provider/ELS/122473 ","Ofsted School Webpage")</f>
        <v>Ofsted School Webpage</v>
      </c>
      <c r="B251" s="85">
        <v>122473</v>
      </c>
      <c r="C251" s="85">
        <v>8912150</v>
      </c>
      <c r="D251" s="85" t="s">
        <v>960</v>
      </c>
      <c r="E251" s="85" t="s">
        <v>81</v>
      </c>
      <c r="F251" s="85" t="s">
        <v>254</v>
      </c>
      <c r="G251" s="85" t="s">
        <v>262</v>
      </c>
      <c r="H251" s="85" t="s">
        <v>255</v>
      </c>
      <c r="I251" s="85" t="s">
        <v>256</v>
      </c>
      <c r="J251" s="85" t="s">
        <v>257</v>
      </c>
      <c r="K251" s="85" t="s">
        <v>257</v>
      </c>
      <c r="L251" s="85" t="s">
        <v>258</v>
      </c>
      <c r="M251" s="85" t="s">
        <v>85</v>
      </c>
      <c r="N251" s="85" t="s">
        <v>85</v>
      </c>
      <c r="O251" s="85" t="s">
        <v>90</v>
      </c>
      <c r="P251" s="85" t="s">
        <v>415</v>
      </c>
      <c r="Q251" s="85" t="s">
        <v>961</v>
      </c>
      <c r="R251" s="85">
        <v>4</v>
      </c>
      <c r="S251" s="85">
        <v>381</v>
      </c>
      <c r="T251" s="2">
        <v>44112</v>
      </c>
      <c r="U251" s="2">
        <v>44151</v>
      </c>
    </row>
    <row r="252" spans="1:21" x14ac:dyDescent="0.2">
      <c r="A252" s="3" t="str">
        <f>HYPERLINK("http://www.ofsted.gov.uk/inspection-reports/find-inspection-report/provider/ELS/112648 ","Ofsted School Webpage")</f>
        <v>Ofsted School Webpage</v>
      </c>
      <c r="B252" s="85">
        <v>112648</v>
      </c>
      <c r="C252" s="85">
        <v>8302269</v>
      </c>
      <c r="D252" s="85" t="s">
        <v>962</v>
      </c>
      <c r="E252" s="85" t="s">
        <v>81</v>
      </c>
      <c r="F252" s="85" t="s">
        <v>254</v>
      </c>
      <c r="G252" s="85" t="s">
        <v>262</v>
      </c>
      <c r="H252" s="85" t="s">
        <v>255</v>
      </c>
      <c r="I252" s="85" t="s">
        <v>256</v>
      </c>
      <c r="J252" s="85" t="s">
        <v>257</v>
      </c>
      <c r="K252" s="85" t="s">
        <v>257</v>
      </c>
      <c r="L252" s="85" t="s">
        <v>258</v>
      </c>
      <c r="M252" s="85" t="s">
        <v>85</v>
      </c>
      <c r="N252" s="85" t="s">
        <v>85</v>
      </c>
      <c r="O252" s="85" t="s">
        <v>86</v>
      </c>
      <c r="P252" s="85" t="s">
        <v>277</v>
      </c>
      <c r="Q252" s="85" t="s">
        <v>963</v>
      </c>
      <c r="R252" s="85">
        <v>3</v>
      </c>
      <c r="S252" s="85">
        <v>94</v>
      </c>
      <c r="T252" s="2">
        <v>44112</v>
      </c>
      <c r="U252" s="2">
        <v>44152</v>
      </c>
    </row>
    <row r="253" spans="1:21" x14ac:dyDescent="0.2">
      <c r="A253" s="3" t="str">
        <f>HYPERLINK("http://www.ofsted.gov.uk/inspection-reports/find-inspection-report/provider/ELS/110602 ","Ofsted School Webpage")</f>
        <v>Ofsted School Webpage</v>
      </c>
      <c r="B253" s="85">
        <v>110602</v>
      </c>
      <c r="C253" s="85">
        <v>8732002</v>
      </c>
      <c r="D253" s="85" t="s">
        <v>964</v>
      </c>
      <c r="E253" s="85" t="s">
        <v>81</v>
      </c>
      <c r="F253" s="85" t="s">
        <v>254</v>
      </c>
      <c r="G253" s="85" t="s">
        <v>262</v>
      </c>
      <c r="H253" s="85" t="s">
        <v>255</v>
      </c>
      <c r="I253" s="85" t="s">
        <v>256</v>
      </c>
      <c r="J253" s="85" t="s">
        <v>257</v>
      </c>
      <c r="K253" s="85" t="s">
        <v>257</v>
      </c>
      <c r="L253" s="85" t="s">
        <v>258</v>
      </c>
      <c r="M253" s="85" t="s">
        <v>95</v>
      </c>
      <c r="N253" s="85" t="s">
        <v>95</v>
      </c>
      <c r="O253" s="85" t="s">
        <v>97</v>
      </c>
      <c r="P253" s="85" t="s">
        <v>438</v>
      </c>
      <c r="Q253" s="85" t="s">
        <v>965</v>
      </c>
      <c r="R253" s="85">
        <v>1</v>
      </c>
      <c r="S253" s="85">
        <v>344</v>
      </c>
      <c r="T253" s="2">
        <v>44112</v>
      </c>
      <c r="U253" s="2">
        <v>44151</v>
      </c>
    </row>
    <row r="254" spans="1:21" x14ac:dyDescent="0.2">
      <c r="A254" s="3" t="str">
        <f>HYPERLINK("http://www.ofsted.gov.uk/inspection-reports/find-inspection-report/provider/ELS/117221 ","Ofsted School Webpage")</f>
        <v>Ofsted School Webpage</v>
      </c>
      <c r="B254" s="85">
        <v>117221</v>
      </c>
      <c r="C254" s="85">
        <v>9192226</v>
      </c>
      <c r="D254" s="85" t="s">
        <v>966</v>
      </c>
      <c r="E254" s="85" t="s">
        <v>81</v>
      </c>
      <c r="F254" s="85" t="s">
        <v>254</v>
      </c>
      <c r="G254" s="85" t="s">
        <v>262</v>
      </c>
      <c r="H254" s="85" t="s">
        <v>255</v>
      </c>
      <c r="I254" s="85" t="s">
        <v>256</v>
      </c>
      <c r="J254" s="85" t="s">
        <v>257</v>
      </c>
      <c r="K254" s="85" t="s">
        <v>257</v>
      </c>
      <c r="L254" s="85" t="s">
        <v>258</v>
      </c>
      <c r="M254" s="85" t="s">
        <v>95</v>
      </c>
      <c r="N254" s="85" t="s">
        <v>95</v>
      </c>
      <c r="O254" s="85" t="s">
        <v>102</v>
      </c>
      <c r="P254" s="85" t="s">
        <v>967</v>
      </c>
      <c r="Q254" s="85" t="s">
        <v>968</v>
      </c>
      <c r="R254" s="85">
        <v>3</v>
      </c>
      <c r="S254" s="85">
        <v>285</v>
      </c>
      <c r="T254" s="2">
        <v>44112</v>
      </c>
      <c r="U254" s="2">
        <v>44146</v>
      </c>
    </row>
    <row r="255" spans="1:21" x14ac:dyDescent="0.2">
      <c r="A255" s="3" t="str">
        <f>HYPERLINK("http://www.ofsted.gov.uk/inspection-reports/find-inspection-report/provider/ELS/103300 ","Ofsted School Webpage")</f>
        <v>Ofsted School Webpage</v>
      </c>
      <c r="B255" s="85">
        <v>103300</v>
      </c>
      <c r="C255" s="85">
        <v>3302254</v>
      </c>
      <c r="D255" s="85" t="s">
        <v>969</v>
      </c>
      <c r="E255" s="85" t="s">
        <v>81</v>
      </c>
      <c r="F255" s="85" t="s">
        <v>254</v>
      </c>
      <c r="G255" s="85" t="s">
        <v>262</v>
      </c>
      <c r="H255" s="85" t="s">
        <v>255</v>
      </c>
      <c r="I255" s="85" t="s">
        <v>255</v>
      </c>
      <c r="J255" s="85" t="s">
        <v>257</v>
      </c>
      <c r="K255" s="85" t="s">
        <v>257</v>
      </c>
      <c r="L255" s="85" t="s">
        <v>258</v>
      </c>
      <c r="M255" s="85" t="s">
        <v>203</v>
      </c>
      <c r="N255" s="85" t="s">
        <v>203</v>
      </c>
      <c r="O255" s="85" t="s">
        <v>209</v>
      </c>
      <c r="P255" s="85" t="s">
        <v>970</v>
      </c>
      <c r="Q255" s="85" t="s">
        <v>971</v>
      </c>
      <c r="R255" s="85">
        <v>5</v>
      </c>
      <c r="S255" s="85">
        <v>611</v>
      </c>
      <c r="T255" s="2">
        <v>44112</v>
      </c>
      <c r="U255" s="2">
        <v>44151</v>
      </c>
    </row>
    <row r="256" spans="1:21" x14ac:dyDescent="0.2">
      <c r="A256" s="3" t="str">
        <f>HYPERLINK("http://www.ofsted.gov.uk/inspection-reports/find-inspection-report/provider/ELS/105032 ","Ofsted School Webpage")</f>
        <v>Ofsted School Webpage</v>
      </c>
      <c r="B256" s="85">
        <v>105032</v>
      </c>
      <c r="C256" s="85">
        <v>3442232</v>
      </c>
      <c r="D256" s="85" t="s">
        <v>972</v>
      </c>
      <c r="E256" s="85" t="s">
        <v>81</v>
      </c>
      <c r="F256" s="85" t="s">
        <v>254</v>
      </c>
      <c r="G256" s="85" t="s">
        <v>262</v>
      </c>
      <c r="H256" s="85" t="s">
        <v>255</v>
      </c>
      <c r="I256" s="85" t="s">
        <v>256</v>
      </c>
      <c r="J256" s="85" t="s">
        <v>257</v>
      </c>
      <c r="K256" s="85" t="s">
        <v>257</v>
      </c>
      <c r="L256" s="85" t="s">
        <v>258</v>
      </c>
      <c r="M256" s="85" t="s">
        <v>148</v>
      </c>
      <c r="N256" s="85" t="s">
        <v>148</v>
      </c>
      <c r="O256" s="85" t="s">
        <v>161</v>
      </c>
      <c r="P256" s="85" t="s">
        <v>973</v>
      </c>
      <c r="Q256" s="85" t="s">
        <v>974</v>
      </c>
      <c r="R256" s="85">
        <v>2</v>
      </c>
      <c r="S256" s="85">
        <v>206</v>
      </c>
      <c r="T256" s="2">
        <v>44112</v>
      </c>
      <c r="U256" s="2">
        <v>44146</v>
      </c>
    </row>
    <row r="257" spans="1:21" x14ac:dyDescent="0.2">
      <c r="A257" s="3" t="str">
        <f>HYPERLINK("http://www.ofsted.gov.uk/inspection-reports/find-inspection-report/provider/ELS/100457 ","Ofsted School Webpage")</f>
        <v>Ofsted School Webpage</v>
      </c>
      <c r="B257" s="85">
        <v>100457</v>
      </c>
      <c r="C257" s="85">
        <v>2064324</v>
      </c>
      <c r="D257" s="85" t="s">
        <v>975</v>
      </c>
      <c r="E257" s="85" t="s">
        <v>82</v>
      </c>
      <c r="F257" s="85" t="s">
        <v>254</v>
      </c>
      <c r="G257" s="85" t="s">
        <v>262</v>
      </c>
      <c r="H257" s="85" t="s">
        <v>275</v>
      </c>
      <c r="I257" s="85" t="s">
        <v>256</v>
      </c>
      <c r="J257" s="85" t="s">
        <v>257</v>
      </c>
      <c r="K257" s="85" t="s">
        <v>257</v>
      </c>
      <c r="L257" s="85" t="s">
        <v>258</v>
      </c>
      <c r="M257" s="85" t="s">
        <v>107</v>
      </c>
      <c r="N257" s="85" t="s">
        <v>107</v>
      </c>
      <c r="O257" s="85" t="s">
        <v>118</v>
      </c>
      <c r="P257" s="85" t="s">
        <v>577</v>
      </c>
      <c r="Q257" s="85" t="s">
        <v>976</v>
      </c>
      <c r="R257" s="85">
        <v>5</v>
      </c>
      <c r="S257" s="85">
        <v>892</v>
      </c>
      <c r="T257" s="2">
        <v>44112</v>
      </c>
      <c r="U257" s="2">
        <v>44154</v>
      </c>
    </row>
    <row r="258" spans="1:21" x14ac:dyDescent="0.2">
      <c r="A258" s="3" t="str">
        <f>HYPERLINK("http://www.ofsted.gov.uk/inspection-reports/find-inspection-report/provider/ELS/113209 ","Ofsted School Webpage")</f>
        <v>Ofsted School Webpage</v>
      </c>
      <c r="B258" s="85">
        <v>113209</v>
      </c>
      <c r="C258" s="85">
        <v>8782431</v>
      </c>
      <c r="D258" s="85" t="s">
        <v>977</v>
      </c>
      <c r="E258" s="85" t="s">
        <v>81</v>
      </c>
      <c r="F258" s="85" t="s">
        <v>254</v>
      </c>
      <c r="G258" s="85" t="s">
        <v>262</v>
      </c>
      <c r="H258" s="85" t="s">
        <v>255</v>
      </c>
      <c r="I258" s="85" t="s">
        <v>256</v>
      </c>
      <c r="J258" s="85" t="s">
        <v>257</v>
      </c>
      <c r="K258" s="85" t="s">
        <v>257</v>
      </c>
      <c r="L258" s="85" t="s">
        <v>258</v>
      </c>
      <c r="M258" s="85" t="s">
        <v>188</v>
      </c>
      <c r="N258" s="85" t="s">
        <v>188</v>
      </c>
      <c r="O258" s="85" t="s">
        <v>197</v>
      </c>
      <c r="P258" s="85" t="s">
        <v>978</v>
      </c>
      <c r="Q258" s="85" t="s">
        <v>979</v>
      </c>
      <c r="R258" s="85">
        <v>3</v>
      </c>
      <c r="S258" s="85">
        <v>439</v>
      </c>
      <c r="T258" s="2">
        <v>44112</v>
      </c>
      <c r="U258" s="2">
        <v>44151</v>
      </c>
    </row>
    <row r="259" spans="1:21" x14ac:dyDescent="0.2">
      <c r="A259" s="3" t="str">
        <f>HYPERLINK("http://www.ofsted.gov.uk/inspection-reports/find-inspection-report/provider/ELS/100411 ","Ofsted School Webpage")</f>
        <v>Ofsted School Webpage</v>
      </c>
      <c r="B259" s="85">
        <v>100411</v>
      </c>
      <c r="C259" s="85">
        <v>2062379</v>
      </c>
      <c r="D259" s="85" t="s">
        <v>980</v>
      </c>
      <c r="E259" s="85" t="s">
        <v>81</v>
      </c>
      <c r="F259" s="85" t="s">
        <v>254</v>
      </c>
      <c r="G259" s="85" t="s">
        <v>262</v>
      </c>
      <c r="H259" s="85" t="s">
        <v>255</v>
      </c>
      <c r="I259" s="85" t="s">
        <v>256</v>
      </c>
      <c r="J259" s="85" t="s">
        <v>257</v>
      </c>
      <c r="K259" s="85" t="s">
        <v>257</v>
      </c>
      <c r="L259" s="85" t="s">
        <v>258</v>
      </c>
      <c r="M259" s="85" t="s">
        <v>107</v>
      </c>
      <c r="N259" s="85" t="s">
        <v>107</v>
      </c>
      <c r="O259" s="85" t="s">
        <v>118</v>
      </c>
      <c r="P259" s="85" t="s">
        <v>577</v>
      </c>
      <c r="Q259" s="85" t="s">
        <v>981</v>
      </c>
      <c r="R259" s="85">
        <v>5</v>
      </c>
      <c r="S259" s="85">
        <v>427</v>
      </c>
      <c r="T259" s="2">
        <v>44112</v>
      </c>
      <c r="U259" s="2">
        <v>44159</v>
      </c>
    </row>
    <row r="260" spans="1:21" x14ac:dyDescent="0.2">
      <c r="A260" s="3" t="str">
        <f>HYPERLINK("http://www.ofsted.gov.uk/inspection-reports/find-inspection-report/provider/ELS/103788 ","Ofsted School Webpage")</f>
        <v>Ofsted School Webpage</v>
      </c>
      <c r="B260" s="85">
        <v>103788</v>
      </c>
      <c r="C260" s="85">
        <v>3322068</v>
      </c>
      <c r="D260" s="85" t="s">
        <v>982</v>
      </c>
      <c r="E260" s="85" t="s">
        <v>81</v>
      </c>
      <c r="F260" s="85" t="s">
        <v>254</v>
      </c>
      <c r="G260" s="85" t="s">
        <v>262</v>
      </c>
      <c r="H260" s="85" t="s">
        <v>255</v>
      </c>
      <c r="I260" s="85" t="s">
        <v>256</v>
      </c>
      <c r="J260" s="85" t="s">
        <v>257</v>
      </c>
      <c r="K260" s="85" t="s">
        <v>257</v>
      </c>
      <c r="L260" s="85" t="s">
        <v>258</v>
      </c>
      <c r="M260" s="85" t="s">
        <v>203</v>
      </c>
      <c r="N260" s="85" t="s">
        <v>203</v>
      </c>
      <c r="O260" s="85" t="s">
        <v>217</v>
      </c>
      <c r="P260" s="85" t="s">
        <v>983</v>
      </c>
      <c r="Q260" s="85" t="s">
        <v>984</v>
      </c>
      <c r="R260" s="85">
        <v>5</v>
      </c>
      <c r="S260" s="85">
        <v>342</v>
      </c>
      <c r="T260" s="2">
        <v>44112</v>
      </c>
      <c r="U260" s="2">
        <v>44151</v>
      </c>
    </row>
    <row r="261" spans="1:21" x14ac:dyDescent="0.2">
      <c r="A261" s="3" t="str">
        <f>HYPERLINK("http://www.ofsted.gov.uk/inspection-reports/find-inspection-report/provider/ELS/107242 ","Ofsted School Webpage")</f>
        <v>Ofsted School Webpage</v>
      </c>
      <c r="B261" s="85">
        <v>107242</v>
      </c>
      <c r="C261" s="85">
        <v>3802093</v>
      </c>
      <c r="D261" s="85" t="s">
        <v>985</v>
      </c>
      <c r="E261" s="85" t="s">
        <v>81</v>
      </c>
      <c r="F261" s="85" t="s">
        <v>254</v>
      </c>
      <c r="G261" s="85" t="s">
        <v>262</v>
      </c>
      <c r="H261" s="85" t="s">
        <v>255</v>
      </c>
      <c r="I261" s="85" t="s">
        <v>256</v>
      </c>
      <c r="J261" s="85" t="s">
        <v>257</v>
      </c>
      <c r="K261" s="85" t="s">
        <v>257</v>
      </c>
      <c r="L261" s="85" t="s">
        <v>258</v>
      </c>
      <c r="M261" s="85" t="s">
        <v>236</v>
      </c>
      <c r="N261" s="85" t="s">
        <v>218</v>
      </c>
      <c r="O261" s="85" t="s">
        <v>227</v>
      </c>
      <c r="P261" s="85" t="s">
        <v>986</v>
      </c>
      <c r="Q261" s="85" t="s">
        <v>987</v>
      </c>
      <c r="R261" s="85">
        <v>4</v>
      </c>
      <c r="S261" s="85">
        <v>441</v>
      </c>
      <c r="T261" s="2">
        <v>44112</v>
      </c>
      <c r="U261" s="2">
        <v>44154</v>
      </c>
    </row>
    <row r="262" spans="1:21" x14ac:dyDescent="0.2">
      <c r="A262" s="3" t="str">
        <f>HYPERLINK("http://www.ofsted.gov.uk/inspection-reports/find-inspection-report/provider/ELS/136903 ","Ofsted School Webpage")</f>
        <v>Ofsted School Webpage</v>
      </c>
      <c r="B262" s="85">
        <v>136903</v>
      </c>
      <c r="C262" s="85">
        <v>8505418</v>
      </c>
      <c r="D262" s="85" t="s">
        <v>988</v>
      </c>
      <c r="E262" s="85" t="s">
        <v>82</v>
      </c>
      <c r="F262" s="85" t="s">
        <v>400</v>
      </c>
      <c r="G262" s="2">
        <v>40725</v>
      </c>
      <c r="H262" s="85" t="s">
        <v>275</v>
      </c>
      <c r="I262" s="85" t="s">
        <v>256</v>
      </c>
      <c r="J262" s="85" t="s">
        <v>405</v>
      </c>
      <c r="K262" s="85" t="s">
        <v>257</v>
      </c>
      <c r="L262" s="85" t="s">
        <v>258</v>
      </c>
      <c r="M262" s="85" t="s">
        <v>169</v>
      </c>
      <c r="N262" s="85" t="s">
        <v>169</v>
      </c>
      <c r="O262" s="85" t="s">
        <v>170</v>
      </c>
      <c r="P262" s="85" t="s">
        <v>989</v>
      </c>
      <c r="Q262" s="85" t="s">
        <v>990</v>
      </c>
      <c r="R262" s="85">
        <v>1</v>
      </c>
      <c r="S262" s="85">
        <v>1394</v>
      </c>
      <c r="T262" s="2">
        <v>44112</v>
      </c>
      <c r="U262" s="2">
        <v>44150</v>
      </c>
    </row>
    <row r="263" spans="1:21" x14ac:dyDescent="0.2">
      <c r="A263" s="3" t="str">
        <f>HYPERLINK("http://www.ofsted.gov.uk/inspection-reports/find-inspection-report/provider/ELS/141760 ","Ofsted School Webpage")</f>
        <v>Ofsted School Webpage</v>
      </c>
      <c r="B263" s="85">
        <v>141760</v>
      </c>
      <c r="C263" s="85">
        <v>8913292</v>
      </c>
      <c r="D263" s="85" t="s">
        <v>991</v>
      </c>
      <c r="E263" s="85" t="s">
        <v>81</v>
      </c>
      <c r="F263" s="85" t="s">
        <v>400</v>
      </c>
      <c r="G263" s="2">
        <v>42064</v>
      </c>
      <c r="H263" s="85" t="s">
        <v>255</v>
      </c>
      <c r="I263" s="85" t="s">
        <v>256</v>
      </c>
      <c r="J263" s="85" t="s">
        <v>257</v>
      </c>
      <c r="K263" s="85" t="s">
        <v>257</v>
      </c>
      <c r="L263" s="85" t="s">
        <v>258</v>
      </c>
      <c r="M263" s="85" t="s">
        <v>85</v>
      </c>
      <c r="N263" s="85" t="s">
        <v>85</v>
      </c>
      <c r="O263" s="85" t="s">
        <v>90</v>
      </c>
      <c r="P263" s="85" t="s">
        <v>992</v>
      </c>
      <c r="Q263" s="85" t="s">
        <v>993</v>
      </c>
      <c r="R263" s="85">
        <v>5</v>
      </c>
      <c r="S263" s="85">
        <v>552</v>
      </c>
      <c r="T263" s="2">
        <v>44112</v>
      </c>
      <c r="U263" s="2">
        <v>44151</v>
      </c>
    </row>
    <row r="264" spans="1:21" x14ac:dyDescent="0.2">
      <c r="A264" s="3" t="str">
        <f>HYPERLINK("http://www.ofsted.gov.uk/inspection-reports/find-inspection-report/provider/ELS/136528 ","Ofsted School Webpage")</f>
        <v>Ofsted School Webpage</v>
      </c>
      <c r="B264" s="85">
        <v>136528</v>
      </c>
      <c r="C264" s="85">
        <v>9165200</v>
      </c>
      <c r="D264" s="85" t="s">
        <v>994</v>
      </c>
      <c r="E264" s="85" t="s">
        <v>81</v>
      </c>
      <c r="F264" s="85" t="s">
        <v>400</v>
      </c>
      <c r="G264" s="2">
        <v>40634</v>
      </c>
      <c r="H264" s="85" t="s">
        <v>255</v>
      </c>
      <c r="I264" s="85" t="s">
        <v>255</v>
      </c>
      <c r="J264" s="85" t="s">
        <v>405</v>
      </c>
      <c r="K264" s="85" t="s">
        <v>257</v>
      </c>
      <c r="L264" s="85" t="s">
        <v>258</v>
      </c>
      <c r="M264" s="85" t="s">
        <v>188</v>
      </c>
      <c r="N264" s="85" t="s">
        <v>188</v>
      </c>
      <c r="O264" s="85" t="s">
        <v>194</v>
      </c>
      <c r="P264" s="85" t="s">
        <v>764</v>
      </c>
      <c r="Q264" s="85" t="s">
        <v>995</v>
      </c>
      <c r="R264" s="85">
        <v>5</v>
      </c>
      <c r="S264" s="85">
        <v>440</v>
      </c>
      <c r="T264" s="2">
        <v>44112</v>
      </c>
      <c r="U264" s="2">
        <v>44146</v>
      </c>
    </row>
    <row r="265" spans="1:21" x14ac:dyDescent="0.2">
      <c r="A265" s="3" t="str">
        <f>HYPERLINK("http://www.ofsted.gov.uk/inspection-reports/find-inspection-report/provider/ELS/143030 ","Ofsted School Webpage")</f>
        <v>Ofsted School Webpage</v>
      </c>
      <c r="B265" s="85">
        <v>143030</v>
      </c>
      <c r="C265" s="85">
        <v>3502081</v>
      </c>
      <c r="D265" s="85" t="s">
        <v>996</v>
      </c>
      <c r="E265" s="85" t="s">
        <v>81</v>
      </c>
      <c r="F265" s="85" t="s">
        <v>400</v>
      </c>
      <c r="G265" s="2">
        <v>42583</v>
      </c>
      <c r="H265" s="85" t="s">
        <v>255</v>
      </c>
      <c r="I265" s="85" t="s">
        <v>256</v>
      </c>
      <c r="J265" s="85" t="s">
        <v>257</v>
      </c>
      <c r="K265" s="85" t="s">
        <v>257</v>
      </c>
      <c r="L265" s="85" t="s">
        <v>258</v>
      </c>
      <c r="M265" s="85" t="s">
        <v>148</v>
      </c>
      <c r="N265" s="85" t="s">
        <v>148</v>
      </c>
      <c r="O265" s="85" t="s">
        <v>167</v>
      </c>
      <c r="P265" s="85" t="s">
        <v>997</v>
      </c>
      <c r="Q265" s="85" t="s">
        <v>998</v>
      </c>
      <c r="R265" s="85">
        <v>5</v>
      </c>
      <c r="S265" s="85">
        <v>502</v>
      </c>
      <c r="T265" s="2">
        <v>44112</v>
      </c>
      <c r="U265" s="2">
        <v>44146</v>
      </c>
    </row>
    <row r="266" spans="1:21" x14ac:dyDescent="0.2">
      <c r="A266" s="3" t="str">
        <f>HYPERLINK("http://www.ofsted.gov.uk/inspection-reports/find-inspection-report/provider/ELS/136281 ","Ofsted School Webpage")</f>
        <v>Ofsted School Webpage</v>
      </c>
      <c r="B266" s="85">
        <v>136281</v>
      </c>
      <c r="C266" s="85">
        <v>3055406</v>
      </c>
      <c r="D266" s="85" t="s">
        <v>999</v>
      </c>
      <c r="E266" s="85" t="s">
        <v>82</v>
      </c>
      <c r="F266" s="85" t="s">
        <v>400</v>
      </c>
      <c r="G266" s="2">
        <v>40422</v>
      </c>
      <c r="H266" s="85" t="s">
        <v>275</v>
      </c>
      <c r="I266" s="85" t="s">
        <v>276</v>
      </c>
      <c r="J266" s="85" t="s">
        <v>405</v>
      </c>
      <c r="K266" s="85" t="s">
        <v>257</v>
      </c>
      <c r="L266" s="85" t="s">
        <v>258</v>
      </c>
      <c r="M266" s="85" t="s">
        <v>107</v>
      </c>
      <c r="N266" s="85" t="s">
        <v>107</v>
      </c>
      <c r="O266" s="85" t="s">
        <v>124</v>
      </c>
      <c r="P266" s="85" t="s">
        <v>1000</v>
      </c>
      <c r="Q266" s="85" t="s">
        <v>1001</v>
      </c>
      <c r="R266" s="85">
        <v>5</v>
      </c>
      <c r="S266" s="85">
        <v>512</v>
      </c>
      <c r="T266" s="2">
        <v>44112</v>
      </c>
      <c r="U266" s="2">
        <v>44159</v>
      </c>
    </row>
    <row r="267" spans="1:21" x14ac:dyDescent="0.2">
      <c r="A267" s="3" t="str">
        <f>HYPERLINK("http://www.ofsted.gov.uk/inspection-reports/find-inspection-report/provider/ELS/144845 ","Ofsted School Webpage")</f>
        <v>Ofsted School Webpage</v>
      </c>
      <c r="B267" s="85">
        <v>144845</v>
      </c>
      <c r="C267" s="85">
        <v>8512694</v>
      </c>
      <c r="D267" s="85" t="s">
        <v>1002</v>
      </c>
      <c r="E267" s="85" t="s">
        <v>81</v>
      </c>
      <c r="F267" s="85" t="s">
        <v>400</v>
      </c>
      <c r="G267" s="2">
        <v>43009</v>
      </c>
      <c r="H267" s="85" t="s">
        <v>255</v>
      </c>
      <c r="I267" s="85" t="s">
        <v>256</v>
      </c>
      <c r="J267" s="85" t="s">
        <v>257</v>
      </c>
      <c r="K267" s="85" t="s">
        <v>257</v>
      </c>
      <c r="L267" s="85" t="s">
        <v>258</v>
      </c>
      <c r="M267" s="85" t="s">
        <v>169</v>
      </c>
      <c r="N267" s="85" t="s">
        <v>169</v>
      </c>
      <c r="O267" s="85" t="s">
        <v>173</v>
      </c>
      <c r="P267" s="85" t="s">
        <v>1003</v>
      </c>
      <c r="Q267" s="85" t="s">
        <v>1004</v>
      </c>
      <c r="R267" s="85">
        <v>3</v>
      </c>
      <c r="S267" s="85">
        <v>259</v>
      </c>
      <c r="T267" s="2">
        <v>44112</v>
      </c>
      <c r="U267" s="2">
        <v>44146</v>
      </c>
    </row>
    <row r="268" spans="1:21" x14ac:dyDescent="0.2">
      <c r="A268" s="3" t="str">
        <f>HYPERLINK("http://www.ofsted.gov.uk/inspection-reports/find-inspection-report/provider/ELS/138359 ","Ofsted School Webpage")</f>
        <v>Ofsted School Webpage</v>
      </c>
      <c r="B268" s="85">
        <v>138359</v>
      </c>
      <c r="C268" s="85">
        <v>8553059</v>
      </c>
      <c r="D268" s="85" t="s">
        <v>1005</v>
      </c>
      <c r="E268" s="85" t="s">
        <v>81</v>
      </c>
      <c r="F268" s="85" t="s">
        <v>400</v>
      </c>
      <c r="G268" s="2">
        <v>41091</v>
      </c>
      <c r="H268" s="85" t="s">
        <v>255</v>
      </c>
      <c r="I268" s="85" t="s">
        <v>256</v>
      </c>
      <c r="J268" s="85" t="s">
        <v>342</v>
      </c>
      <c r="K268" s="85" t="s">
        <v>257</v>
      </c>
      <c r="L268" s="85" t="s">
        <v>335</v>
      </c>
      <c r="M268" s="85" t="s">
        <v>85</v>
      </c>
      <c r="N268" s="85" t="s">
        <v>85</v>
      </c>
      <c r="O268" s="85" t="s">
        <v>93</v>
      </c>
      <c r="P268" s="85" t="s">
        <v>1006</v>
      </c>
      <c r="Q268" s="85" t="s">
        <v>1007</v>
      </c>
      <c r="R268" s="85">
        <v>1</v>
      </c>
      <c r="S268" s="85">
        <v>138</v>
      </c>
      <c r="T268" s="2">
        <v>44112</v>
      </c>
      <c r="U268" s="2">
        <v>44151</v>
      </c>
    </row>
    <row r="269" spans="1:21" x14ac:dyDescent="0.2">
      <c r="A269" s="3" t="str">
        <f>HYPERLINK("http://www.ofsted.gov.uk/inspection-reports/find-inspection-report/provider/ELS/138129 ","Ofsted School Webpage")</f>
        <v>Ofsted School Webpage</v>
      </c>
      <c r="B269" s="85">
        <v>138129</v>
      </c>
      <c r="C269" s="85">
        <v>8412001</v>
      </c>
      <c r="D269" s="85" t="s">
        <v>1008</v>
      </c>
      <c r="E269" s="85" t="s">
        <v>81</v>
      </c>
      <c r="F269" s="85" t="s">
        <v>400</v>
      </c>
      <c r="G269" s="2">
        <v>41030</v>
      </c>
      <c r="H269" s="85" t="s">
        <v>255</v>
      </c>
      <c r="I269" s="85" t="s">
        <v>256</v>
      </c>
      <c r="J269" s="85" t="s">
        <v>257</v>
      </c>
      <c r="K269" s="85" t="s">
        <v>257</v>
      </c>
      <c r="L269" s="85" t="s">
        <v>258</v>
      </c>
      <c r="M269" s="85" t="s">
        <v>236</v>
      </c>
      <c r="N269" s="85" t="s">
        <v>135</v>
      </c>
      <c r="O269" s="85" t="s">
        <v>140</v>
      </c>
      <c r="P269" s="85" t="s">
        <v>140</v>
      </c>
      <c r="Q269" s="85" t="s">
        <v>1009</v>
      </c>
      <c r="R269" s="85">
        <v>5</v>
      </c>
      <c r="S269" s="85">
        <v>313</v>
      </c>
      <c r="T269" s="2">
        <v>44112</v>
      </c>
      <c r="U269" s="2">
        <v>44152</v>
      </c>
    </row>
    <row r="270" spans="1:21" x14ac:dyDescent="0.2">
      <c r="A270" s="3" t="str">
        <f>HYPERLINK("http://www.ofsted.gov.uk/inspection-reports/find-inspection-report/provider/ELS/136958 ","Ofsted School Webpage")</f>
        <v>Ofsted School Webpage</v>
      </c>
      <c r="B270" s="85">
        <v>136958</v>
      </c>
      <c r="C270" s="85">
        <v>9254049</v>
      </c>
      <c r="D270" s="85" t="s">
        <v>1010</v>
      </c>
      <c r="E270" s="85" t="s">
        <v>82</v>
      </c>
      <c r="F270" s="85" t="s">
        <v>400</v>
      </c>
      <c r="G270" s="2">
        <v>40756</v>
      </c>
      <c r="H270" s="85" t="s">
        <v>275</v>
      </c>
      <c r="I270" s="85" t="s">
        <v>256</v>
      </c>
      <c r="J270" s="85" t="s">
        <v>257</v>
      </c>
      <c r="K270" s="85" t="s">
        <v>257</v>
      </c>
      <c r="L270" s="85" t="s">
        <v>258</v>
      </c>
      <c r="M270" s="85" t="s">
        <v>85</v>
      </c>
      <c r="N270" s="85" t="s">
        <v>85</v>
      </c>
      <c r="O270" s="85" t="s">
        <v>89</v>
      </c>
      <c r="P270" s="85" t="s">
        <v>1011</v>
      </c>
      <c r="Q270" s="85" t="s">
        <v>1012</v>
      </c>
      <c r="R270" s="85">
        <v>3</v>
      </c>
      <c r="S270" s="85">
        <v>373</v>
      </c>
      <c r="T270" s="2">
        <v>44112</v>
      </c>
      <c r="U270" s="2">
        <v>44150</v>
      </c>
    </row>
    <row r="271" spans="1:21" x14ac:dyDescent="0.2">
      <c r="A271" s="3" t="str">
        <f>HYPERLINK("http://www.ofsted.gov.uk/inspection-reports/find-inspection-report/provider/ELS/135653 ","Ofsted School Webpage")</f>
        <v>Ofsted School Webpage</v>
      </c>
      <c r="B271" s="85">
        <v>135653</v>
      </c>
      <c r="C271" s="85">
        <v>8816907</v>
      </c>
      <c r="D271" s="85" t="s">
        <v>1013</v>
      </c>
      <c r="E271" s="85" t="s">
        <v>82</v>
      </c>
      <c r="F271" s="85" t="s">
        <v>404</v>
      </c>
      <c r="G271" s="2">
        <v>39692</v>
      </c>
      <c r="H271" s="85" t="s">
        <v>275</v>
      </c>
      <c r="I271" s="85" t="s">
        <v>276</v>
      </c>
      <c r="J271" s="85" t="s">
        <v>257</v>
      </c>
      <c r="K271" s="85" t="s">
        <v>405</v>
      </c>
      <c r="L271" s="85" t="s">
        <v>258</v>
      </c>
      <c r="M271" s="85" t="s">
        <v>95</v>
      </c>
      <c r="N271" s="85" t="s">
        <v>95</v>
      </c>
      <c r="O271" s="85" t="s">
        <v>104</v>
      </c>
      <c r="P271" s="85" t="s">
        <v>1014</v>
      </c>
      <c r="Q271" s="85" t="s">
        <v>1015</v>
      </c>
      <c r="R271" s="85">
        <v>3</v>
      </c>
      <c r="S271" s="85">
        <v>987</v>
      </c>
      <c r="T271" s="2">
        <v>44112</v>
      </c>
      <c r="U271" s="2">
        <v>44158</v>
      </c>
    </row>
    <row r="272" spans="1:21" x14ac:dyDescent="0.2">
      <c r="A272" s="3" t="str">
        <f>HYPERLINK("http://www.ofsted.gov.uk/inspection-reports/find-inspection-report/provider/ELS/141989 ","Ofsted School Webpage")</f>
        <v>Ofsted School Webpage</v>
      </c>
      <c r="B272" s="85">
        <v>141989</v>
      </c>
      <c r="C272" s="85">
        <v>3057001</v>
      </c>
      <c r="D272" s="85" t="s">
        <v>1016</v>
      </c>
      <c r="E272" s="85" t="s">
        <v>83</v>
      </c>
      <c r="F272" s="85" t="s">
        <v>441</v>
      </c>
      <c r="G272" s="2">
        <v>42401</v>
      </c>
      <c r="H272" s="85" t="s">
        <v>255</v>
      </c>
      <c r="I272" s="85" t="s">
        <v>276</v>
      </c>
      <c r="J272" s="85" t="s">
        <v>257</v>
      </c>
      <c r="K272" s="85" t="s">
        <v>405</v>
      </c>
      <c r="L272" s="85" t="s">
        <v>258</v>
      </c>
      <c r="M272" s="85" t="s">
        <v>107</v>
      </c>
      <c r="N272" s="85" t="s">
        <v>107</v>
      </c>
      <c r="O272" s="85" t="s">
        <v>124</v>
      </c>
      <c r="P272" s="85" t="s">
        <v>1017</v>
      </c>
      <c r="Q272" s="85" t="s">
        <v>1018</v>
      </c>
      <c r="R272" s="85">
        <v>4</v>
      </c>
      <c r="S272" s="85">
        <v>119</v>
      </c>
      <c r="T272" s="2">
        <v>44112</v>
      </c>
      <c r="U272" s="2">
        <v>44159</v>
      </c>
    </row>
    <row r="273" spans="1:21" x14ac:dyDescent="0.2">
      <c r="A273" s="3" t="str">
        <f>HYPERLINK("http://www.ofsted.gov.uk/inspection-reports/find-inspection-report/provider/ELS/137656 ","Ofsted School Webpage")</f>
        <v>Ofsted School Webpage</v>
      </c>
      <c r="B273" s="85">
        <v>137656</v>
      </c>
      <c r="C273" s="85">
        <v>9194140</v>
      </c>
      <c r="D273" s="85" t="s">
        <v>1019</v>
      </c>
      <c r="E273" s="85" t="s">
        <v>82</v>
      </c>
      <c r="F273" s="85" t="s">
        <v>400</v>
      </c>
      <c r="G273" s="2">
        <v>40848</v>
      </c>
      <c r="H273" s="85" t="s">
        <v>275</v>
      </c>
      <c r="I273" s="85" t="s">
        <v>276</v>
      </c>
      <c r="J273" s="85" t="s">
        <v>257</v>
      </c>
      <c r="K273" s="85" t="s">
        <v>257</v>
      </c>
      <c r="L273" s="85" t="s">
        <v>258</v>
      </c>
      <c r="M273" s="85" t="s">
        <v>95</v>
      </c>
      <c r="N273" s="85" t="s">
        <v>95</v>
      </c>
      <c r="O273" s="85" t="s">
        <v>102</v>
      </c>
      <c r="P273" s="85" t="s">
        <v>758</v>
      </c>
      <c r="Q273" s="85" t="s">
        <v>1020</v>
      </c>
      <c r="R273" s="85">
        <v>1</v>
      </c>
      <c r="S273" s="85">
        <v>861</v>
      </c>
      <c r="T273" s="2">
        <v>44112</v>
      </c>
      <c r="U273" s="2">
        <v>44164</v>
      </c>
    </row>
    <row r="274" spans="1:21" x14ac:dyDescent="0.2">
      <c r="A274" s="3" t="str">
        <f>HYPERLINK("http://www.ofsted.gov.uk/inspection-reports/find-inspection-report/provider/ELS/140018 ","Ofsted School Webpage")</f>
        <v>Ofsted School Webpage</v>
      </c>
      <c r="B274" s="85">
        <v>140018</v>
      </c>
      <c r="C274" s="85">
        <v>8152000</v>
      </c>
      <c r="D274" s="85" t="s">
        <v>1021</v>
      </c>
      <c r="E274" s="85" t="s">
        <v>81</v>
      </c>
      <c r="F274" s="85" t="s">
        <v>404</v>
      </c>
      <c r="G274" s="2">
        <v>41579</v>
      </c>
      <c r="H274" s="85" t="s">
        <v>255</v>
      </c>
      <c r="I274" s="85" t="s">
        <v>256</v>
      </c>
      <c r="J274" s="85" t="s">
        <v>257</v>
      </c>
      <c r="K274" s="85" t="s">
        <v>405</v>
      </c>
      <c r="L274" s="85" t="s">
        <v>258</v>
      </c>
      <c r="M274" s="85" t="s">
        <v>236</v>
      </c>
      <c r="N274" s="85" t="s">
        <v>218</v>
      </c>
      <c r="O274" s="85" t="s">
        <v>224</v>
      </c>
      <c r="P274" s="85" t="s">
        <v>602</v>
      </c>
      <c r="Q274" s="85" t="s">
        <v>1022</v>
      </c>
      <c r="R274" s="85">
        <v>5</v>
      </c>
      <c r="S274" s="85">
        <v>270</v>
      </c>
      <c r="T274" s="2">
        <v>44112</v>
      </c>
      <c r="U274" s="2">
        <v>44160</v>
      </c>
    </row>
    <row r="275" spans="1:21" x14ac:dyDescent="0.2">
      <c r="A275" s="3" t="str">
        <f>HYPERLINK("http://www.ofsted.gov.uk/inspection-reports/find-inspection-report/provider/ELS/136409 ","Ofsted School Webpage")</f>
        <v>Ofsted School Webpage</v>
      </c>
      <c r="B275" s="85">
        <v>136409</v>
      </c>
      <c r="C275" s="85">
        <v>3414797</v>
      </c>
      <c r="D275" s="85" t="s">
        <v>1023</v>
      </c>
      <c r="E275" s="85" t="s">
        <v>82</v>
      </c>
      <c r="F275" s="85" t="s">
        <v>404</v>
      </c>
      <c r="G275" s="2">
        <v>40544</v>
      </c>
      <c r="H275" s="85" t="s">
        <v>275</v>
      </c>
      <c r="I275" s="85" t="s">
        <v>276</v>
      </c>
      <c r="J275" s="85" t="s">
        <v>334</v>
      </c>
      <c r="K275" s="85" t="s">
        <v>405</v>
      </c>
      <c r="L275" s="85" t="s">
        <v>335</v>
      </c>
      <c r="M275" s="85" t="s">
        <v>148</v>
      </c>
      <c r="N275" s="85" t="s">
        <v>148</v>
      </c>
      <c r="O275" s="85" t="s">
        <v>150</v>
      </c>
      <c r="P275" s="85" t="s">
        <v>1024</v>
      </c>
      <c r="Q275" s="85" t="s">
        <v>1025</v>
      </c>
      <c r="R275" s="85">
        <v>5</v>
      </c>
      <c r="S275" s="85">
        <v>376</v>
      </c>
      <c r="T275" s="2">
        <v>44112</v>
      </c>
      <c r="U275" s="2">
        <v>44160</v>
      </c>
    </row>
    <row r="276" spans="1:21" x14ac:dyDescent="0.2">
      <c r="A276" s="3" t="str">
        <f>HYPERLINK("http://www.ofsted.gov.uk/inspection-reports/find-inspection-report/provider/ELS/104271 ","Ofsted School Webpage")</f>
        <v>Ofsted School Webpage</v>
      </c>
      <c r="B276" s="85">
        <v>104271</v>
      </c>
      <c r="C276" s="85">
        <v>3357004</v>
      </c>
      <c r="D276" s="85" t="s">
        <v>1026</v>
      </c>
      <c r="E276" s="85" t="s">
        <v>83</v>
      </c>
      <c r="F276" s="85" t="s">
        <v>389</v>
      </c>
      <c r="G276" s="85" t="s">
        <v>262</v>
      </c>
      <c r="H276" s="85" t="s">
        <v>255</v>
      </c>
      <c r="I276" s="85" t="s">
        <v>276</v>
      </c>
      <c r="J276" s="85" t="s">
        <v>257</v>
      </c>
      <c r="K276" s="85" t="s">
        <v>257</v>
      </c>
      <c r="L276" s="85" t="s">
        <v>258</v>
      </c>
      <c r="M276" s="85" t="s">
        <v>203</v>
      </c>
      <c r="N276" s="85" t="s">
        <v>203</v>
      </c>
      <c r="O276" s="85" t="s">
        <v>207</v>
      </c>
      <c r="P276" s="85" t="s">
        <v>558</v>
      </c>
      <c r="Q276" s="85" t="s">
        <v>1027</v>
      </c>
      <c r="R276" s="85">
        <v>5</v>
      </c>
      <c r="S276" s="85">
        <v>123</v>
      </c>
      <c r="T276" s="2">
        <v>44112</v>
      </c>
      <c r="U276" s="2">
        <v>44146</v>
      </c>
    </row>
    <row r="277" spans="1:21" x14ac:dyDescent="0.2">
      <c r="A277" s="3" t="str">
        <f>HYPERLINK("http://www.ofsted.gov.uk/inspection-reports/find-inspection-report/provider/ELS/140658 ","Ofsted School Webpage")</f>
        <v>Ofsted School Webpage</v>
      </c>
      <c r="B277" s="85">
        <v>140658</v>
      </c>
      <c r="C277" s="85">
        <v>3362012</v>
      </c>
      <c r="D277" s="85" t="s">
        <v>1028</v>
      </c>
      <c r="E277" s="85" t="s">
        <v>81</v>
      </c>
      <c r="F277" s="85" t="s">
        <v>404</v>
      </c>
      <c r="G277" s="2">
        <v>41730</v>
      </c>
      <c r="H277" s="85" t="s">
        <v>450</v>
      </c>
      <c r="I277" s="85" t="s">
        <v>256</v>
      </c>
      <c r="J277" s="85" t="s">
        <v>257</v>
      </c>
      <c r="K277" s="85" t="s">
        <v>405</v>
      </c>
      <c r="L277" s="85" t="s">
        <v>258</v>
      </c>
      <c r="M277" s="85" t="s">
        <v>203</v>
      </c>
      <c r="N277" s="85" t="s">
        <v>203</v>
      </c>
      <c r="O277" s="85" t="s">
        <v>208</v>
      </c>
      <c r="P277" s="85" t="s">
        <v>647</v>
      </c>
      <c r="Q277" s="85" t="s">
        <v>1029</v>
      </c>
      <c r="R277" s="85">
        <v>5</v>
      </c>
      <c r="S277" s="85">
        <v>257</v>
      </c>
      <c r="T277" s="2">
        <v>44112</v>
      </c>
      <c r="U277" s="2">
        <v>44160</v>
      </c>
    </row>
    <row r="278" spans="1:21" x14ac:dyDescent="0.2">
      <c r="A278" s="3" t="str">
        <f>HYPERLINK("http://www.ofsted.gov.uk/inspection-reports/find-inspection-report/provider/ELS/139282 ","Ofsted School Webpage")</f>
        <v>Ofsted School Webpage</v>
      </c>
      <c r="B278" s="85">
        <v>139282</v>
      </c>
      <c r="C278" s="85">
        <v>3834055</v>
      </c>
      <c r="D278" s="85" t="s">
        <v>1030</v>
      </c>
      <c r="E278" s="85" t="s">
        <v>82</v>
      </c>
      <c r="F278" s="85" t="s">
        <v>404</v>
      </c>
      <c r="G278" s="2">
        <v>41640</v>
      </c>
      <c r="H278" s="85" t="s">
        <v>275</v>
      </c>
      <c r="I278" s="85" t="s">
        <v>276</v>
      </c>
      <c r="J278" s="85" t="s">
        <v>257</v>
      </c>
      <c r="K278" s="85" t="s">
        <v>405</v>
      </c>
      <c r="L278" s="85" t="s">
        <v>258</v>
      </c>
      <c r="M278" s="85" t="s">
        <v>236</v>
      </c>
      <c r="N278" s="85" t="s">
        <v>218</v>
      </c>
      <c r="O278" s="85" t="s">
        <v>221</v>
      </c>
      <c r="P278" s="85" t="s">
        <v>1031</v>
      </c>
      <c r="Q278" s="85" t="s">
        <v>1032</v>
      </c>
      <c r="R278" s="85">
        <v>5</v>
      </c>
      <c r="S278" s="85">
        <v>804</v>
      </c>
      <c r="T278" s="2">
        <v>44112</v>
      </c>
      <c r="U278" s="2">
        <v>44158</v>
      </c>
    </row>
    <row r="279" spans="1:21" x14ac:dyDescent="0.2">
      <c r="A279" s="3" t="str">
        <f>HYPERLINK("http://www.ofsted.gov.uk/inspection-reports/find-inspection-report/provider/ELS/136530 ","Ofsted School Webpage")</f>
        <v>Ofsted School Webpage</v>
      </c>
      <c r="B279" s="85">
        <v>136530</v>
      </c>
      <c r="C279" s="85">
        <v>8575406</v>
      </c>
      <c r="D279" s="85" t="s">
        <v>1033</v>
      </c>
      <c r="E279" s="85" t="s">
        <v>82</v>
      </c>
      <c r="F279" s="85" t="s">
        <v>400</v>
      </c>
      <c r="G279" s="2">
        <v>40634</v>
      </c>
      <c r="H279" s="85" t="s">
        <v>275</v>
      </c>
      <c r="I279" s="85" t="s">
        <v>256</v>
      </c>
      <c r="J279" s="85" t="s">
        <v>405</v>
      </c>
      <c r="K279" s="85" t="s">
        <v>257</v>
      </c>
      <c r="L279" s="85" t="s">
        <v>258</v>
      </c>
      <c r="M279" s="85" t="s">
        <v>85</v>
      </c>
      <c r="N279" s="85" t="s">
        <v>85</v>
      </c>
      <c r="O279" s="85" t="s">
        <v>88</v>
      </c>
      <c r="P279" s="85" t="s">
        <v>430</v>
      </c>
      <c r="Q279" s="85" t="s">
        <v>1034</v>
      </c>
      <c r="R279" s="85">
        <v>1</v>
      </c>
      <c r="S279" s="85">
        <v>1017</v>
      </c>
      <c r="T279" s="2">
        <v>44112</v>
      </c>
      <c r="U279" s="2">
        <v>44157</v>
      </c>
    </row>
    <row r="280" spans="1:21" x14ac:dyDescent="0.2">
      <c r="A280" s="3" t="str">
        <f>HYPERLINK("http://www.ofsted.gov.uk/inspection-reports/find-inspection-report/provider/ELS/138059 ","Ofsted School Webpage")</f>
        <v>Ofsted School Webpage</v>
      </c>
      <c r="B280" s="85">
        <v>138059</v>
      </c>
      <c r="C280" s="85">
        <v>3304323</v>
      </c>
      <c r="D280" s="85" t="s">
        <v>1035</v>
      </c>
      <c r="E280" s="85" t="s">
        <v>82</v>
      </c>
      <c r="F280" s="85" t="s">
        <v>400</v>
      </c>
      <c r="G280" s="2">
        <v>41000</v>
      </c>
      <c r="H280" s="85" t="s">
        <v>275</v>
      </c>
      <c r="I280" s="85" t="s">
        <v>256</v>
      </c>
      <c r="J280" s="85" t="s">
        <v>257</v>
      </c>
      <c r="K280" s="85" t="s">
        <v>257</v>
      </c>
      <c r="L280" s="85" t="s">
        <v>258</v>
      </c>
      <c r="M280" s="85" t="s">
        <v>203</v>
      </c>
      <c r="N280" s="85" t="s">
        <v>203</v>
      </c>
      <c r="O280" s="85" t="s">
        <v>209</v>
      </c>
      <c r="P280" s="85" t="s">
        <v>1036</v>
      </c>
      <c r="Q280" s="85" t="s">
        <v>1037</v>
      </c>
      <c r="R280" s="85">
        <v>5</v>
      </c>
      <c r="S280" s="85">
        <v>785</v>
      </c>
      <c r="T280" s="2">
        <v>44112</v>
      </c>
      <c r="U280" s="2">
        <v>44151</v>
      </c>
    </row>
    <row r="281" spans="1:21" x14ac:dyDescent="0.2">
      <c r="A281" s="3" t="str">
        <f>HYPERLINK("http://www.ofsted.gov.uk/inspection-reports/find-inspection-report/provider/ELS/108652 ","Ofsted School Webpage")</f>
        <v>Ofsted School Webpage</v>
      </c>
      <c r="B281" s="85">
        <v>108652</v>
      </c>
      <c r="C281" s="85">
        <v>3927001</v>
      </c>
      <c r="D281" s="85" t="s">
        <v>1038</v>
      </c>
      <c r="E281" s="85" t="s">
        <v>83</v>
      </c>
      <c r="F281" s="85" t="s">
        <v>583</v>
      </c>
      <c r="G281" s="85" t="s">
        <v>262</v>
      </c>
      <c r="H281" s="85" t="s">
        <v>255</v>
      </c>
      <c r="I281" s="85" t="s">
        <v>276</v>
      </c>
      <c r="J281" s="85" t="s">
        <v>257</v>
      </c>
      <c r="K281" s="85" t="s">
        <v>257</v>
      </c>
      <c r="L281" s="85" t="s">
        <v>258</v>
      </c>
      <c r="M281" s="85" t="s">
        <v>236</v>
      </c>
      <c r="N281" s="85" t="s">
        <v>135</v>
      </c>
      <c r="O281" s="85" t="s">
        <v>145</v>
      </c>
      <c r="P281" s="85" t="s">
        <v>1039</v>
      </c>
      <c r="Q281" s="85" t="s">
        <v>1040</v>
      </c>
      <c r="R281" s="85">
        <v>4</v>
      </c>
      <c r="S281" s="85">
        <v>111</v>
      </c>
      <c r="T281" s="2">
        <v>44112</v>
      </c>
      <c r="U281" s="2">
        <v>44154</v>
      </c>
    </row>
    <row r="282" spans="1:21" x14ac:dyDescent="0.2">
      <c r="A282" s="3" t="str">
        <f>HYPERLINK("http://www.ofsted.gov.uk/inspection-reports/find-inspection-report/provider/ELS/109221 ","Ofsted School Webpage")</f>
        <v>Ofsted School Webpage</v>
      </c>
      <c r="B282" s="85">
        <v>109221</v>
      </c>
      <c r="C282" s="85">
        <v>8023119</v>
      </c>
      <c r="D282" s="85" t="s">
        <v>1041</v>
      </c>
      <c r="E282" s="85" t="s">
        <v>81</v>
      </c>
      <c r="F282" s="85" t="s">
        <v>360</v>
      </c>
      <c r="G282" s="85" t="s">
        <v>262</v>
      </c>
      <c r="H282" s="85" t="s">
        <v>255</v>
      </c>
      <c r="I282" s="85" t="s">
        <v>256</v>
      </c>
      <c r="J282" s="85" t="s">
        <v>342</v>
      </c>
      <c r="K282" s="85" t="s">
        <v>257</v>
      </c>
      <c r="L282" s="85" t="s">
        <v>335</v>
      </c>
      <c r="M282" s="85" t="s">
        <v>188</v>
      </c>
      <c r="N282" s="85" t="s">
        <v>188</v>
      </c>
      <c r="O282" s="85" t="s">
        <v>199</v>
      </c>
      <c r="P282" s="85" t="s">
        <v>199</v>
      </c>
      <c r="Q282" s="85" t="s">
        <v>1042</v>
      </c>
      <c r="R282" s="85">
        <v>1</v>
      </c>
      <c r="S282" s="85">
        <v>202</v>
      </c>
      <c r="T282" s="2">
        <v>44112</v>
      </c>
      <c r="U282" s="2">
        <v>44157</v>
      </c>
    </row>
    <row r="283" spans="1:21" x14ac:dyDescent="0.2">
      <c r="A283" s="3" t="str">
        <f>HYPERLINK("http://www.ofsted.gov.uk/inspection-reports/find-inspection-report/provider/ELS/103619 ","Ofsted School Webpage")</f>
        <v>Ofsted School Webpage</v>
      </c>
      <c r="B283" s="85">
        <v>103619</v>
      </c>
      <c r="C283" s="85">
        <v>3307040</v>
      </c>
      <c r="D283" s="85" t="s">
        <v>586</v>
      </c>
      <c r="E283" s="85" t="s">
        <v>83</v>
      </c>
      <c r="F283" s="85" t="s">
        <v>389</v>
      </c>
      <c r="G283" s="85" t="s">
        <v>262</v>
      </c>
      <c r="H283" s="85" t="s">
        <v>255</v>
      </c>
      <c r="I283" s="85" t="s">
        <v>276</v>
      </c>
      <c r="J283" s="85" t="s">
        <v>257</v>
      </c>
      <c r="K283" s="85" t="s">
        <v>257</v>
      </c>
      <c r="L283" s="85" t="s">
        <v>258</v>
      </c>
      <c r="M283" s="85" t="s">
        <v>203</v>
      </c>
      <c r="N283" s="85" t="s">
        <v>203</v>
      </c>
      <c r="O283" s="85" t="s">
        <v>209</v>
      </c>
      <c r="P283" s="85" t="s">
        <v>881</v>
      </c>
      <c r="Q283" s="85" t="s">
        <v>1043</v>
      </c>
      <c r="R283" s="85">
        <v>5</v>
      </c>
      <c r="S283" s="85">
        <v>299</v>
      </c>
      <c r="T283" s="2">
        <v>44112</v>
      </c>
      <c r="U283" s="2">
        <v>44146</v>
      </c>
    </row>
    <row r="284" spans="1:21" x14ac:dyDescent="0.2">
      <c r="A284" s="3" t="str">
        <f>HYPERLINK("http://www.ofsted.gov.uk/inspection-reports/find-inspection-report/provider/ELS/133397 ","Ofsted School Webpage")</f>
        <v>Ofsted School Webpage</v>
      </c>
      <c r="B284" s="85">
        <v>133397</v>
      </c>
      <c r="C284" s="85">
        <v>3907010</v>
      </c>
      <c r="D284" s="85" t="s">
        <v>1044</v>
      </c>
      <c r="E284" s="85" t="s">
        <v>83</v>
      </c>
      <c r="F284" s="85" t="s">
        <v>389</v>
      </c>
      <c r="G284" s="2">
        <v>37135</v>
      </c>
      <c r="H284" s="85" t="s">
        <v>255</v>
      </c>
      <c r="I284" s="85" t="s">
        <v>255</v>
      </c>
      <c r="J284" s="85" t="s">
        <v>257</v>
      </c>
      <c r="K284" s="85" t="s">
        <v>257</v>
      </c>
      <c r="L284" s="85" t="s">
        <v>258</v>
      </c>
      <c r="M284" s="85" t="s">
        <v>236</v>
      </c>
      <c r="N284" s="85" t="s">
        <v>135</v>
      </c>
      <c r="O284" s="85" t="s">
        <v>146</v>
      </c>
      <c r="P284" s="85" t="s">
        <v>146</v>
      </c>
      <c r="Q284" s="85" t="s">
        <v>1045</v>
      </c>
      <c r="R284" s="85">
        <v>4</v>
      </c>
      <c r="S284" s="85">
        <v>61</v>
      </c>
      <c r="T284" s="2">
        <v>44112</v>
      </c>
      <c r="U284" s="2">
        <v>44154</v>
      </c>
    </row>
    <row r="285" spans="1:21" x14ac:dyDescent="0.2">
      <c r="A285" s="3" t="str">
        <f>HYPERLINK("http://www.ofsted.gov.uk/inspection-reports/find-inspection-report/provider/ELS/125661 ","Ofsted School Webpage")</f>
        <v>Ofsted School Webpage</v>
      </c>
      <c r="B285" s="85">
        <v>125661</v>
      </c>
      <c r="C285" s="85">
        <v>9373146</v>
      </c>
      <c r="D285" s="85" t="s">
        <v>1046</v>
      </c>
      <c r="E285" s="85" t="s">
        <v>81</v>
      </c>
      <c r="F285" s="85" t="s">
        <v>360</v>
      </c>
      <c r="G285" s="85" t="s">
        <v>262</v>
      </c>
      <c r="H285" s="85" t="s">
        <v>255</v>
      </c>
      <c r="I285" s="85" t="s">
        <v>256</v>
      </c>
      <c r="J285" s="85" t="s">
        <v>342</v>
      </c>
      <c r="K285" s="85" t="s">
        <v>257</v>
      </c>
      <c r="L285" s="85" t="s">
        <v>335</v>
      </c>
      <c r="M285" s="85" t="s">
        <v>203</v>
      </c>
      <c r="N285" s="85" t="s">
        <v>203</v>
      </c>
      <c r="O285" s="85" t="s">
        <v>212</v>
      </c>
      <c r="P285" s="85" t="s">
        <v>503</v>
      </c>
      <c r="Q285" s="85" t="s">
        <v>1047</v>
      </c>
      <c r="R285" s="85">
        <v>2</v>
      </c>
      <c r="S285" s="85">
        <v>407</v>
      </c>
      <c r="T285" s="2">
        <v>44112</v>
      </c>
      <c r="U285" s="2">
        <v>44157</v>
      </c>
    </row>
    <row r="286" spans="1:21" x14ac:dyDescent="0.2">
      <c r="A286" s="3" t="str">
        <f>HYPERLINK("http://www.ofsted.gov.uk/inspection-reports/find-inspection-report/provider/ELS/119692 ","Ofsted School Webpage")</f>
        <v>Ofsted School Webpage</v>
      </c>
      <c r="B286" s="85">
        <v>119692</v>
      </c>
      <c r="C286" s="85">
        <v>8903813</v>
      </c>
      <c r="D286" s="85" t="s">
        <v>1048</v>
      </c>
      <c r="E286" s="85" t="s">
        <v>81</v>
      </c>
      <c r="F286" s="85" t="s">
        <v>333</v>
      </c>
      <c r="G286" s="85" t="s">
        <v>262</v>
      </c>
      <c r="H286" s="85" t="s">
        <v>255</v>
      </c>
      <c r="I286" s="85" t="s">
        <v>256</v>
      </c>
      <c r="J286" s="85" t="s">
        <v>334</v>
      </c>
      <c r="K286" s="85" t="s">
        <v>257</v>
      </c>
      <c r="L286" s="85" t="s">
        <v>335</v>
      </c>
      <c r="M286" s="85" t="s">
        <v>148</v>
      </c>
      <c r="N286" s="85" t="s">
        <v>148</v>
      </c>
      <c r="O286" s="85" t="s">
        <v>157</v>
      </c>
      <c r="P286" s="85" t="s">
        <v>1049</v>
      </c>
      <c r="Q286" s="85" t="s">
        <v>1050</v>
      </c>
      <c r="R286" s="85">
        <v>3</v>
      </c>
      <c r="S286" s="85">
        <v>202</v>
      </c>
      <c r="T286" s="2">
        <v>44112</v>
      </c>
      <c r="U286" s="2">
        <v>44153</v>
      </c>
    </row>
    <row r="287" spans="1:21" x14ac:dyDescent="0.2">
      <c r="A287" s="3" t="str">
        <f>HYPERLINK("http://www.ofsted.gov.uk/inspection-reports/find-inspection-report/provider/ELS/116280 ","Ofsted School Webpage")</f>
        <v>Ofsted School Webpage</v>
      </c>
      <c r="B287" s="85">
        <v>116280</v>
      </c>
      <c r="C287" s="85">
        <v>8503027</v>
      </c>
      <c r="D287" s="85" t="s">
        <v>1051</v>
      </c>
      <c r="E287" s="85" t="s">
        <v>81</v>
      </c>
      <c r="F287" s="85" t="s">
        <v>360</v>
      </c>
      <c r="G287" s="85" t="s">
        <v>262</v>
      </c>
      <c r="H287" s="85" t="s">
        <v>255</v>
      </c>
      <c r="I287" s="85" t="s">
        <v>256</v>
      </c>
      <c r="J287" s="85" t="s">
        <v>342</v>
      </c>
      <c r="K287" s="85" t="s">
        <v>257</v>
      </c>
      <c r="L287" s="85" t="s">
        <v>335</v>
      </c>
      <c r="M287" s="85" t="s">
        <v>169</v>
      </c>
      <c r="N287" s="85" t="s">
        <v>169</v>
      </c>
      <c r="O287" s="85" t="s">
        <v>170</v>
      </c>
      <c r="P287" s="85" t="s">
        <v>669</v>
      </c>
      <c r="Q287" s="85" t="s">
        <v>1052</v>
      </c>
      <c r="R287" s="85">
        <v>1</v>
      </c>
      <c r="S287" s="85">
        <v>80</v>
      </c>
      <c r="T287" s="2">
        <v>44112</v>
      </c>
      <c r="U287" s="2">
        <v>44159</v>
      </c>
    </row>
    <row r="288" spans="1:21" x14ac:dyDescent="0.2">
      <c r="A288" s="3" t="str">
        <f>HYPERLINK("http://www.ofsted.gov.uk/inspection-reports/find-inspection-report/provider/ELS/123858 ","Ofsted School Webpage")</f>
        <v>Ofsted School Webpage</v>
      </c>
      <c r="B288" s="85">
        <v>123858</v>
      </c>
      <c r="C288" s="85">
        <v>9333488</v>
      </c>
      <c r="D288" s="85" t="s">
        <v>1053</v>
      </c>
      <c r="E288" s="85" t="s">
        <v>81</v>
      </c>
      <c r="F288" s="85" t="s">
        <v>333</v>
      </c>
      <c r="G288" s="85" t="s">
        <v>262</v>
      </c>
      <c r="H288" s="85" t="s">
        <v>255</v>
      </c>
      <c r="I288" s="85" t="s">
        <v>256</v>
      </c>
      <c r="J288" s="85" t="s">
        <v>334</v>
      </c>
      <c r="K288" s="85" t="s">
        <v>257</v>
      </c>
      <c r="L288" s="85" t="s">
        <v>335</v>
      </c>
      <c r="M288" s="85" t="s">
        <v>188</v>
      </c>
      <c r="N288" s="85" t="s">
        <v>188</v>
      </c>
      <c r="O288" s="85" t="s">
        <v>195</v>
      </c>
      <c r="P288" s="85" t="s">
        <v>1054</v>
      </c>
      <c r="Q288" s="85" t="s">
        <v>1055</v>
      </c>
      <c r="R288" s="85">
        <v>2</v>
      </c>
      <c r="S288" s="85">
        <v>158</v>
      </c>
      <c r="T288" s="2">
        <v>44112</v>
      </c>
      <c r="U288" s="2">
        <v>44152</v>
      </c>
    </row>
    <row r="289" spans="1:21" x14ac:dyDescent="0.2">
      <c r="A289" s="3" t="str">
        <f>HYPERLINK("http://www.ofsted.gov.uk/inspection-reports/find-inspection-report/provider/ELS/106343 ","Ofsted School Webpage")</f>
        <v>Ofsted School Webpage</v>
      </c>
      <c r="B289" s="85">
        <v>106343</v>
      </c>
      <c r="C289" s="85">
        <v>3583307</v>
      </c>
      <c r="D289" s="85" t="s">
        <v>1056</v>
      </c>
      <c r="E289" s="85" t="s">
        <v>81</v>
      </c>
      <c r="F289" s="85" t="s">
        <v>333</v>
      </c>
      <c r="G289" s="85" t="s">
        <v>262</v>
      </c>
      <c r="H289" s="85" t="s">
        <v>255</v>
      </c>
      <c r="I289" s="85" t="s">
        <v>256</v>
      </c>
      <c r="J289" s="85" t="s">
        <v>342</v>
      </c>
      <c r="K289" s="85" t="s">
        <v>257</v>
      </c>
      <c r="L289" s="85" t="s">
        <v>335</v>
      </c>
      <c r="M289" s="85" t="s">
        <v>148</v>
      </c>
      <c r="N289" s="85" t="s">
        <v>148</v>
      </c>
      <c r="O289" s="85" t="s">
        <v>166</v>
      </c>
      <c r="P289" s="85" t="s">
        <v>1057</v>
      </c>
      <c r="Q289" s="85" t="s">
        <v>1058</v>
      </c>
      <c r="R289" s="85">
        <v>3</v>
      </c>
      <c r="S289" s="85">
        <v>244</v>
      </c>
      <c r="T289" s="2">
        <v>44112</v>
      </c>
      <c r="U289" s="2">
        <v>44154</v>
      </c>
    </row>
    <row r="290" spans="1:21" x14ac:dyDescent="0.2">
      <c r="A290" s="3" t="str">
        <f>HYPERLINK("http://www.ofsted.gov.uk/inspection-reports/find-inspection-report/provider/ELS/100446 ","Ofsted School Webpage")</f>
        <v>Ofsted School Webpage</v>
      </c>
      <c r="B290" s="85">
        <v>100446</v>
      </c>
      <c r="C290" s="85">
        <v>2063527</v>
      </c>
      <c r="D290" s="85" t="s">
        <v>356</v>
      </c>
      <c r="E290" s="85" t="s">
        <v>81</v>
      </c>
      <c r="F290" s="85" t="s">
        <v>333</v>
      </c>
      <c r="G290" s="85" t="s">
        <v>262</v>
      </c>
      <c r="H290" s="85" t="s">
        <v>255</v>
      </c>
      <c r="I290" s="85" t="s">
        <v>256</v>
      </c>
      <c r="J290" s="85" t="s">
        <v>342</v>
      </c>
      <c r="K290" s="85" t="s">
        <v>257</v>
      </c>
      <c r="L290" s="85" t="s">
        <v>335</v>
      </c>
      <c r="M290" s="85" t="s">
        <v>107</v>
      </c>
      <c r="N290" s="85" t="s">
        <v>107</v>
      </c>
      <c r="O290" s="85" t="s">
        <v>118</v>
      </c>
      <c r="P290" s="85" t="s">
        <v>577</v>
      </c>
      <c r="Q290" s="85" t="s">
        <v>1059</v>
      </c>
      <c r="R290" s="85">
        <v>5</v>
      </c>
      <c r="S290" s="85">
        <v>198</v>
      </c>
      <c r="T290" s="2">
        <v>44112</v>
      </c>
      <c r="U290" s="2">
        <v>44165</v>
      </c>
    </row>
    <row r="291" spans="1:21" x14ac:dyDescent="0.2">
      <c r="A291" s="3" t="str">
        <f>HYPERLINK("http://www.ofsted.gov.uk/inspection-reports/find-inspection-report/provider/ELS/144634 ","Ofsted School Webpage")</f>
        <v>Ofsted School Webpage</v>
      </c>
      <c r="B291" s="85">
        <v>144634</v>
      </c>
      <c r="C291" s="85">
        <v>8862086</v>
      </c>
      <c r="D291" s="85" t="s">
        <v>1060</v>
      </c>
      <c r="E291" s="85" t="s">
        <v>81</v>
      </c>
      <c r="F291" s="85" t="s">
        <v>454</v>
      </c>
      <c r="G291" s="2">
        <v>42979</v>
      </c>
      <c r="H291" s="85" t="s">
        <v>450</v>
      </c>
      <c r="I291" s="85" t="s">
        <v>256</v>
      </c>
      <c r="J291" s="85" t="s">
        <v>342</v>
      </c>
      <c r="K291" s="85" t="s">
        <v>342</v>
      </c>
      <c r="L291" s="85" t="s">
        <v>335</v>
      </c>
      <c r="M291" s="85" t="s">
        <v>169</v>
      </c>
      <c r="N291" s="85" t="s">
        <v>169</v>
      </c>
      <c r="O291" s="85" t="s">
        <v>171</v>
      </c>
      <c r="P291" s="85" t="s">
        <v>1061</v>
      </c>
      <c r="Q291" s="85" t="s">
        <v>1062</v>
      </c>
      <c r="R291" s="85">
        <v>4</v>
      </c>
      <c r="S291" s="85">
        <v>161</v>
      </c>
      <c r="T291" s="2">
        <v>44112</v>
      </c>
      <c r="U291" s="2">
        <v>44157</v>
      </c>
    </row>
    <row r="292" spans="1:21" x14ac:dyDescent="0.2">
      <c r="A292" s="3" t="str">
        <f>HYPERLINK("http://www.ofsted.gov.uk/inspection-reports/find-inspection-report/provider/ELS/140286 ","Ofsted School Webpage")</f>
        <v>Ofsted School Webpage</v>
      </c>
      <c r="B292" s="85">
        <v>140286</v>
      </c>
      <c r="C292" s="85">
        <v>8237018</v>
      </c>
      <c r="D292" s="85" t="s">
        <v>1063</v>
      </c>
      <c r="E292" s="85" t="s">
        <v>83</v>
      </c>
      <c r="F292" s="85" t="s">
        <v>1064</v>
      </c>
      <c r="G292" s="2">
        <v>41579</v>
      </c>
      <c r="H292" s="85" t="s">
        <v>255</v>
      </c>
      <c r="I292" s="85" t="s">
        <v>276</v>
      </c>
      <c r="J292" s="85" t="s">
        <v>257</v>
      </c>
      <c r="K292" s="85" t="s">
        <v>405</v>
      </c>
      <c r="L292" s="85" t="s">
        <v>258</v>
      </c>
      <c r="M292" s="85" t="s">
        <v>95</v>
      </c>
      <c r="N292" s="85" t="s">
        <v>95</v>
      </c>
      <c r="O292" s="85" t="s">
        <v>105</v>
      </c>
      <c r="P292" s="85" t="s">
        <v>1065</v>
      </c>
      <c r="Q292" s="85" t="s">
        <v>1066</v>
      </c>
      <c r="R292" s="85">
        <v>4</v>
      </c>
      <c r="S292" s="85">
        <v>111</v>
      </c>
      <c r="T292" s="2">
        <v>44112</v>
      </c>
      <c r="U292" s="2">
        <v>44157</v>
      </c>
    </row>
    <row r="293" spans="1:21" x14ac:dyDescent="0.2">
      <c r="A293" s="3" t="str">
        <f>HYPERLINK("http://www.ofsted.gov.uk/inspection-reports/find-inspection-report/provider/ELS/140254 ","Ofsted School Webpage")</f>
        <v>Ofsted School Webpage</v>
      </c>
      <c r="B293" s="85">
        <v>140254</v>
      </c>
      <c r="C293" s="85">
        <v>3724020</v>
      </c>
      <c r="D293" s="85" t="s">
        <v>1067</v>
      </c>
      <c r="E293" s="85" t="s">
        <v>82</v>
      </c>
      <c r="F293" s="85" t="s">
        <v>400</v>
      </c>
      <c r="G293" s="2">
        <v>41548</v>
      </c>
      <c r="H293" s="85" t="s">
        <v>275</v>
      </c>
      <c r="I293" s="85" t="s">
        <v>256</v>
      </c>
      <c r="J293" s="85" t="s">
        <v>257</v>
      </c>
      <c r="K293" s="85" t="s">
        <v>257</v>
      </c>
      <c r="L293" s="85" t="s">
        <v>258</v>
      </c>
      <c r="M293" s="85" t="s">
        <v>236</v>
      </c>
      <c r="N293" s="85" t="s">
        <v>218</v>
      </c>
      <c r="O293" s="85" t="s">
        <v>219</v>
      </c>
      <c r="P293" s="85" t="s">
        <v>1068</v>
      </c>
      <c r="Q293" s="85" t="s">
        <v>1069</v>
      </c>
      <c r="R293" s="85">
        <v>5</v>
      </c>
      <c r="S293" s="85">
        <v>673</v>
      </c>
      <c r="T293" s="2">
        <v>44112</v>
      </c>
      <c r="U293" s="2">
        <v>44158</v>
      </c>
    </row>
    <row r="294" spans="1:21" x14ac:dyDescent="0.2">
      <c r="A294" s="3" t="str">
        <f>HYPERLINK("http://www.ofsted.gov.uk/inspection-reports/find-inspection-report/provider/ELS/144575 ","Ofsted School Webpage")</f>
        <v>Ofsted School Webpage</v>
      </c>
      <c r="B294" s="85">
        <v>144575</v>
      </c>
      <c r="C294" s="85">
        <v>3512033</v>
      </c>
      <c r="D294" s="85" t="s">
        <v>1070</v>
      </c>
      <c r="E294" s="85" t="s">
        <v>81</v>
      </c>
      <c r="F294" s="85" t="s">
        <v>400</v>
      </c>
      <c r="G294" s="2">
        <v>42917</v>
      </c>
      <c r="H294" s="85" t="s">
        <v>255</v>
      </c>
      <c r="I294" s="85" t="s">
        <v>256</v>
      </c>
      <c r="J294" s="85" t="s">
        <v>257</v>
      </c>
      <c r="K294" s="85" t="s">
        <v>257</v>
      </c>
      <c r="L294" s="85" t="s">
        <v>258</v>
      </c>
      <c r="M294" s="85" t="s">
        <v>148</v>
      </c>
      <c r="N294" s="85" t="s">
        <v>148</v>
      </c>
      <c r="O294" s="85" t="s">
        <v>164</v>
      </c>
      <c r="P294" s="85" t="s">
        <v>1071</v>
      </c>
      <c r="Q294" s="85" t="s">
        <v>1072</v>
      </c>
      <c r="R294" s="85">
        <v>3</v>
      </c>
      <c r="S294" s="85">
        <v>459</v>
      </c>
      <c r="T294" s="2">
        <v>44112</v>
      </c>
      <c r="U294" s="2">
        <v>44161</v>
      </c>
    </row>
    <row r="295" spans="1:21" x14ac:dyDescent="0.2">
      <c r="A295" s="3" t="str">
        <f>HYPERLINK("http://www.ofsted.gov.uk/inspection-reports/find-inspection-report/provider/ELS/141971 ","Ofsted School Webpage")</f>
        <v>Ofsted School Webpage</v>
      </c>
      <c r="B295" s="85">
        <v>141971</v>
      </c>
      <c r="C295" s="85">
        <v>8884014</v>
      </c>
      <c r="D295" s="85" t="s">
        <v>1073</v>
      </c>
      <c r="E295" s="85" t="s">
        <v>82</v>
      </c>
      <c r="F295" s="85" t="s">
        <v>454</v>
      </c>
      <c r="G295" s="2">
        <v>42248</v>
      </c>
      <c r="H295" s="85" t="s">
        <v>275</v>
      </c>
      <c r="I295" s="85" t="s">
        <v>276</v>
      </c>
      <c r="J295" s="85" t="s">
        <v>516</v>
      </c>
      <c r="K295" s="85" t="s">
        <v>405</v>
      </c>
      <c r="L295" s="85" t="s">
        <v>516</v>
      </c>
      <c r="M295" s="85" t="s">
        <v>148</v>
      </c>
      <c r="N295" s="85" t="s">
        <v>148</v>
      </c>
      <c r="O295" s="85" t="s">
        <v>149</v>
      </c>
      <c r="P295" s="85" t="s">
        <v>1074</v>
      </c>
      <c r="Q295" s="85" t="s">
        <v>1075</v>
      </c>
      <c r="R295" s="85">
        <v>4</v>
      </c>
      <c r="S295" s="85">
        <v>580</v>
      </c>
      <c r="T295" s="2">
        <v>44112</v>
      </c>
      <c r="U295" s="2">
        <v>44154</v>
      </c>
    </row>
    <row r="296" spans="1:21" x14ac:dyDescent="0.2">
      <c r="A296" s="3" t="str">
        <f>HYPERLINK("http://www.ofsted.gov.uk/inspection-reports/find-inspection-report/provider/ELS/138005 ","Ofsted School Webpage")</f>
        <v>Ofsted School Webpage</v>
      </c>
      <c r="B296" s="85">
        <v>138005</v>
      </c>
      <c r="C296" s="85">
        <v>8662151</v>
      </c>
      <c r="D296" s="85" t="s">
        <v>1076</v>
      </c>
      <c r="E296" s="85" t="s">
        <v>81</v>
      </c>
      <c r="F296" s="85" t="s">
        <v>400</v>
      </c>
      <c r="G296" s="2">
        <v>41000</v>
      </c>
      <c r="H296" s="85" t="s">
        <v>255</v>
      </c>
      <c r="I296" s="85" t="s">
        <v>256</v>
      </c>
      <c r="J296" s="85" t="s">
        <v>257</v>
      </c>
      <c r="K296" s="85" t="s">
        <v>257</v>
      </c>
      <c r="L296" s="85" t="s">
        <v>258</v>
      </c>
      <c r="M296" s="85" t="s">
        <v>188</v>
      </c>
      <c r="N296" s="85" t="s">
        <v>188</v>
      </c>
      <c r="O296" s="85" t="s">
        <v>201</v>
      </c>
      <c r="P296" s="85" t="s">
        <v>1077</v>
      </c>
      <c r="Q296" s="85" t="s">
        <v>1078</v>
      </c>
      <c r="R296" s="85">
        <v>5</v>
      </c>
      <c r="S296" s="85">
        <v>336</v>
      </c>
      <c r="T296" s="2">
        <v>44112</v>
      </c>
      <c r="U296" s="2">
        <v>44157</v>
      </c>
    </row>
    <row r="297" spans="1:21" x14ac:dyDescent="0.2">
      <c r="A297" s="3" t="str">
        <f>HYPERLINK("http://www.ofsted.gov.uk/inspection-reports/find-inspection-report/provider/ELS/140790 ","Ofsted School Webpage")</f>
        <v>Ofsted School Webpage</v>
      </c>
      <c r="B297" s="85">
        <v>140790</v>
      </c>
      <c r="C297" s="85">
        <v>9082224</v>
      </c>
      <c r="D297" s="85" t="s">
        <v>1079</v>
      </c>
      <c r="E297" s="85" t="s">
        <v>81</v>
      </c>
      <c r="F297" s="85" t="s">
        <v>400</v>
      </c>
      <c r="G297" s="2">
        <v>41730</v>
      </c>
      <c r="H297" s="85" t="s">
        <v>255</v>
      </c>
      <c r="I297" s="85" t="s">
        <v>256</v>
      </c>
      <c r="J297" s="85" t="s">
        <v>257</v>
      </c>
      <c r="K297" s="85" t="s">
        <v>257</v>
      </c>
      <c r="L297" s="85" t="s">
        <v>258</v>
      </c>
      <c r="M297" s="85" t="s">
        <v>188</v>
      </c>
      <c r="N297" s="85" t="s">
        <v>188</v>
      </c>
      <c r="O297" s="85" t="s">
        <v>196</v>
      </c>
      <c r="P297" s="85" t="s">
        <v>873</v>
      </c>
      <c r="Q297" s="85" t="s">
        <v>1080</v>
      </c>
      <c r="R297" s="85">
        <v>4</v>
      </c>
      <c r="S297" s="85">
        <v>170</v>
      </c>
      <c r="T297" s="2">
        <v>44112</v>
      </c>
      <c r="U297" s="2">
        <v>44157</v>
      </c>
    </row>
    <row r="298" spans="1:21" x14ac:dyDescent="0.2">
      <c r="A298" s="3" t="str">
        <f>HYPERLINK("http://www.ofsted.gov.uk/inspection-reports/find-inspection-report/provider/ELS/138738 ","Ofsted School Webpage")</f>
        <v>Ofsted School Webpage</v>
      </c>
      <c r="B298" s="85">
        <v>138738</v>
      </c>
      <c r="C298" s="85">
        <v>8863128</v>
      </c>
      <c r="D298" s="85" t="s">
        <v>1081</v>
      </c>
      <c r="E298" s="85" t="s">
        <v>81</v>
      </c>
      <c r="F298" s="85" t="s">
        <v>400</v>
      </c>
      <c r="G298" s="2">
        <v>41153</v>
      </c>
      <c r="H298" s="85" t="s">
        <v>255</v>
      </c>
      <c r="I298" s="85" t="s">
        <v>256</v>
      </c>
      <c r="J298" s="85" t="s">
        <v>342</v>
      </c>
      <c r="K298" s="85" t="s">
        <v>257</v>
      </c>
      <c r="L298" s="85" t="s">
        <v>335</v>
      </c>
      <c r="M298" s="85" t="s">
        <v>169</v>
      </c>
      <c r="N298" s="85" t="s">
        <v>169</v>
      </c>
      <c r="O298" s="85" t="s">
        <v>171</v>
      </c>
      <c r="P298" s="85" t="s">
        <v>361</v>
      </c>
      <c r="Q298" s="85" t="s">
        <v>1082</v>
      </c>
      <c r="R298" s="85">
        <v>3</v>
      </c>
      <c r="S298" s="85">
        <v>398</v>
      </c>
      <c r="T298" s="2">
        <v>44112</v>
      </c>
      <c r="U298" s="2">
        <v>44160</v>
      </c>
    </row>
    <row r="299" spans="1:21" x14ac:dyDescent="0.2">
      <c r="A299" s="3" t="str">
        <f>HYPERLINK("http://www.ofsted.gov.uk/inspection-reports/find-inspection-report/provider/ELS/145529 ","Ofsted School Webpage")</f>
        <v>Ofsted School Webpage</v>
      </c>
      <c r="B299" s="85">
        <v>145529</v>
      </c>
      <c r="C299" s="85">
        <v>9267021</v>
      </c>
      <c r="D299" s="85" t="s">
        <v>1083</v>
      </c>
      <c r="E299" s="85" t="s">
        <v>83</v>
      </c>
      <c r="F299" s="85" t="s">
        <v>1064</v>
      </c>
      <c r="G299" s="2">
        <v>43160</v>
      </c>
      <c r="H299" s="85" t="s">
        <v>255</v>
      </c>
      <c r="I299" s="85" t="s">
        <v>276</v>
      </c>
      <c r="J299" s="85" t="s">
        <v>257</v>
      </c>
      <c r="K299" s="85" t="s">
        <v>257</v>
      </c>
      <c r="L299" s="85" t="s">
        <v>258</v>
      </c>
      <c r="M299" s="85" t="s">
        <v>95</v>
      </c>
      <c r="N299" s="85" t="s">
        <v>95</v>
      </c>
      <c r="O299" s="85" t="s">
        <v>103</v>
      </c>
      <c r="P299" s="85" t="s">
        <v>1084</v>
      </c>
      <c r="Q299" s="85" t="s">
        <v>1085</v>
      </c>
      <c r="R299" s="85">
        <v>3</v>
      </c>
      <c r="S299" s="85">
        <v>221</v>
      </c>
      <c r="T299" s="2">
        <v>44112</v>
      </c>
      <c r="U299" s="2">
        <v>44151</v>
      </c>
    </row>
    <row r="300" spans="1:21" x14ac:dyDescent="0.2">
      <c r="A300" s="3" t="str">
        <f>HYPERLINK("http://www.ofsted.gov.uk/inspection-reports/find-inspection-report/provider/ELS/141446 ","Ofsted School Webpage")</f>
        <v>Ofsted School Webpage</v>
      </c>
      <c r="B300" s="85">
        <v>141446</v>
      </c>
      <c r="C300" s="85">
        <v>9363353</v>
      </c>
      <c r="D300" s="85" t="s">
        <v>1086</v>
      </c>
      <c r="E300" s="85" t="s">
        <v>81</v>
      </c>
      <c r="F300" s="85" t="s">
        <v>400</v>
      </c>
      <c r="G300" s="2">
        <v>41913</v>
      </c>
      <c r="H300" s="85" t="s">
        <v>255</v>
      </c>
      <c r="I300" s="85" t="s">
        <v>256</v>
      </c>
      <c r="J300" s="85" t="s">
        <v>342</v>
      </c>
      <c r="K300" s="85" t="s">
        <v>257</v>
      </c>
      <c r="L300" s="85" t="s">
        <v>335</v>
      </c>
      <c r="M300" s="85" t="s">
        <v>169</v>
      </c>
      <c r="N300" s="85" t="s">
        <v>169</v>
      </c>
      <c r="O300" s="85" t="s">
        <v>175</v>
      </c>
      <c r="P300" s="85" t="s">
        <v>1087</v>
      </c>
      <c r="Q300" s="85" t="s">
        <v>1088</v>
      </c>
      <c r="R300" s="85">
        <v>1</v>
      </c>
      <c r="S300" s="85">
        <v>353</v>
      </c>
      <c r="T300" s="2">
        <v>44112</v>
      </c>
      <c r="U300" s="2">
        <v>44147</v>
      </c>
    </row>
    <row r="301" spans="1:21" x14ac:dyDescent="0.2">
      <c r="A301" s="3" t="str">
        <f>HYPERLINK("http://www.ofsted.gov.uk/inspection-reports/find-inspection-report/provider/ELS/137131 ","Ofsted School Webpage")</f>
        <v>Ofsted School Webpage</v>
      </c>
      <c r="B301" s="85">
        <v>137131</v>
      </c>
      <c r="C301" s="85">
        <v>3024208</v>
      </c>
      <c r="D301" s="85" t="s">
        <v>1089</v>
      </c>
      <c r="E301" s="85" t="s">
        <v>82</v>
      </c>
      <c r="F301" s="85" t="s">
        <v>400</v>
      </c>
      <c r="G301" s="2">
        <v>40756</v>
      </c>
      <c r="H301" s="85" t="s">
        <v>275</v>
      </c>
      <c r="I301" s="85" t="s">
        <v>276</v>
      </c>
      <c r="J301" s="85" t="s">
        <v>257</v>
      </c>
      <c r="K301" s="85" t="s">
        <v>257</v>
      </c>
      <c r="L301" s="85" t="s">
        <v>258</v>
      </c>
      <c r="M301" s="85" t="s">
        <v>107</v>
      </c>
      <c r="N301" s="85" t="s">
        <v>107</v>
      </c>
      <c r="O301" s="85" t="s">
        <v>121</v>
      </c>
      <c r="P301" s="85" t="s">
        <v>1090</v>
      </c>
      <c r="Q301" s="85" t="s">
        <v>1091</v>
      </c>
      <c r="R301" s="85">
        <v>3</v>
      </c>
      <c r="S301" s="85">
        <v>1040</v>
      </c>
      <c r="T301" s="2">
        <v>44112</v>
      </c>
      <c r="U301" s="2">
        <v>44158</v>
      </c>
    </row>
    <row r="302" spans="1:21" x14ac:dyDescent="0.2">
      <c r="A302" s="3" t="str">
        <f>HYPERLINK("http://www.ofsted.gov.uk/inspection-reports/find-inspection-report/provider/ELS/107326 ","Ofsted School Webpage")</f>
        <v>Ofsted School Webpage</v>
      </c>
      <c r="B302" s="85">
        <v>107326</v>
      </c>
      <c r="C302" s="85">
        <v>3803335</v>
      </c>
      <c r="D302" s="85" t="s">
        <v>1092</v>
      </c>
      <c r="E302" s="85" t="s">
        <v>81</v>
      </c>
      <c r="F302" s="85" t="s">
        <v>333</v>
      </c>
      <c r="G302" s="85" t="s">
        <v>262</v>
      </c>
      <c r="H302" s="85" t="s">
        <v>255</v>
      </c>
      <c r="I302" s="85" t="s">
        <v>256</v>
      </c>
      <c r="J302" s="85" t="s">
        <v>334</v>
      </c>
      <c r="K302" s="85" t="s">
        <v>257</v>
      </c>
      <c r="L302" s="85" t="s">
        <v>335</v>
      </c>
      <c r="M302" s="85" t="s">
        <v>236</v>
      </c>
      <c r="N302" s="85" t="s">
        <v>218</v>
      </c>
      <c r="O302" s="85" t="s">
        <v>227</v>
      </c>
      <c r="P302" s="85" t="s">
        <v>1093</v>
      </c>
      <c r="Q302" s="85" t="s">
        <v>1094</v>
      </c>
      <c r="R302" s="85">
        <v>5</v>
      </c>
      <c r="S302" s="85">
        <v>389</v>
      </c>
      <c r="T302" s="2">
        <v>44113</v>
      </c>
      <c r="U302" s="2">
        <v>44161</v>
      </c>
    </row>
    <row r="303" spans="1:21" x14ac:dyDescent="0.2">
      <c r="A303" s="3" t="str">
        <f>HYPERLINK("http://www.ofsted.gov.uk/inspection-reports/find-inspection-report/provider/ELS/105342 ","Ofsted School Webpage")</f>
        <v>Ofsted School Webpage</v>
      </c>
      <c r="B303" s="85">
        <v>105342</v>
      </c>
      <c r="C303" s="85">
        <v>3513334</v>
      </c>
      <c r="D303" s="85" t="s">
        <v>1095</v>
      </c>
      <c r="E303" s="85" t="s">
        <v>81</v>
      </c>
      <c r="F303" s="85" t="s">
        <v>333</v>
      </c>
      <c r="G303" s="85" t="s">
        <v>262</v>
      </c>
      <c r="H303" s="85" t="s">
        <v>255</v>
      </c>
      <c r="I303" s="85" t="s">
        <v>256</v>
      </c>
      <c r="J303" s="85" t="s">
        <v>342</v>
      </c>
      <c r="K303" s="85" t="s">
        <v>257</v>
      </c>
      <c r="L303" s="85" t="s">
        <v>335</v>
      </c>
      <c r="M303" s="85" t="s">
        <v>148</v>
      </c>
      <c r="N303" s="85" t="s">
        <v>148</v>
      </c>
      <c r="O303" s="85" t="s">
        <v>164</v>
      </c>
      <c r="P303" s="85" t="s">
        <v>1071</v>
      </c>
      <c r="Q303" s="85" t="s">
        <v>1096</v>
      </c>
      <c r="R303" s="85">
        <v>3</v>
      </c>
      <c r="S303" s="85">
        <v>236</v>
      </c>
      <c r="T303" s="2">
        <v>44117</v>
      </c>
      <c r="U303" s="2">
        <v>44153</v>
      </c>
    </row>
    <row r="304" spans="1:21" x14ac:dyDescent="0.2">
      <c r="A304" s="3" t="str">
        <f>HYPERLINK("http://www.ofsted.gov.uk/inspection-reports/find-inspection-report/provider/ELS/102909 ","Ofsted School Webpage")</f>
        <v>Ofsted School Webpage</v>
      </c>
      <c r="B304" s="85">
        <v>102909</v>
      </c>
      <c r="C304" s="85">
        <v>3183309</v>
      </c>
      <c r="D304" s="85" t="s">
        <v>1097</v>
      </c>
      <c r="E304" s="85" t="s">
        <v>81</v>
      </c>
      <c r="F304" s="85" t="s">
        <v>333</v>
      </c>
      <c r="G304" s="85" t="s">
        <v>262</v>
      </c>
      <c r="H304" s="85" t="s">
        <v>255</v>
      </c>
      <c r="I304" s="85" t="s">
        <v>256</v>
      </c>
      <c r="J304" s="85" t="s">
        <v>334</v>
      </c>
      <c r="K304" s="85" t="s">
        <v>257</v>
      </c>
      <c r="L304" s="85" t="s">
        <v>335</v>
      </c>
      <c r="M304" s="85" t="s">
        <v>107</v>
      </c>
      <c r="N304" s="85" t="s">
        <v>107</v>
      </c>
      <c r="O304" s="85" t="s">
        <v>119</v>
      </c>
      <c r="P304" s="85" t="s">
        <v>1098</v>
      </c>
      <c r="Q304" s="85" t="s">
        <v>1099</v>
      </c>
      <c r="R304" s="85">
        <v>1</v>
      </c>
      <c r="S304" s="85">
        <v>244</v>
      </c>
      <c r="T304" s="2">
        <v>44117</v>
      </c>
      <c r="U304" s="2">
        <v>44150</v>
      </c>
    </row>
    <row r="305" spans="1:21" x14ac:dyDescent="0.2">
      <c r="A305" s="3" t="str">
        <f>HYPERLINK("http://www.ofsted.gov.uk/inspection-reports/find-inspection-report/provider/ELS/105247 ","Ofsted School Webpage")</f>
        <v>Ofsted School Webpage</v>
      </c>
      <c r="B305" s="85">
        <v>105247</v>
      </c>
      <c r="C305" s="85">
        <v>3503364</v>
      </c>
      <c r="D305" s="85" t="s">
        <v>1100</v>
      </c>
      <c r="E305" s="85" t="s">
        <v>81</v>
      </c>
      <c r="F305" s="85" t="s">
        <v>333</v>
      </c>
      <c r="G305" s="85" t="s">
        <v>262</v>
      </c>
      <c r="H305" s="85" t="s">
        <v>255</v>
      </c>
      <c r="I305" s="85" t="s">
        <v>256</v>
      </c>
      <c r="J305" s="85" t="s">
        <v>334</v>
      </c>
      <c r="K305" s="85" t="s">
        <v>257</v>
      </c>
      <c r="L305" s="85" t="s">
        <v>335</v>
      </c>
      <c r="M305" s="85" t="s">
        <v>148</v>
      </c>
      <c r="N305" s="85" t="s">
        <v>148</v>
      </c>
      <c r="O305" s="85" t="s">
        <v>167</v>
      </c>
      <c r="P305" s="85" t="s">
        <v>1101</v>
      </c>
      <c r="Q305" s="85" t="s">
        <v>1102</v>
      </c>
      <c r="R305" s="85">
        <v>3</v>
      </c>
      <c r="S305" s="85">
        <v>140</v>
      </c>
      <c r="T305" s="2">
        <v>44117</v>
      </c>
      <c r="U305" s="2">
        <v>44160</v>
      </c>
    </row>
    <row r="306" spans="1:21" x14ac:dyDescent="0.2">
      <c r="A306" s="3" t="str">
        <f>HYPERLINK("http://www.ofsted.gov.uk/inspection-reports/find-inspection-report/provider/ELS/113350 ","Ofsted School Webpage")</f>
        <v>Ofsted School Webpage</v>
      </c>
      <c r="B306" s="85">
        <v>113350</v>
      </c>
      <c r="C306" s="85">
        <v>8783004</v>
      </c>
      <c r="D306" s="85" t="s">
        <v>1103</v>
      </c>
      <c r="E306" s="85" t="s">
        <v>81</v>
      </c>
      <c r="F306" s="85" t="s">
        <v>360</v>
      </c>
      <c r="G306" s="85" t="s">
        <v>262</v>
      </c>
      <c r="H306" s="85" t="s">
        <v>255</v>
      </c>
      <c r="I306" s="85" t="s">
        <v>256</v>
      </c>
      <c r="J306" s="85" t="s">
        <v>342</v>
      </c>
      <c r="K306" s="85" t="s">
        <v>257</v>
      </c>
      <c r="L306" s="85" t="s">
        <v>335</v>
      </c>
      <c r="M306" s="85" t="s">
        <v>188</v>
      </c>
      <c r="N306" s="85" t="s">
        <v>188</v>
      </c>
      <c r="O306" s="85" t="s">
        <v>197</v>
      </c>
      <c r="P306" s="85" t="s">
        <v>666</v>
      </c>
      <c r="Q306" s="85" t="s">
        <v>1104</v>
      </c>
      <c r="R306" s="85">
        <v>2</v>
      </c>
      <c r="S306" s="85">
        <v>52</v>
      </c>
      <c r="T306" s="2">
        <v>44117</v>
      </c>
      <c r="U306" s="2">
        <v>44153</v>
      </c>
    </row>
    <row r="307" spans="1:21" x14ac:dyDescent="0.2">
      <c r="A307" s="3" t="str">
        <f>HYPERLINK("http://www.ofsted.gov.uk/inspection-reports/find-inspection-report/provider/ELS/122328 ","Ofsted School Webpage")</f>
        <v>Ofsted School Webpage</v>
      </c>
      <c r="B307" s="85">
        <v>122328</v>
      </c>
      <c r="C307" s="85">
        <v>9294130</v>
      </c>
      <c r="D307" s="85" t="s">
        <v>1105</v>
      </c>
      <c r="E307" s="85" t="s">
        <v>82</v>
      </c>
      <c r="F307" s="85" t="s">
        <v>382</v>
      </c>
      <c r="G307" s="2">
        <v>1</v>
      </c>
      <c r="H307" s="85" t="s">
        <v>275</v>
      </c>
      <c r="I307" s="85" t="s">
        <v>276</v>
      </c>
      <c r="J307" s="85" t="s">
        <v>405</v>
      </c>
      <c r="K307" s="85" t="s">
        <v>257</v>
      </c>
      <c r="L307" s="85" t="s">
        <v>258</v>
      </c>
      <c r="M307" s="85" t="s">
        <v>236</v>
      </c>
      <c r="N307" s="85" t="s">
        <v>135</v>
      </c>
      <c r="O307" s="85" t="s">
        <v>138</v>
      </c>
      <c r="P307" s="85" t="s">
        <v>683</v>
      </c>
      <c r="Q307" s="85" t="s">
        <v>1106</v>
      </c>
      <c r="R307" s="85">
        <v>2</v>
      </c>
      <c r="S307" s="85">
        <v>405</v>
      </c>
      <c r="T307" s="2">
        <v>44117</v>
      </c>
      <c r="U307" s="2">
        <v>44157</v>
      </c>
    </row>
    <row r="308" spans="1:21" x14ac:dyDescent="0.2">
      <c r="A308" s="3" t="str">
        <f>HYPERLINK("http://www.ofsted.gov.uk/inspection-reports/find-inspection-report/provider/ELS/120558 ","Ofsted School Webpage")</f>
        <v>Ofsted School Webpage</v>
      </c>
      <c r="B308" s="85">
        <v>120558</v>
      </c>
      <c r="C308" s="85">
        <v>9253102</v>
      </c>
      <c r="D308" s="85" t="s">
        <v>1107</v>
      </c>
      <c r="E308" s="85" t="s">
        <v>81</v>
      </c>
      <c r="F308" s="85" t="s">
        <v>360</v>
      </c>
      <c r="G308" s="85" t="s">
        <v>262</v>
      </c>
      <c r="H308" s="85" t="s">
        <v>255</v>
      </c>
      <c r="I308" s="85" t="s">
        <v>256</v>
      </c>
      <c r="J308" s="85" t="s">
        <v>342</v>
      </c>
      <c r="K308" s="85" t="s">
        <v>257</v>
      </c>
      <c r="L308" s="85" t="s">
        <v>335</v>
      </c>
      <c r="M308" s="85" t="s">
        <v>85</v>
      </c>
      <c r="N308" s="85" t="s">
        <v>85</v>
      </c>
      <c r="O308" s="85" t="s">
        <v>89</v>
      </c>
      <c r="P308" s="85" t="s">
        <v>1108</v>
      </c>
      <c r="Q308" s="85" t="s">
        <v>1109</v>
      </c>
      <c r="R308" s="85">
        <v>3</v>
      </c>
      <c r="S308" s="85">
        <v>255</v>
      </c>
      <c r="T308" s="2">
        <v>44117</v>
      </c>
      <c r="U308" s="2">
        <v>44151</v>
      </c>
    </row>
    <row r="309" spans="1:21" x14ac:dyDescent="0.2">
      <c r="A309" s="3" t="str">
        <f>HYPERLINK("http://www.ofsted.gov.uk/inspection-reports/find-inspection-report/provider/ELS/131644 ","Ofsted School Webpage")</f>
        <v>Ofsted School Webpage</v>
      </c>
      <c r="B309" s="85">
        <v>131644</v>
      </c>
      <c r="C309" s="85">
        <v>8073396</v>
      </c>
      <c r="D309" s="85" t="s">
        <v>1110</v>
      </c>
      <c r="E309" s="85" t="s">
        <v>81</v>
      </c>
      <c r="F309" s="85" t="s">
        <v>382</v>
      </c>
      <c r="G309" s="2">
        <v>38961</v>
      </c>
      <c r="H309" s="85" t="s">
        <v>255</v>
      </c>
      <c r="I309" s="85" t="s">
        <v>256</v>
      </c>
      <c r="J309" s="85" t="s">
        <v>257</v>
      </c>
      <c r="K309" s="85" t="s">
        <v>257</v>
      </c>
      <c r="L309" s="85" t="s">
        <v>258</v>
      </c>
      <c r="M309" s="85" t="s">
        <v>236</v>
      </c>
      <c r="N309" s="85" t="s">
        <v>135</v>
      </c>
      <c r="O309" s="85" t="s">
        <v>141</v>
      </c>
      <c r="P309" s="85" t="s">
        <v>483</v>
      </c>
      <c r="Q309" s="85" t="s">
        <v>1111</v>
      </c>
      <c r="R309" s="85">
        <v>5</v>
      </c>
      <c r="S309" s="85">
        <v>244</v>
      </c>
      <c r="T309" s="2">
        <v>44117</v>
      </c>
      <c r="U309" s="2">
        <v>44160</v>
      </c>
    </row>
    <row r="310" spans="1:21" x14ac:dyDescent="0.2">
      <c r="A310" s="3" t="str">
        <f>HYPERLINK("http://www.ofsted.gov.uk/inspection-reports/find-inspection-report/provider/ELS/140888 ","Ofsted School Webpage")</f>
        <v>Ofsted School Webpage</v>
      </c>
      <c r="B310" s="85">
        <v>140888</v>
      </c>
      <c r="C310" s="85">
        <v>8732026</v>
      </c>
      <c r="D310" s="85" t="s">
        <v>1112</v>
      </c>
      <c r="E310" s="85" t="s">
        <v>81</v>
      </c>
      <c r="F310" s="85" t="s">
        <v>404</v>
      </c>
      <c r="G310" s="2">
        <v>41821</v>
      </c>
      <c r="H310" s="85" t="s">
        <v>255</v>
      </c>
      <c r="I310" s="85" t="s">
        <v>256</v>
      </c>
      <c r="J310" s="85" t="s">
        <v>257</v>
      </c>
      <c r="K310" s="85" t="s">
        <v>405</v>
      </c>
      <c r="L310" s="85" t="s">
        <v>258</v>
      </c>
      <c r="M310" s="85" t="s">
        <v>95</v>
      </c>
      <c r="N310" s="85" t="s">
        <v>95</v>
      </c>
      <c r="O310" s="85" t="s">
        <v>97</v>
      </c>
      <c r="P310" s="85" t="s">
        <v>1113</v>
      </c>
      <c r="Q310" s="85" t="s">
        <v>1114</v>
      </c>
      <c r="R310" s="85">
        <v>4</v>
      </c>
      <c r="S310" s="85">
        <v>460</v>
      </c>
      <c r="T310" s="2">
        <v>44117</v>
      </c>
      <c r="U310" s="2">
        <v>44159</v>
      </c>
    </row>
    <row r="311" spans="1:21" x14ac:dyDescent="0.2">
      <c r="A311" s="3" t="str">
        <f>HYPERLINK("http://www.ofsted.gov.uk/inspection-reports/find-inspection-report/provider/ELS/140230 ","Ofsted School Webpage")</f>
        <v>Ofsted School Webpage</v>
      </c>
      <c r="B311" s="85">
        <v>140230</v>
      </c>
      <c r="C311" s="85">
        <v>8553008</v>
      </c>
      <c r="D311" s="85" t="s">
        <v>1115</v>
      </c>
      <c r="E311" s="85" t="s">
        <v>81</v>
      </c>
      <c r="F311" s="85" t="s">
        <v>400</v>
      </c>
      <c r="G311" s="2">
        <v>41548</v>
      </c>
      <c r="H311" s="85" t="s">
        <v>255</v>
      </c>
      <c r="I311" s="85" t="s">
        <v>256</v>
      </c>
      <c r="J311" s="85" t="s">
        <v>342</v>
      </c>
      <c r="K311" s="85" t="s">
        <v>257</v>
      </c>
      <c r="L311" s="85" t="s">
        <v>335</v>
      </c>
      <c r="M311" s="85" t="s">
        <v>85</v>
      </c>
      <c r="N311" s="85" t="s">
        <v>85</v>
      </c>
      <c r="O311" s="85" t="s">
        <v>93</v>
      </c>
      <c r="P311" s="85" t="s">
        <v>1116</v>
      </c>
      <c r="Q311" s="85" t="s">
        <v>1117</v>
      </c>
      <c r="R311" s="85">
        <v>2</v>
      </c>
      <c r="S311" s="85">
        <v>529</v>
      </c>
      <c r="T311" s="2">
        <v>44117</v>
      </c>
      <c r="U311" s="2">
        <v>44147</v>
      </c>
    </row>
    <row r="312" spans="1:21" x14ac:dyDescent="0.2">
      <c r="A312" s="3" t="str">
        <f>HYPERLINK("http://www.ofsted.gov.uk/inspection-reports/find-inspection-report/provider/ELS/135721 ","Ofsted School Webpage")</f>
        <v>Ofsted School Webpage</v>
      </c>
      <c r="B312" s="85">
        <v>135721</v>
      </c>
      <c r="C312" s="85">
        <v>8866915</v>
      </c>
      <c r="D312" s="85" t="s">
        <v>1118</v>
      </c>
      <c r="E312" s="85" t="s">
        <v>82</v>
      </c>
      <c r="F312" s="85" t="s">
        <v>404</v>
      </c>
      <c r="G312" s="2">
        <v>40057</v>
      </c>
      <c r="H312" s="85" t="s">
        <v>275</v>
      </c>
      <c r="I312" s="85" t="s">
        <v>276</v>
      </c>
      <c r="J312" s="85" t="s">
        <v>257</v>
      </c>
      <c r="K312" s="85" t="s">
        <v>405</v>
      </c>
      <c r="L312" s="85" t="s">
        <v>258</v>
      </c>
      <c r="M312" s="85" t="s">
        <v>169</v>
      </c>
      <c r="N312" s="85" t="s">
        <v>169</v>
      </c>
      <c r="O312" s="85" t="s">
        <v>171</v>
      </c>
      <c r="P312" s="85" t="s">
        <v>1119</v>
      </c>
      <c r="Q312" s="85" t="s">
        <v>1120</v>
      </c>
      <c r="R312" s="85">
        <v>5</v>
      </c>
      <c r="S312" s="85">
        <v>1337</v>
      </c>
      <c r="T312" s="2">
        <v>44117</v>
      </c>
      <c r="U312" s="2">
        <v>44160</v>
      </c>
    </row>
    <row r="313" spans="1:21" x14ac:dyDescent="0.2">
      <c r="A313" s="3" t="str">
        <f>HYPERLINK("http://www.ofsted.gov.uk/inspection-reports/find-inspection-report/provider/ELS/141378 ","Ofsted School Webpage")</f>
        <v>Ofsted School Webpage</v>
      </c>
      <c r="B313" s="85">
        <v>141378</v>
      </c>
      <c r="C313" s="85">
        <v>8394006</v>
      </c>
      <c r="D313" s="85" t="s">
        <v>1121</v>
      </c>
      <c r="E313" s="85" t="s">
        <v>82</v>
      </c>
      <c r="F313" s="85" t="s">
        <v>404</v>
      </c>
      <c r="G313" s="2">
        <v>42036</v>
      </c>
      <c r="H313" s="85" t="s">
        <v>275</v>
      </c>
      <c r="I313" s="85" t="s">
        <v>276</v>
      </c>
      <c r="J313" s="85" t="s">
        <v>257</v>
      </c>
      <c r="K313" s="85" t="s">
        <v>405</v>
      </c>
      <c r="L313" s="85" t="s">
        <v>258</v>
      </c>
      <c r="M313" s="85" t="s">
        <v>188</v>
      </c>
      <c r="N313" s="85" t="s">
        <v>188</v>
      </c>
      <c r="O313" s="85" t="s">
        <v>200</v>
      </c>
      <c r="P313" s="85" t="s">
        <v>1122</v>
      </c>
      <c r="Q313" s="85" t="s">
        <v>1123</v>
      </c>
      <c r="R313" s="85">
        <v>4</v>
      </c>
      <c r="S313" s="85">
        <v>387</v>
      </c>
      <c r="T313" s="2">
        <v>44117</v>
      </c>
      <c r="U313" s="2">
        <v>44154</v>
      </c>
    </row>
    <row r="314" spans="1:21" x14ac:dyDescent="0.2">
      <c r="A314" s="3" t="str">
        <f>HYPERLINK("http://www.ofsted.gov.uk/inspection-reports/find-inspection-report/provider/ELS/135662 ","Ofsted School Webpage")</f>
        <v>Ofsted School Webpage</v>
      </c>
      <c r="B314" s="85">
        <v>135662</v>
      </c>
      <c r="C314" s="85">
        <v>8846905</v>
      </c>
      <c r="D314" s="85" t="s">
        <v>1124</v>
      </c>
      <c r="E314" s="85" t="s">
        <v>82</v>
      </c>
      <c r="F314" s="85" t="s">
        <v>404</v>
      </c>
      <c r="G314" s="2">
        <v>39692</v>
      </c>
      <c r="H314" s="85" t="s">
        <v>275</v>
      </c>
      <c r="I314" s="85" t="s">
        <v>276</v>
      </c>
      <c r="J314" s="85" t="s">
        <v>335</v>
      </c>
      <c r="K314" s="85" t="s">
        <v>405</v>
      </c>
      <c r="L314" s="85" t="s">
        <v>335</v>
      </c>
      <c r="M314" s="85" t="s">
        <v>203</v>
      </c>
      <c r="N314" s="85" t="s">
        <v>203</v>
      </c>
      <c r="O314" s="85" t="s">
        <v>204</v>
      </c>
      <c r="P314" s="85" t="s">
        <v>373</v>
      </c>
      <c r="Q314" s="85" t="s">
        <v>1125</v>
      </c>
      <c r="R314" s="85">
        <v>4</v>
      </c>
      <c r="S314" s="85">
        <v>584</v>
      </c>
      <c r="T314" s="2">
        <v>44117</v>
      </c>
      <c r="U314" s="2">
        <v>44157</v>
      </c>
    </row>
    <row r="315" spans="1:21" x14ac:dyDescent="0.2">
      <c r="A315" s="3" t="str">
        <f>HYPERLINK("http://www.ofsted.gov.uk/inspection-reports/find-inspection-report/provider/ELS/134768 ","Ofsted School Webpage")</f>
        <v>Ofsted School Webpage</v>
      </c>
      <c r="B315" s="85">
        <v>134768</v>
      </c>
      <c r="C315" s="85">
        <v>3321104</v>
      </c>
      <c r="D315" s="85" t="s">
        <v>1126</v>
      </c>
      <c r="E315" s="85" t="s">
        <v>84</v>
      </c>
      <c r="F315" s="85" t="s">
        <v>396</v>
      </c>
      <c r="G315" s="2">
        <v>40422</v>
      </c>
      <c r="H315" s="85" t="s">
        <v>255</v>
      </c>
      <c r="I315" s="85" t="s">
        <v>255</v>
      </c>
      <c r="J315" s="85" t="s">
        <v>257</v>
      </c>
      <c r="K315" s="85" t="s">
        <v>257</v>
      </c>
      <c r="L315" s="85" t="s">
        <v>258</v>
      </c>
      <c r="M315" s="85" t="s">
        <v>203</v>
      </c>
      <c r="N315" s="85" t="s">
        <v>203</v>
      </c>
      <c r="O315" s="85" t="s">
        <v>217</v>
      </c>
      <c r="P315" s="85" t="s">
        <v>983</v>
      </c>
      <c r="Q315" s="85" t="s">
        <v>1127</v>
      </c>
      <c r="R315" s="85">
        <v>5</v>
      </c>
      <c r="S315" s="85">
        <v>30</v>
      </c>
      <c r="T315" s="2">
        <v>44117</v>
      </c>
      <c r="U315" s="2">
        <v>44153</v>
      </c>
    </row>
    <row r="316" spans="1:21" x14ac:dyDescent="0.2">
      <c r="A316" s="3" t="str">
        <f>HYPERLINK("http://www.ofsted.gov.uk/inspection-reports/find-inspection-report/provider/ELS/141990 ","Ofsted School Webpage")</f>
        <v>Ofsted School Webpage</v>
      </c>
      <c r="B316" s="85">
        <v>141990</v>
      </c>
      <c r="C316" s="85">
        <v>8252018</v>
      </c>
      <c r="D316" s="85" t="s">
        <v>1128</v>
      </c>
      <c r="E316" s="85" t="s">
        <v>81</v>
      </c>
      <c r="F316" s="85" t="s">
        <v>404</v>
      </c>
      <c r="G316" s="2">
        <v>42248</v>
      </c>
      <c r="H316" s="85" t="s">
        <v>255</v>
      </c>
      <c r="I316" s="85" t="s">
        <v>256</v>
      </c>
      <c r="J316" s="85" t="s">
        <v>257</v>
      </c>
      <c r="K316" s="85" t="s">
        <v>405</v>
      </c>
      <c r="L316" s="85" t="s">
        <v>258</v>
      </c>
      <c r="M316" s="85" t="s">
        <v>169</v>
      </c>
      <c r="N316" s="85" t="s">
        <v>169</v>
      </c>
      <c r="O316" s="85" t="s">
        <v>184</v>
      </c>
      <c r="P316" s="85" t="s">
        <v>1129</v>
      </c>
      <c r="Q316" s="85" t="s">
        <v>1130</v>
      </c>
      <c r="R316" s="85">
        <v>4</v>
      </c>
      <c r="S316" s="85">
        <v>183</v>
      </c>
      <c r="T316" s="2">
        <v>44117</v>
      </c>
      <c r="U316" s="2">
        <v>44151</v>
      </c>
    </row>
    <row r="317" spans="1:21" x14ac:dyDescent="0.2">
      <c r="A317" s="3" t="str">
        <f>HYPERLINK("http://www.ofsted.gov.uk/inspection-reports/find-inspection-report/provider/ELS/139441 ","Ofsted School Webpage")</f>
        <v>Ofsted School Webpage</v>
      </c>
      <c r="B317" s="85">
        <v>139441</v>
      </c>
      <c r="C317" s="85">
        <v>8552069</v>
      </c>
      <c r="D317" s="85" t="s">
        <v>1131</v>
      </c>
      <c r="E317" s="85" t="s">
        <v>81</v>
      </c>
      <c r="F317" s="85" t="s">
        <v>400</v>
      </c>
      <c r="G317" s="2">
        <v>41365</v>
      </c>
      <c r="H317" s="85" t="s">
        <v>255</v>
      </c>
      <c r="I317" s="85" t="s">
        <v>256</v>
      </c>
      <c r="J317" s="85" t="s">
        <v>257</v>
      </c>
      <c r="K317" s="85" t="s">
        <v>257</v>
      </c>
      <c r="L317" s="85" t="s">
        <v>258</v>
      </c>
      <c r="M317" s="85" t="s">
        <v>85</v>
      </c>
      <c r="N317" s="85" t="s">
        <v>85</v>
      </c>
      <c r="O317" s="85" t="s">
        <v>93</v>
      </c>
      <c r="P317" s="85" t="s">
        <v>1132</v>
      </c>
      <c r="Q317" s="85" t="s">
        <v>1133</v>
      </c>
      <c r="R317" s="85">
        <v>1</v>
      </c>
      <c r="S317" s="85">
        <v>321</v>
      </c>
      <c r="T317" s="2">
        <v>44117</v>
      </c>
      <c r="U317" s="2">
        <v>44161</v>
      </c>
    </row>
    <row r="318" spans="1:21" x14ac:dyDescent="0.2">
      <c r="A318" s="3" t="str">
        <f>HYPERLINK("http://www.ofsted.gov.uk/inspection-reports/find-inspection-report/provider/ELS/142050 ","Ofsted School Webpage")</f>
        <v>Ofsted School Webpage</v>
      </c>
      <c r="B318" s="85">
        <v>142050</v>
      </c>
      <c r="C318" s="85">
        <v>3117004</v>
      </c>
      <c r="D318" s="85" t="s">
        <v>1134</v>
      </c>
      <c r="E318" s="85" t="s">
        <v>83</v>
      </c>
      <c r="F318" s="85" t="s">
        <v>441</v>
      </c>
      <c r="G318" s="2">
        <v>42248</v>
      </c>
      <c r="H318" s="85" t="s">
        <v>255</v>
      </c>
      <c r="I318" s="85" t="s">
        <v>276</v>
      </c>
      <c r="J318" s="85" t="s">
        <v>257</v>
      </c>
      <c r="K318" s="85" t="s">
        <v>405</v>
      </c>
      <c r="L318" s="85" t="s">
        <v>258</v>
      </c>
      <c r="M318" s="85" t="s">
        <v>107</v>
      </c>
      <c r="N318" s="85" t="s">
        <v>107</v>
      </c>
      <c r="O318" s="85" t="s">
        <v>109</v>
      </c>
      <c r="P318" s="85" t="s">
        <v>1135</v>
      </c>
      <c r="Q318" s="85" t="s">
        <v>1136</v>
      </c>
      <c r="R318" s="85">
        <v>4</v>
      </c>
      <c r="S318" s="85">
        <v>124</v>
      </c>
      <c r="T318" s="2">
        <v>44117</v>
      </c>
      <c r="U318" s="2">
        <v>44161</v>
      </c>
    </row>
    <row r="319" spans="1:21" x14ac:dyDescent="0.2">
      <c r="A319" s="3" t="str">
        <f>HYPERLINK("http://www.ofsted.gov.uk/inspection-reports/find-inspection-report/provider/ELS/145222 ","Ofsted School Webpage")</f>
        <v>Ofsted School Webpage</v>
      </c>
      <c r="B319" s="85">
        <v>145222</v>
      </c>
      <c r="C319" s="85">
        <v>8522002</v>
      </c>
      <c r="D319" s="85" t="s">
        <v>1137</v>
      </c>
      <c r="E319" s="85" t="s">
        <v>81</v>
      </c>
      <c r="F319" s="85" t="s">
        <v>400</v>
      </c>
      <c r="G319" s="2">
        <v>43040</v>
      </c>
      <c r="H319" s="85" t="s">
        <v>255</v>
      </c>
      <c r="I319" s="85" t="s">
        <v>256</v>
      </c>
      <c r="J319" s="85" t="s">
        <v>257</v>
      </c>
      <c r="K319" s="85" t="s">
        <v>257</v>
      </c>
      <c r="L319" s="85" t="s">
        <v>258</v>
      </c>
      <c r="M319" s="85" t="s">
        <v>169</v>
      </c>
      <c r="N319" s="85" t="s">
        <v>169</v>
      </c>
      <c r="O319" s="85" t="s">
        <v>179</v>
      </c>
      <c r="P319" s="85" t="s">
        <v>1138</v>
      </c>
      <c r="Q319" s="85" t="s">
        <v>1139</v>
      </c>
      <c r="R319" s="85">
        <v>5</v>
      </c>
      <c r="S319" s="85">
        <v>393</v>
      </c>
      <c r="T319" s="2">
        <v>44117</v>
      </c>
      <c r="U319" s="2">
        <v>44158</v>
      </c>
    </row>
    <row r="320" spans="1:21" x14ac:dyDescent="0.2">
      <c r="A320" s="3" t="str">
        <f>HYPERLINK("http://www.ofsted.gov.uk/inspection-reports/find-inspection-report/provider/ELS/144982 ","Ofsted School Webpage")</f>
        <v>Ofsted School Webpage</v>
      </c>
      <c r="B320" s="85">
        <v>144982</v>
      </c>
      <c r="C320" s="85">
        <v>3542010</v>
      </c>
      <c r="D320" s="85" t="s">
        <v>1140</v>
      </c>
      <c r="E320" s="85" t="s">
        <v>81</v>
      </c>
      <c r="F320" s="85" t="s">
        <v>404</v>
      </c>
      <c r="G320" s="2">
        <v>43009</v>
      </c>
      <c r="H320" s="85" t="s">
        <v>255</v>
      </c>
      <c r="I320" s="85" t="s">
        <v>255</v>
      </c>
      <c r="J320" s="85" t="s">
        <v>334</v>
      </c>
      <c r="K320" s="85" t="s">
        <v>450</v>
      </c>
      <c r="L320" s="85" t="s">
        <v>335</v>
      </c>
      <c r="M320" s="85" t="s">
        <v>148</v>
      </c>
      <c r="N320" s="85" t="s">
        <v>148</v>
      </c>
      <c r="O320" s="85" t="s">
        <v>153</v>
      </c>
      <c r="P320" s="85" t="s">
        <v>153</v>
      </c>
      <c r="Q320" s="85" t="s">
        <v>1141</v>
      </c>
      <c r="R320" s="85">
        <v>5</v>
      </c>
      <c r="S320" s="85">
        <v>151</v>
      </c>
      <c r="T320" s="2">
        <v>44117</v>
      </c>
      <c r="U320" s="2">
        <v>44154</v>
      </c>
    </row>
    <row r="321" spans="1:21" x14ac:dyDescent="0.2">
      <c r="A321" s="3" t="str">
        <f>HYPERLINK("http://www.ofsted.gov.uk/inspection-reports/find-inspection-report/provider/ELS/142429 ","Ofsted School Webpage")</f>
        <v>Ofsted School Webpage</v>
      </c>
      <c r="B321" s="85">
        <v>142429</v>
      </c>
      <c r="C321" s="85">
        <v>8863140</v>
      </c>
      <c r="D321" s="85" t="s">
        <v>1142</v>
      </c>
      <c r="E321" s="85" t="s">
        <v>81</v>
      </c>
      <c r="F321" s="85" t="s">
        <v>400</v>
      </c>
      <c r="G321" s="2">
        <v>42309</v>
      </c>
      <c r="H321" s="85" t="s">
        <v>255</v>
      </c>
      <c r="I321" s="85" t="s">
        <v>256</v>
      </c>
      <c r="J321" s="85" t="s">
        <v>342</v>
      </c>
      <c r="K321" s="85" t="s">
        <v>257</v>
      </c>
      <c r="L321" s="85" t="s">
        <v>335</v>
      </c>
      <c r="M321" s="85" t="s">
        <v>169</v>
      </c>
      <c r="N321" s="85" t="s">
        <v>169</v>
      </c>
      <c r="O321" s="85" t="s">
        <v>171</v>
      </c>
      <c r="P321" s="85" t="s">
        <v>719</v>
      </c>
      <c r="Q321" s="85" t="s">
        <v>1143</v>
      </c>
      <c r="R321" s="85">
        <v>2</v>
      </c>
      <c r="S321" s="85">
        <v>421</v>
      </c>
      <c r="T321" s="2">
        <v>44117</v>
      </c>
      <c r="U321" s="2">
        <v>44160</v>
      </c>
    </row>
    <row r="322" spans="1:21" x14ac:dyDescent="0.2">
      <c r="A322" s="3" t="str">
        <f>HYPERLINK("http://www.ofsted.gov.uk/inspection-reports/find-inspection-report/provider/ELS/138266 ","Ofsted School Webpage")</f>
        <v>Ofsted School Webpage</v>
      </c>
      <c r="B322" s="85">
        <v>138266</v>
      </c>
      <c r="C322" s="85">
        <v>3134000</v>
      </c>
      <c r="D322" s="85" t="s">
        <v>1144</v>
      </c>
      <c r="E322" s="85" t="s">
        <v>82</v>
      </c>
      <c r="F322" s="85" t="s">
        <v>454</v>
      </c>
      <c r="G322" s="2">
        <v>41153</v>
      </c>
      <c r="H322" s="85" t="s">
        <v>275</v>
      </c>
      <c r="I322" s="85" t="s">
        <v>276</v>
      </c>
      <c r="J322" s="85" t="s">
        <v>405</v>
      </c>
      <c r="K322" s="85" t="s">
        <v>405</v>
      </c>
      <c r="L322" s="85" t="s">
        <v>258</v>
      </c>
      <c r="M322" s="85" t="s">
        <v>107</v>
      </c>
      <c r="N322" s="85" t="s">
        <v>107</v>
      </c>
      <c r="O322" s="85" t="s">
        <v>114</v>
      </c>
      <c r="P322" s="85" t="s">
        <v>393</v>
      </c>
      <c r="Q322" s="85" t="s">
        <v>1145</v>
      </c>
      <c r="R322" s="85">
        <v>4</v>
      </c>
      <c r="S322" s="85">
        <v>878</v>
      </c>
      <c r="T322" s="2">
        <v>44117</v>
      </c>
      <c r="U322" s="2">
        <v>44158</v>
      </c>
    </row>
    <row r="323" spans="1:21" x14ac:dyDescent="0.2">
      <c r="A323" s="3" t="str">
        <f>HYPERLINK("http://www.ofsted.gov.uk/inspection-reports/find-inspection-report/provider/ELS/139060 ","Ofsted School Webpage")</f>
        <v>Ofsted School Webpage</v>
      </c>
      <c r="B323" s="85">
        <v>139060</v>
      </c>
      <c r="C323" s="85">
        <v>9284009</v>
      </c>
      <c r="D323" s="85" t="s">
        <v>1146</v>
      </c>
      <c r="E323" s="85" t="s">
        <v>82</v>
      </c>
      <c r="F323" s="85" t="s">
        <v>404</v>
      </c>
      <c r="G323" s="2">
        <v>41275</v>
      </c>
      <c r="H323" s="85" t="s">
        <v>275</v>
      </c>
      <c r="I323" s="85" t="s">
        <v>276</v>
      </c>
      <c r="J323" s="85" t="s">
        <v>405</v>
      </c>
      <c r="K323" s="85" t="s">
        <v>405</v>
      </c>
      <c r="L323" s="85" t="s">
        <v>258</v>
      </c>
      <c r="M323" s="85" t="s">
        <v>85</v>
      </c>
      <c r="N323" s="85" t="s">
        <v>85</v>
      </c>
      <c r="O323" s="85" t="s">
        <v>92</v>
      </c>
      <c r="P323" s="85" t="s">
        <v>531</v>
      </c>
      <c r="Q323" s="85" t="s">
        <v>1147</v>
      </c>
      <c r="R323" s="85">
        <v>4</v>
      </c>
      <c r="S323" s="85">
        <v>884</v>
      </c>
      <c r="T323" s="2">
        <v>44117</v>
      </c>
      <c r="U323" s="2">
        <v>44154</v>
      </c>
    </row>
    <row r="324" spans="1:21" x14ac:dyDescent="0.2">
      <c r="A324" s="3" t="str">
        <f>HYPERLINK("http://www.ofsted.gov.uk/inspection-reports/find-inspection-report/provider/ELS/142802 ","Ofsted School Webpage")</f>
        <v>Ofsted School Webpage</v>
      </c>
      <c r="B324" s="85">
        <v>142802</v>
      </c>
      <c r="C324" s="85">
        <v>8782031</v>
      </c>
      <c r="D324" s="85" t="s">
        <v>1148</v>
      </c>
      <c r="E324" s="85" t="s">
        <v>81</v>
      </c>
      <c r="F324" s="85" t="s">
        <v>400</v>
      </c>
      <c r="G324" s="2">
        <v>42522</v>
      </c>
      <c r="H324" s="85" t="s">
        <v>255</v>
      </c>
      <c r="I324" s="85" t="s">
        <v>256</v>
      </c>
      <c r="J324" s="85" t="s">
        <v>257</v>
      </c>
      <c r="K324" s="85" t="s">
        <v>257</v>
      </c>
      <c r="L324" s="85" t="s">
        <v>258</v>
      </c>
      <c r="M324" s="85" t="s">
        <v>188</v>
      </c>
      <c r="N324" s="85" t="s">
        <v>188</v>
      </c>
      <c r="O324" s="85" t="s">
        <v>197</v>
      </c>
      <c r="P324" s="85" t="s">
        <v>495</v>
      </c>
      <c r="Q324" s="85" t="s">
        <v>1149</v>
      </c>
      <c r="R324" s="85">
        <v>4</v>
      </c>
      <c r="S324" s="85">
        <v>224</v>
      </c>
      <c r="T324" s="2">
        <v>44117</v>
      </c>
      <c r="U324" s="2">
        <v>44153</v>
      </c>
    </row>
    <row r="325" spans="1:21" x14ac:dyDescent="0.2">
      <c r="A325" s="3" t="str">
        <f>HYPERLINK("http://www.ofsted.gov.uk/inspection-reports/find-inspection-report/provider/ELS/104692 ","Ofsted School Webpage")</f>
        <v>Ofsted School Webpage</v>
      </c>
      <c r="B325" s="85">
        <v>104692</v>
      </c>
      <c r="C325" s="85">
        <v>3414420</v>
      </c>
      <c r="D325" s="85" t="s">
        <v>1150</v>
      </c>
      <c r="E325" s="85" t="s">
        <v>82</v>
      </c>
      <c r="F325" s="85" t="s">
        <v>254</v>
      </c>
      <c r="G325" s="85" t="s">
        <v>262</v>
      </c>
      <c r="H325" s="85" t="s">
        <v>275</v>
      </c>
      <c r="I325" s="85" t="s">
        <v>256</v>
      </c>
      <c r="J325" s="85" t="s">
        <v>257</v>
      </c>
      <c r="K325" s="85" t="s">
        <v>257</v>
      </c>
      <c r="L325" s="85" t="s">
        <v>258</v>
      </c>
      <c r="M325" s="85" t="s">
        <v>148</v>
      </c>
      <c r="N325" s="85" t="s">
        <v>148</v>
      </c>
      <c r="O325" s="85" t="s">
        <v>150</v>
      </c>
      <c r="P325" s="85" t="s">
        <v>1151</v>
      </c>
      <c r="Q325" s="85" t="s">
        <v>1152</v>
      </c>
      <c r="R325" s="85">
        <v>5</v>
      </c>
      <c r="S325" s="85">
        <v>817</v>
      </c>
      <c r="T325" s="2">
        <v>44117</v>
      </c>
      <c r="U325" s="2">
        <v>44153</v>
      </c>
    </row>
    <row r="326" spans="1:21" x14ac:dyDescent="0.2">
      <c r="A326" s="3" t="str">
        <f>HYPERLINK("http://www.ofsted.gov.uk/inspection-reports/find-inspection-report/provider/ELS/109116 ","Ofsted School Webpage")</f>
        <v>Ofsted School Webpage</v>
      </c>
      <c r="B326" s="85">
        <v>109116</v>
      </c>
      <c r="C326" s="85">
        <v>8012312</v>
      </c>
      <c r="D326" s="85" t="s">
        <v>1153</v>
      </c>
      <c r="E326" s="85" t="s">
        <v>81</v>
      </c>
      <c r="F326" s="85" t="s">
        <v>254</v>
      </c>
      <c r="G326" s="85" t="s">
        <v>262</v>
      </c>
      <c r="H326" s="85" t="s">
        <v>255</v>
      </c>
      <c r="I326" s="85" t="s">
        <v>256</v>
      </c>
      <c r="J326" s="85" t="s">
        <v>257</v>
      </c>
      <c r="K326" s="85" t="s">
        <v>257</v>
      </c>
      <c r="L326" s="85" t="s">
        <v>258</v>
      </c>
      <c r="M326" s="85" t="s">
        <v>188</v>
      </c>
      <c r="N326" s="85" t="s">
        <v>188</v>
      </c>
      <c r="O326" s="85" t="s">
        <v>189</v>
      </c>
      <c r="P326" s="85" t="s">
        <v>1154</v>
      </c>
      <c r="Q326" s="85" t="s">
        <v>1155</v>
      </c>
      <c r="R326" s="85">
        <v>1</v>
      </c>
      <c r="S326" s="85">
        <v>819</v>
      </c>
      <c r="T326" s="2">
        <v>44117</v>
      </c>
      <c r="U326" s="2">
        <v>44151</v>
      </c>
    </row>
    <row r="327" spans="1:21" x14ac:dyDescent="0.2">
      <c r="A327" s="3" t="str">
        <f>HYPERLINK("http://www.ofsted.gov.uk/inspection-reports/find-inspection-report/provider/ELS/112575 ","Ofsted School Webpage")</f>
        <v>Ofsted School Webpage</v>
      </c>
      <c r="B327" s="85">
        <v>112575</v>
      </c>
      <c r="C327" s="85">
        <v>8302146</v>
      </c>
      <c r="D327" s="85" t="s">
        <v>1156</v>
      </c>
      <c r="E327" s="85" t="s">
        <v>81</v>
      </c>
      <c r="F327" s="85" t="s">
        <v>254</v>
      </c>
      <c r="G327" s="85" t="s">
        <v>262</v>
      </c>
      <c r="H327" s="85" t="s">
        <v>255</v>
      </c>
      <c r="I327" s="85" t="s">
        <v>256</v>
      </c>
      <c r="J327" s="85" t="s">
        <v>257</v>
      </c>
      <c r="K327" s="85" t="s">
        <v>257</v>
      </c>
      <c r="L327" s="85" t="s">
        <v>258</v>
      </c>
      <c r="M327" s="85" t="s">
        <v>85</v>
      </c>
      <c r="N327" s="85" t="s">
        <v>85</v>
      </c>
      <c r="O327" s="85" t="s">
        <v>86</v>
      </c>
      <c r="P327" s="85" t="s">
        <v>714</v>
      </c>
      <c r="Q327" s="85" t="s">
        <v>1157</v>
      </c>
      <c r="R327" s="85">
        <v>4</v>
      </c>
      <c r="S327" s="85">
        <v>330</v>
      </c>
      <c r="T327" s="2">
        <v>44117</v>
      </c>
      <c r="U327" s="2">
        <v>44158</v>
      </c>
    </row>
    <row r="328" spans="1:21" x14ac:dyDescent="0.2">
      <c r="A328" s="3" t="str">
        <f>HYPERLINK("http://www.ofsted.gov.uk/inspection-reports/find-inspection-report/provider/ELS/101243 ","Ofsted School Webpage")</f>
        <v>Ofsted School Webpage</v>
      </c>
      <c r="B328" s="85">
        <v>101243</v>
      </c>
      <c r="C328" s="85">
        <v>3014023</v>
      </c>
      <c r="D328" s="85" t="s">
        <v>1158</v>
      </c>
      <c r="E328" s="85" t="s">
        <v>82</v>
      </c>
      <c r="F328" s="85" t="s">
        <v>254</v>
      </c>
      <c r="G328" s="85" t="s">
        <v>262</v>
      </c>
      <c r="H328" s="85" t="s">
        <v>275</v>
      </c>
      <c r="I328" s="85" t="s">
        <v>276</v>
      </c>
      <c r="J328" s="85" t="s">
        <v>257</v>
      </c>
      <c r="K328" s="85" t="s">
        <v>257</v>
      </c>
      <c r="L328" s="85" t="s">
        <v>258</v>
      </c>
      <c r="M328" s="85" t="s">
        <v>107</v>
      </c>
      <c r="N328" s="85" t="s">
        <v>107</v>
      </c>
      <c r="O328" s="85" t="s">
        <v>125</v>
      </c>
      <c r="P328" s="85" t="s">
        <v>465</v>
      </c>
      <c r="Q328" s="85" t="s">
        <v>1159</v>
      </c>
      <c r="R328" s="85">
        <v>4</v>
      </c>
      <c r="S328" s="85">
        <v>1190</v>
      </c>
      <c r="T328" s="2">
        <v>44117</v>
      </c>
      <c r="U328" s="2">
        <v>44158</v>
      </c>
    </row>
    <row r="329" spans="1:21" x14ac:dyDescent="0.2">
      <c r="A329" s="3" t="str">
        <f>HYPERLINK("http://www.ofsted.gov.uk/inspection-reports/find-inspection-report/provider/ELS/117361 ","Ofsted School Webpage")</f>
        <v>Ofsted School Webpage</v>
      </c>
      <c r="B329" s="85">
        <v>117361</v>
      </c>
      <c r="C329" s="85">
        <v>9192462</v>
      </c>
      <c r="D329" s="85" t="s">
        <v>1160</v>
      </c>
      <c r="E329" s="85" t="s">
        <v>81</v>
      </c>
      <c r="F329" s="85" t="s">
        <v>254</v>
      </c>
      <c r="G329" s="85" t="s">
        <v>262</v>
      </c>
      <c r="H329" s="85" t="s">
        <v>255</v>
      </c>
      <c r="I329" s="85" t="s">
        <v>256</v>
      </c>
      <c r="J329" s="85" t="s">
        <v>257</v>
      </c>
      <c r="K329" s="85" t="s">
        <v>257</v>
      </c>
      <c r="L329" s="85" t="s">
        <v>258</v>
      </c>
      <c r="M329" s="85" t="s">
        <v>95</v>
      </c>
      <c r="N329" s="85" t="s">
        <v>95</v>
      </c>
      <c r="O329" s="85" t="s">
        <v>102</v>
      </c>
      <c r="P329" s="85" t="s">
        <v>1161</v>
      </c>
      <c r="Q329" s="85" t="s">
        <v>1162</v>
      </c>
      <c r="R329" s="85">
        <v>1</v>
      </c>
      <c r="S329" s="85">
        <v>462</v>
      </c>
      <c r="T329" s="2">
        <v>44117</v>
      </c>
      <c r="U329" s="2">
        <v>44146</v>
      </c>
    </row>
    <row r="330" spans="1:21" x14ac:dyDescent="0.2">
      <c r="A330" s="3" t="str">
        <f>HYPERLINK("http://www.ofsted.gov.uk/inspection-reports/find-inspection-report/provider/ELS/103168 ","Ofsted School Webpage")</f>
        <v>Ofsted School Webpage</v>
      </c>
      <c r="B330" s="85">
        <v>103168</v>
      </c>
      <c r="C330" s="85">
        <v>3302024</v>
      </c>
      <c r="D330" s="85" t="s">
        <v>1163</v>
      </c>
      <c r="E330" s="85" t="s">
        <v>81</v>
      </c>
      <c r="F330" s="85" t="s">
        <v>254</v>
      </c>
      <c r="G330" s="85" t="s">
        <v>262</v>
      </c>
      <c r="H330" s="85" t="s">
        <v>255</v>
      </c>
      <c r="I330" s="85" t="s">
        <v>255</v>
      </c>
      <c r="J330" s="85" t="s">
        <v>257</v>
      </c>
      <c r="K330" s="85" t="s">
        <v>257</v>
      </c>
      <c r="L330" s="85" t="s">
        <v>258</v>
      </c>
      <c r="M330" s="85" t="s">
        <v>203</v>
      </c>
      <c r="N330" s="85" t="s">
        <v>203</v>
      </c>
      <c r="O330" s="85" t="s">
        <v>209</v>
      </c>
      <c r="P330" s="85" t="s">
        <v>303</v>
      </c>
      <c r="Q330" s="85" t="s">
        <v>1164</v>
      </c>
      <c r="R330" s="85">
        <v>5</v>
      </c>
      <c r="S330" s="85">
        <v>217</v>
      </c>
      <c r="T330" s="2">
        <v>44117</v>
      </c>
      <c r="U330" s="2">
        <v>44146</v>
      </c>
    </row>
    <row r="331" spans="1:21" x14ac:dyDescent="0.2">
      <c r="A331" s="3" t="str">
        <f>HYPERLINK("http://www.ofsted.gov.uk/inspection-reports/find-inspection-report/provider/ELS/131706 ","Ofsted School Webpage")</f>
        <v>Ofsted School Webpage</v>
      </c>
      <c r="B331" s="85">
        <v>131706</v>
      </c>
      <c r="C331" s="85">
        <v>2042899</v>
      </c>
      <c r="D331" s="85" t="s">
        <v>1165</v>
      </c>
      <c r="E331" s="85" t="s">
        <v>81</v>
      </c>
      <c r="F331" s="85" t="s">
        <v>254</v>
      </c>
      <c r="G331" s="2">
        <v>36404</v>
      </c>
      <c r="H331" s="85" t="s">
        <v>255</v>
      </c>
      <c r="I331" s="85" t="s">
        <v>256</v>
      </c>
      <c r="J331" s="85" t="s">
        <v>257</v>
      </c>
      <c r="K331" s="85" t="s">
        <v>257</v>
      </c>
      <c r="L331" s="85" t="s">
        <v>258</v>
      </c>
      <c r="M331" s="85" t="s">
        <v>107</v>
      </c>
      <c r="N331" s="85" t="s">
        <v>107</v>
      </c>
      <c r="O331" s="85" t="s">
        <v>111</v>
      </c>
      <c r="P331" s="85" t="s">
        <v>297</v>
      </c>
      <c r="Q331" s="85" t="s">
        <v>1166</v>
      </c>
      <c r="R331" s="85">
        <v>4</v>
      </c>
      <c r="S331" s="85">
        <v>446</v>
      </c>
      <c r="T331" s="2">
        <v>44117</v>
      </c>
      <c r="U331" s="2">
        <v>44160</v>
      </c>
    </row>
    <row r="332" spans="1:21" x14ac:dyDescent="0.2">
      <c r="A332" s="3" t="str">
        <f>HYPERLINK("http://www.ofsted.gov.uk/inspection-reports/find-inspection-report/provider/ELS/123672 ","Ofsted School Webpage")</f>
        <v>Ofsted School Webpage</v>
      </c>
      <c r="B332" s="85">
        <v>123672</v>
      </c>
      <c r="C332" s="85">
        <v>9332106</v>
      </c>
      <c r="D332" s="85" t="s">
        <v>1167</v>
      </c>
      <c r="E332" s="85" t="s">
        <v>81</v>
      </c>
      <c r="F332" s="85" t="s">
        <v>254</v>
      </c>
      <c r="G332" s="85" t="s">
        <v>262</v>
      </c>
      <c r="H332" s="85" t="s">
        <v>255</v>
      </c>
      <c r="I332" s="85" t="s">
        <v>256</v>
      </c>
      <c r="J332" s="85" t="s">
        <v>257</v>
      </c>
      <c r="K332" s="85" t="s">
        <v>257</v>
      </c>
      <c r="L332" s="85" t="s">
        <v>258</v>
      </c>
      <c r="M332" s="85" t="s">
        <v>188</v>
      </c>
      <c r="N332" s="85" t="s">
        <v>188</v>
      </c>
      <c r="O332" s="85" t="s">
        <v>195</v>
      </c>
      <c r="P332" s="85" t="s">
        <v>506</v>
      </c>
      <c r="Q332" s="85" t="s">
        <v>1168</v>
      </c>
      <c r="R332" s="85">
        <v>4</v>
      </c>
      <c r="S332" s="85">
        <v>108</v>
      </c>
      <c r="T332" s="2">
        <v>44117</v>
      </c>
      <c r="U332" s="2">
        <v>44153</v>
      </c>
    </row>
    <row r="333" spans="1:21" x14ac:dyDescent="0.2">
      <c r="A333" s="3" t="str">
        <f>HYPERLINK("http://www.ofsted.gov.uk/inspection-reports/find-inspection-report/provider/ELS/112162 ","Ofsted School Webpage")</f>
        <v>Ofsted School Webpage</v>
      </c>
      <c r="B333" s="85">
        <v>112162</v>
      </c>
      <c r="C333" s="85">
        <v>9092223</v>
      </c>
      <c r="D333" s="85" t="s">
        <v>1169</v>
      </c>
      <c r="E333" s="85" t="s">
        <v>81</v>
      </c>
      <c r="F333" s="85" t="s">
        <v>254</v>
      </c>
      <c r="G333" s="85" t="s">
        <v>262</v>
      </c>
      <c r="H333" s="85" t="s">
        <v>255</v>
      </c>
      <c r="I333" s="85" t="s">
        <v>256</v>
      </c>
      <c r="J333" s="85" t="s">
        <v>257</v>
      </c>
      <c r="K333" s="85" t="s">
        <v>257</v>
      </c>
      <c r="L333" s="85" t="s">
        <v>258</v>
      </c>
      <c r="M333" s="85" t="s">
        <v>148</v>
      </c>
      <c r="N333" s="85" t="s">
        <v>148</v>
      </c>
      <c r="O333" s="85" t="s">
        <v>156</v>
      </c>
      <c r="P333" s="85" t="s">
        <v>379</v>
      </c>
      <c r="Q333" s="85" t="s">
        <v>1170</v>
      </c>
      <c r="R333" s="85">
        <v>2</v>
      </c>
      <c r="S333" s="85">
        <v>123</v>
      </c>
      <c r="T333" s="2">
        <v>44117</v>
      </c>
      <c r="U333" s="2">
        <v>44158</v>
      </c>
    </row>
    <row r="334" spans="1:21" x14ac:dyDescent="0.2">
      <c r="A334" s="3" t="str">
        <f>HYPERLINK("http://www.ofsted.gov.uk/inspection-reports/find-inspection-report/provider/ELS/125049 ","Ofsted School Webpage")</f>
        <v>Ofsted School Webpage</v>
      </c>
      <c r="B334" s="85">
        <v>125049</v>
      </c>
      <c r="C334" s="85">
        <v>9362409</v>
      </c>
      <c r="D334" s="85" t="s">
        <v>1171</v>
      </c>
      <c r="E334" s="85" t="s">
        <v>81</v>
      </c>
      <c r="F334" s="85" t="s">
        <v>382</v>
      </c>
      <c r="G334" s="85" t="s">
        <v>262</v>
      </c>
      <c r="H334" s="85" t="s">
        <v>255</v>
      </c>
      <c r="I334" s="85" t="s">
        <v>256</v>
      </c>
      <c r="J334" s="85" t="s">
        <v>257</v>
      </c>
      <c r="K334" s="85" t="s">
        <v>257</v>
      </c>
      <c r="L334" s="85" t="s">
        <v>258</v>
      </c>
      <c r="M334" s="85" t="s">
        <v>169</v>
      </c>
      <c r="N334" s="85" t="s">
        <v>169</v>
      </c>
      <c r="O334" s="85" t="s">
        <v>175</v>
      </c>
      <c r="P334" s="85" t="s">
        <v>343</v>
      </c>
      <c r="Q334" s="85" t="s">
        <v>1172</v>
      </c>
      <c r="R334" s="85">
        <v>1</v>
      </c>
      <c r="S334" s="85">
        <v>174</v>
      </c>
      <c r="T334" s="2">
        <v>44117</v>
      </c>
      <c r="U334" s="2">
        <v>44146</v>
      </c>
    </row>
    <row r="335" spans="1:21" x14ac:dyDescent="0.2">
      <c r="A335" s="3" t="str">
        <f>HYPERLINK("http://www.ofsted.gov.uk/inspection-reports/find-inspection-report/provider/ELS/100967 ","Ofsted School Webpage")</f>
        <v>Ofsted School Webpage</v>
      </c>
      <c r="B335" s="85">
        <v>100967</v>
      </c>
      <c r="C335" s="85">
        <v>2114150</v>
      </c>
      <c r="D335" s="85" t="s">
        <v>1173</v>
      </c>
      <c r="E335" s="85" t="s">
        <v>82</v>
      </c>
      <c r="F335" s="85" t="s">
        <v>254</v>
      </c>
      <c r="G335" s="85" t="s">
        <v>262</v>
      </c>
      <c r="H335" s="85" t="s">
        <v>275</v>
      </c>
      <c r="I335" s="85" t="s">
        <v>276</v>
      </c>
      <c r="J335" s="85" t="s">
        <v>257</v>
      </c>
      <c r="K335" s="85" t="s">
        <v>257</v>
      </c>
      <c r="L335" s="85" t="s">
        <v>258</v>
      </c>
      <c r="M335" s="85" t="s">
        <v>107</v>
      </c>
      <c r="N335" s="85" t="s">
        <v>107</v>
      </c>
      <c r="O335" s="85" t="s">
        <v>126</v>
      </c>
      <c r="P335" s="85" t="s">
        <v>1174</v>
      </c>
      <c r="Q335" s="85" t="s">
        <v>1175</v>
      </c>
      <c r="R335" s="85">
        <v>5</v>
      </c>
      <c r="S335" s="85">
        <v>1522</v>
      </c>
      <c r="T335" s="2">
        <v>44117</v>
      </c>
      <c r="U335" s="2">
        <v>44154</v>
      </c>
    </row>
    <row r="336" spans="1:21" x14ac:dyDescent="0.2">
      <c r="A336" s="3" t="str">
        <f>HYPERLINK("http://www.ofsted.gov.uk/inspection-reports/find-inspection-report/provider/ELS/118044 ","Ofsted School Webpage")</f>
        <v>Ofsted School Webpage</v>
      </c>
      <c r="B336" s="85">
        <v>118044</v>
      </c>
      <c r="C336" s="85">
        <v>8113331</v>
      </c>
      <c r="D336" s="85" t="s">
        <v>1176</v>
      </c>
      <c r="E336" s="85" t="s">
        <v>81</v>
      </c>
      <c r="F336" s="85" t="s">
        <v>333</v>
      </c>
      <c r="G336" s="85" t="s">
        <v>262</v>
      </c>
      <c r="H336" s="85" t="s">
        <v>255</v>
      </c>
      <c r="I336" s="85" t="s">
        <v>256</v>
      </c>
      <c r="J336" s="85" t="s">
        <v>342</v>
      </c>
      <c r="K336" s="85" t="s">
        <v>257</v>
      </c>
      <c r="L336" s="85" t="s">
        <v>335</v>
      </c>
      <c r="M336" s="85" t="s">
        <v>236</v>
      </c>
      <c r="N336" s="85" t="s">
        <v>218</v>
      </c>
      <c r="O336" s="85" t="s">
        <v>220</v>
      </c>
      <c r="P336" s="85" t="s">
        <v>1177</v>
      </c>
      <c r="Q336" s="85" t="s">
        <v>1178</v>
      </c>
      <c r="R336" s="85">
        <v>2</v>
      </c>
      <c r="S336" s="85">
        <v>108</v>
      </c>
      <c r="T336" s="2">
        <v>44117</v>
      </c>
      <c r="U336" s="2">
        <v>44153</v>
      </c>
    </row>
    <row r="337" spans="1:21" x14ac:dyDescent="0.2">
      <c r="A337" s="3" t="str">
        <f>HYPERLINK("http://www.ofsted.gov.uk/inspection-reports/find-inspection-report/provider/ELS/134009 ","Ofsted School Webpage")</f>
        <v>Ofsted School Webpage</v>
      </c>
      <c r="B337" s="85">
        <v>134009</v>
      </c>
      <c r="C337" s="85">
        <v>2053649</v>
      </c>
      <c r="D337" s="85" t="s">
        <v>1179</v>
      </c>
      <c r="E337" s="85" t="s">
        <v>81</v>
      </c>
      <c r="F337" s="85" t="s">
        <v>333</v>
      </c>
      <c r="G337" s="2">
        <v>37500</v>
      </c>
      <c r="H337" s="85" t="s">
        <v>255</v>
      </c>
      <c r="I337" s="85" t="s">
        <v>256</v>
      </c>
      <c r="J337" s="85" t="s">
        <v>334</v>
      </c>
      <c r="K337" s="85" t="s">
        <v>257</v>
      </c>
      <c r="L337" s="85" t="s">
        <v>335</v>
      </c>
      <c r="M337" s="85" t="s">
        <v>107</v>
      </c>
      <c r="N337" s="85" t="s">
        <v>107</v>
      </c>
      <c r="O337" s="85" t="s">
        <v>122</v>
      </c>
      <c r="P337" s="85" t="s">
        <v>830</v>
      </c>
      <c r="Q337" s="85" t="s">
        <v>1180</v>
      </c>
      <c r="R337" s="85">
        <v>3</v>
      </c>
      <c r="S337" s="85">
        <v>440</v>
      </c>
      <c r="T337" s="2">
        <v>44117</v>
      </c>
      <c r="U337" s="2">
        <v>44158</v>
      </c>
    </row>
    <row r="338" spans="1:21" x14ac:dyDescent="0.2">
      <c r="A338" s="3" t="str">
        <f>HYPERLINK("http://www.ofsted.gov.uk/inspection-reports/find-inspection-report/provider/ELS/111057 ","Ofsted School Webpage")</f>
        <v>Ofsted School Webpage</v>
      </c>
      <c r="B338" s="85">
        <v>111057</v>
      </c>
      <c r="C338" s="85">
        <v>8962191</v>
      </c>
      <c r="D338" s="85" t="s">
        <v>1181</v>
      </c>
      <c r="E338" s="85" t="s">
        <v>81</v>
      </c>
      <c r="F338" s="85" t="s">
        <v>254</v>
      </c>
      <c r="G338" s="85" t="s">
        <v>262</v>
      </c>
      <c r="H338" s="85" t="s">
        <v>255</v>
      </c>
      <c r="I338" s="85" t="s">
        <v>256</v>
      </c>
      <c r="J338" s="85" t="s">
        <v>257</v>
      </c>
      <c r="K338" s="85" t="s">
        <v>257</v>
      </c>
      <c r="L338" s="85" t="s">
        <v>258</v>
      </c>
      <c r="M338" s="85" t="s">
        <v>148</v>
      </c>
      <c r="N338" s="85" t="s">
        <v>148</v>
      </c>
      <c r="O338" s="85" t="s">
        <v>155</v>
      </c>
      <c r="P338" s="85" t="s">
        <v>1182</v>
      </c>
      <c r="Q338" s="85" t="s">
        <v>1183</v>
      </c>
      <c r="R338" s="85">
        <v>4</v>
      </c>
      <c r="S338" s="85">
        <v>563</v>
      </c>
      <c r="T338" s="2">
        <v>44117</v>
      </c>
      <c r="U338" s="2">
        <v>44154</v>
      </c>
    </row>
    <row r="339" spans="1:21" x14ac:dyDescent="0.2">
      <c r="A339" s="3" t="str">
        <f>HYPERLINK("http://www.ofsted.gov.uk/inspection-reports/find-inspection-report/provider/ELS/103809 ","Ofsted School Webpage")</f>
        <v>Ofsted School Webpage</v>
      </c>
      <c r="B339" s="85">
        <v>103809</v>
      </c>
      <c r="C339" s="85">
        <v>3322126</v>
      </c>
      <c r="D339" s="85" t="s">
        <v>1184</v>
      </c>
      <c r="E339" s="85" t="s">
        <v>81</v>
      </c>
      <c r="F339" s="85" t="s">
        <v>254</v>
      </c>
      <c r="G339" s="85" t="s">
        <v>262</v>
      </c>
      <c r="H339" s="85" t="s">
        <v>255</v>
      </c>
      <c r="I339" s="85" t="s">
        <v>256</v>
      </c>
      <c r="J339" s="85" t="s">
        <v>257</v>
      </c>
      <c r="K339" s="85" t="s">
        <v>257</v>
      </c>
      <c r="L339" s="85" t="s">
        <v>258</v>
      </c>
      <c r="M339" s="85" t="s">
        <v>203</v>
      </c>
      <c r="N339" s="85" t="s">
        <v>203</v>
      </c>
      <c r="O339" s="85" t="s">
        <v>217</v>
      </c>
      <c r="P339" s="85" t="s">
        <v>1185</v>
      </c>
      <c r="Q339" s="85" t="s">
        <v>1186</v>
      </c>
      <c r="R339" s="85">
        <v>3</v>
      </c>
      <c r="S339" s="85">
        <v>413</v>
      </c>
      <c r="T339" s="2">
        <v>44117</v>
      </c>
      <c r="U339" s="2">
        <v>44150</v>
      </c>
    </row>
    <row r="340" spans="1:21" x14ac:dyDescent="0.2">
      <c r="A340" s="3" t="str">
        <f>HYPERLINK("http://www.ofsted.gov.uk/inspection-reports/find-inspection-report/provider/ELS/135077 ","Ofsted School Webpage")</f>
        <v>Ofsted School Webpage</v>
      </c>
      <c r="B340" s="85">
        <v>135077</v>
      </c>
      <c r="C340" s="85">
        <v>8113509</v>
      </c>
      <c r="D340" s="85" t="s">
        <v>1187</v>
      </c>
      <c r="E340" s="85" t="s">
        <v>81</v>
      </c>
      <c r="F340" s="85" t="s">
        <v>254</v>
      </c>
      <c r="G340" s="2">
        <v>39326</v>
      </c>
      <c r="H340" s="85" t="s">
        <v>255</v>
      </c>
      <c r="I340" s="85" t="s">
        <v>256</v>
      </c>
      <c r="J340" s="85" t="s">
        <v>257</v>
      </c>
      <c r="K340" s="85" t="s">
        <v>257</v>
      </c>
      <c r="L340" s="85" t="s">
        <v>258</v>
      </c>
      <c r="M340" s="85" t="s">
        <v>236</v>
      </c>
      <c r="N340" s="85" t="s">
        <v>218</v>
      </c>
      <c r="O340" s="85" t="s">
        <v>220</v>
      </c>
      <c r="P340" s="85" t="s">
        <v>1188</v>
      </c>
      <c r="Q340" s="85" t="s">
        <v>1189</v>
      </c>
      <c r="R340" s="85">
        <v>1</v>
      </c>
      <c r="S340" s="85">
        <v>215</v>
      </c>
      <c r="T340" s="2">
        <v>44117</v>
      </c>
      <c r="U340" s="2">
        <v>44147</v>
      </c>
    </row>
    <row r="341" spans="1:21" x14ac:dyDescent="0.2">
      <c r="A341" s="3" t="str">
        <f>HYPERLINK("http://www.ofsted.gov.uk/inspection-reports/find-inspection-report/provider/ELS/120230 ","Ofsted School Webpage")</f>
        <v>Ofsted School Webpage</v>
      </c>
      <c r="B341" s="85">
        <v>120230</v>
      </c>
      <c r="C341" s="85">
        <v>8563431</v>
      </c>
      <c r="D341" s="85" t="s">
        <v>1190</v>
      </c>
      <c r="E341" s="85" t="s">
        <v>81</v>
      </c>
      <c r="F341" s="85" t="s">
        <v>333</v>
      </c>
      <c r="G341" s="85" t="s">
        <v>262</v>
      </c>
      <c r="H341" s="85" t="s">
        <v>255</v>
      </c>
      <c r="I341" s="85" t="s">
        <v>256</v>
      </c>
      <c r="J341" s="85" t="s">
        <v>342</v>
      </c>
      <c r="K341" s="85" t="s">
        <v>257</v>
      </c>
      <c r="L341" s="85" t="s">
        <v>335</v>
      </c>
      <c r="M341" s="85" t="s">
        <v>85</v>
      </c>
      <c r="N341" s="85" t="s">
        <v>85</v>
      </c>
      <c r="O341" s="85" t="s">
        <v>87</v>
      </c>
      <c r="P341" s="85" t="s">
        <v>1191</v>
      </c>
      <c r="Q341" s="85" t="s">
        <v>1192</v>
      </c>
      <c r="R341" s="85">
        <v>3</v>
      </c>
      <c r="S341" s="85">
        <v>545</v>
      </c>
      <c r="T341" s="2">
        <v>44117</v>
      </c>
      <c r="U341" s="2">
        <v>44153</v>
      </c>
    </row>
    <row r="342" spans="1:21" x14ac:dyDescent="0.2">
      <c r="A342" s="3" t="str">
        <f>HYPERLINK("http://www.ofsted.gov.uk/inspection-reports/find-inspection-report/provider/ELS/133293 ","Ofsted School Webpage")</f>
        <v>Ofsted School Webpage</v>
      </c>
      <c r="B342" s="85">
        <v>133293</v>
      </c>
      <c r="C342" s="85">
        <v>8054000</v>
      </c>
      <c r="D342" s="85" t="s">
        <v>1193</v>
      </c>
      <c r="E342" s="85" t="s">
        <v>82</v>
      </c>
      <c r="F342" s="85" t="s">
        <v>333</v>
      </c>
      <c r="G342" s="2">
        <v>37135</v>
      </c>
      <c r="H342" s="85" t="s">
        <v>275</v>
      </c>
      <c r="I342" s="85" t="s">
        <v>256</v>
      </c>
      <c r="J342" s="85" t="s">
        <v>342</v>
      </c>
      <c r="K342" s="85" t="s">
        <v>257</v>
      </c>
      <c r="L342" s="85" t="s">
        <v>335</v>
      </c>
      <c r="M342" s="85" t="s">
        <v>236</v>
      </c>
      <c r="N342" s="85" t="s">
        <v>135</v>
      </c>
      <c r="O342" s="85" t="s">
        <v>147</v>
      </c>
      <c r="P342" s="85" t="s">
        <v>147</v>
      </c>
      <c r="Q342" s="85" t="s">
        <v>1194</v>
      </c>
      <c r="R342" s="85">
        <v>5</v>
      </c>
      <c r="S342" s="85">
        <v>707</v>
      </c>
      <c r="T342" s="2">
        <v>44117</v>
      </c>
      <c r="U342" s="2">
        <v>44153</v>
      </c>
    </row>
    <row r="343" spans="1:21" x14ac:dyDescent="0.2">
      <c r="A343" s="3" t="str">
        <f>HYPERLINK("http://www.ofsted.gov.uk/inspection-reports/find-inspection-report/provider/ELS/119538 ","Ofsted School Webpage")</f>
        <v>Ofsted School Webpage</v>
      </c>
      <c r="B343" s="85">
        <v>119538</v>
      </c>
      <c r="C343" s="85">
        <v>8883537</v>
      </c>
      <c r="D343" s="85" t="s">
        <v>1195</v>
      </c>
      <c r="E343" s="85" t="s">
        <v>81</v>
      </c>
      <c r="F343" s="85" t="s">
        <v>333</v>
      </c>
      <c r="G343" s="85" t="s">
        <v>262</v>
      </c>
      <c r="H343" s="85" t="s">
        <v>255</v>
      </c>
      <c r="I343" s="85" t="s">
        <v>256</v>
      </c>
      <c r="J343" s="85" t="s">
        <v>342</v>
      </c>
      <c r="K343" s="85" t="s">
        <v>257</v>
      </c>
      <c r="L343" s="85" t="s">
        <v>335</v>
      </c>
      <c r="M343" s="85" t="s">
        <v>148</v>
      </c>
      <c r="N343" s="85" t="s">
        <v>148</v>
      </c>
      <c r="O343" s="85" t="s">
        <v>149</v>
      </c>
      <c r="P343" s="85" t="s">
        <v>953</v>
      </c>
      <c r="Q343" s="85" t="s">
        <v>1196</v>
      </c>
      <c r="R343" s="85">
        <v>5</v>
      </c>
      <c r="S343" s="85">
        <v>179</v>
      </c>
      <c r="T343" s="2">
        <v>44117</v>
      </c>
      <c r="U343" s="2">
        <v>44154</v>
      </c>
    </row>
    <row r="344" spans="1:21" x14ac:dyDescent="0.2">
      <c r="A344" s="3" t="str">
        <f>HYPERLINK("http://www.ofsted.gov.uk/inspection-reports/find-inspection-report/provider/ELS/104672 ","Ofsted School Webpage")</f>
        <v>Ofsted School Webpage</v>
      </c>
      <c r="B344" s="85">
        <v>104672</v>
      </c>
      <c r="C344" s="85">
        <v>3413601</v>
      </c>
      <c r="D344" s="85" t="s">
        <v>1197</v>
      </c>
      <c r="E344" s="85" t="s">
        <v>81</v>
      </c>
      <c r="F344" s="85" t="s">
        <v>333</v>
      </c>
      <c r="G344" s="85" t="s">
        <v>262</v>
      </c>
      <c r="H344" s="85" t="s">
        <v>255</v>
      </c>
      <c r="I344" s="85" t="s">
        <v>256</v>
      </c>
      <c r="J344" s="85" t="s">
        <v>334</v>
      </c>
      <c r="K344" s="85" t="s">
        <v>257</v>
      </c>
      <c r="L344" s="85" t="s">
        <v>335</v>
      </c>
      <c r="M344" s="85" t="s">
        <v>148</v>
      </c>
      <c r="N344" s="85" t="s">
        <v>148</v>
      </c>
      <c r="O344" s="85" t="s">
        <v>150</v>
      </c>
      <c r="P344" s="85" t="s">
        <v>1198</v>
      </c>
      <c r="Q344" s="85" t="s">
        <v>1199</v>
      </c>
      <c r="R344" s="85">
        <v>5</v>
      </c>
      <c r="S344" s="85">
        <v>228</v>
      </c>
      <c r="T344" s="2">
        <v>44117</v>
      </c>
      <c r="U344" s="2">
        <v>44153</v>
      </c>
    </row>
    <row r="345" spans="1:21" x14ac:dyDescent="0.2">
      <c r="A345" s="3" t="str">
        <f>HYPERLINK("http://www.ofsted.gov.uk/inspection-reports/find-inspection-report/provider/ELS/124856 ","Ofsted School Webpage")</f>
        <v>Ofsted School Webpage</v>
      </c>
      <c r="B345" s="85">
        <v>124856</v>
      </c>
      <c r="C345" s="85">
        <v>9354500</v>
      </c>
      <c r="D345" s="85" t="s">
        <v>1200</v>
      </c>
      <c r="E345" s="85" t="s">
        <v>82</v>
      </c>
      <c r="F345" s="85" t="s">
        <v>360</v>
      </c>
      <c r="G345" s="85" t="s">
        <v>262</v>
      </c>
      <c r="H345" s="85" t="s">
        <v>275</v>
      </c>
      <c r="I345" s="85" t="s">
        <v>256</v>
      </c>
      <c r="J345" s="85" t="s">
        <v>342</v>
      </c>
      <c r="K345" s="85" t="s">
        <v>257</v>
      </c>
      <c r="L345" s="85" t="s">
        <v>335</v>
      </c>
      <c r="M345" s="85" t="s">
        <v>95</v>
      </c>
      <c r="N345" s="85" t="s">
        <v>95</v>
      </c>
      <c r="O345" s="85" t="s">
        <v>99</v>
      </c>
      <c r="P345" s="85" t="s">
        <v>921</v>
      </c>
      <c r="Q345" s="85" t="s">
        <v>1201</v>
      </c>
      <c r="R345" s="85">
        <v>2</v>
      </c>
      <c r="S345" s="85">
        <v>1345</v>
      </c>
      <c r="T345" s="2">
        <v>44117</v>
      </c>
      <c r="U345" s="2">
        <v>44158</v>
      </c>
    </row>
    <row r="346" spans="1:21" x14ac:dyDescent="0.2">
      <c r="A346" s="3" t="str">
        <f>HYPERLINK("http://www.ofsted.gov.uk/inspection-reports/find-inspection-report/provider/ELS/115239 ","Ofsted School Webpage")</f>
        <v>Ofsted School Webpage</v>
      </c>
      <c r="B346" s="85">
        <v>115239</v>
      </c>
      <c r="C346" s="85">
        <v>8834733</v>
      </c>
      <c r="D346" s="85" t="s">
        <v>1202</v>
      </c>
      <c r="E346" s="85" t="s">
        <v>82</v>
      </c>
      <c r="F346" s="85" t="s">
        <v>333</v>
      </c>
      <c r="G346" s="85" t="s">
        <v>262</v>
      </c>
      <c r="H346" s="85" t="s">
        <v>275</v>
      </c>
      <c r="I346" s="85" t="s">
        <v>256</v>
      </c>
      <c r="J346" s="85" t="s">
        <v>334</v>
      </c>
      <c r="K346" s="85" t="s">
        <v>257</v>
      </c>
      <c r="L346" s="85" t="s">
        <v>335</v>
      </c>
      <c r="M346" s="85" t="s">
        <v>95</v>
      </c>
      <c r="N346" s="85" t="s">
        <v>95</v>
      </c>
      <c r="O346" s="85" t="s">
        <v>98</v>
      </c>
      <c r="P346" s="85" t="s">
        <v>98</v>
      </c>
      <c r="Q346" s="85" t="s">
        <v>1203</v>
      </c>
      <c r="R346" s="85">
        <v>4</v>
      </c>
      <c r="S346" s="85">
        <v>643</v>
      </c>
      <c r="T346" s="2">
        <v>44117</v>
      </c>
      <c r="U346" s="2">
        <v>44159</v>
      </c>
    </row>
    <row r="347" spans="1:21" x14ac:dyDescent="0.2">
      <c r="A347" s="3" t="str">
        <f>HYPERLINK("http://www.ofsted.gov.uk/inspection-reports/find-inspection-report/provider/ELS/105577 ","Ofsted School Webpage")</f>
        <v>Ofsted School Webpage</v>
      </c>
      <c r="B347" s="85">
        <v>105577</v>
      </c>
      <c r="C347" s="85">
        <v>3524762</v>
      </c>
      <c r="D347" s="85" t="s">
        <v>1204</v>
      </c>
      <c r="E347" s="85" t="s">
        <v>82</v>
      </c>
      <c r="F347" s="85" t="s">
        <v>333</v>
      </c>
      <c r="G347" s="2">
        <v>1</v>
      </c>
      <c r="H347" s="85" t="s">
        <v>275</v>
      </c>
      <c r="I347" s="85" t="s">
        <v>256</v>
      </c>
      <c r="J347" s="85" t="s">
        <v>334</v>
      </c>
      <c r="K347" s="85" t="s">
        <v>257</v>
      </c>
      <c r="L347" s="85" t="s">
        <v>335</v>
      </c>
      <c r="M347" s="85" t="s">
        <v>148</v>
      </c>
      <c r="N347" s="85" t="s">
        <v>148</v>
      </c>
      <c r="O347" s="85" t="s">
        <v>151</v>
      </c>
      <c r="P347" s="85" t="s">
        <v>280</v>
      </c>
      <c r="Q347" s="85" t="s">
        <v>1205</v>
      </c>
      <c r="R347" s="85">
        <v>5</v>
      </c>
      <c r="S347" s="85">
        <v>1295</v>
      </c>
      <c r="T347" s="2">
        <v>44117</v>
      </c>
      <c r="U347" s="2">
        <v>44158</v>
      </c>
    </row>
    <row r="348" spans="1:21" x14ac:dyDescent="0.2">
      <c r="A348" s="3" t="str">
        <f>HYPERLINK("http://www.ofsted.gov.uk/inspection-reports/find-inspection-report/provider/ELS/132185 ","Ofsted School Webpage")</f>
        <v>Ofsted School Webpage</v>
      </c>
      <c r="B348" s="85">
        <v>132185</v>
      </c>
      <c r="C348" s="85">
        <v>3802197</v>
      </c>
      <c r="D348" s="85" t="s">
        <v>1206</v>
      </c>
      <c r="E348" s="85" t="s">
        <v>81</v>
      </c>
      <c r="F348" s="85" t="s">
        <v>254</v>
      </c>
      <c r="G348" s="2">
        <v>36770</v>
      </c>
      <c r="H348" s="85" t="s">
        <v>255</v>
      </c>
      <c r="I348" s="85" t="s">
        <v>256</v>
      </c>
      <c r="J348" s="85" t="s">
        <v>257</v>
      </c>
      <c r="K348" s="85" t="s">
        <v>257</v>
      </c>
      <c r="L348" s="85" t="s">
        <v>258</v>
      </c>
      <c r="M348" s="85" t="s">
        <v>236</v>
      </c>
      <c r="N348" s="85" t="s">
        <v>218</v>
      </c>
      <c r="O348" s="85" t="s">
        <v>227</v>
      </c>
      <c r="P348" s="85" t="s">
        <v>1093</v>
      </c>
      <c r="Q348" s="85" t="s">
        <v>1207</v>
      </c>
      <c r="R348" s="85">
        <v>4</v>
      </c>
      <c r="S348" s="85">
        <v>460</v>
      </c>
      <c r="T348" s="2">
        <v>44117</v>
      </c>
      <c r="U348" s="2">
        <v>44158</v>
      </c>
    </row>
    <row r="349" spans="1:21" x14ac:dyDescent="0.2">
      <c r="A349" s="3" t="str">
        <f>HYPERLINK("http://www.ofsted.gov.uk/inspection-reports/find-inspection-report/provider/ELS/134999 ","Ofsted School Webpage")</f>
        <v>Ofsted School Webpage</v>
      </c>
      <c r="B349" s="85">
        <v>134999</v>
      </c>
      <c r="C349" s="85">
        <v>8943362</v>
      </c>
      <c r="D349" s="85" t="s">
        <v>1208</v>
      </c>
      <c r="E349" s="85" t="s">
        <v>81</v>
      </c>
      <c r="F349" s="85" t="s">
        <v>254</v>
      </c>
      <c r="G349" s="2">
        <v>38596</v>
      </c>
      <c r="H349" s="85" t="s">
        <v>255</v>
      </c>
      <c r="I349" s="85" t="s">
        <v>256</v>
      </c>
      <c r="J349" s="85" t="s">
        <v>257</v>
      </c>
      <c r="K349" s="85" t="s">
        <v>257</v>
      </c>
      <c r="L349" s="85" t="s">
        <v>258</v>
      </c>
      <c r="M349" s="85" t="s">
        <v>203</v>
      </c>
      <c r="N349" s="85" t="s">
        <v>203</v>
      </c>
      <c r="O349" s="85" t="s">
        <v>216</v>
      </c>
      <c r="P349" s="85" t="s">
        <v>1209</v>
      </c>
      <c r="Q349" s="85" t="s">
        <v>1210</v>
      </c>
      <c r="R349" s="85">
        <v>4</v>
      </c>
      <c r="S349" s="85">
        <v>455</v>
      </c>
      <c r="T349" s="2">
        <v>44117</v>
      </c>
      <c r="U349" s="2">
        <v>44158</v>
      </c>
    </row>
    <row r="350" spans="1:21" x14ac:dyDescent="0.2">
      <c r="A350" s="3" t="str">
        <f>HYPERLINK("http://www.ofsted.gov.uk/inspection-reports/find-inspection-report/provider/ELS/109548 ","Ofsted School Webpage")</f>
        <v>Ofsted School Webpage</v>
      </c>
      <c r="B350" s="85">
        <v>109548</v>
      </c>
      <c r="C350" s="85">
        <v>8212239</v>
      </c>
      <c r="D350" s="85" t="s">
        <v>1211</v>
      </c>
      <c r="E350" s="85" t="s">
        <v>81</v>
      </c>
      <c r="F350" s="85" t="s">
        <v>254</v>
      </c>
      <c r="G350" s="85" t="s">
        <v>262</v>
      </c>
      <c r="H350" s="85" t="s">
        <v>255</v>
      </c>
      <c r="I350" s="85" t="s">
        <v>256</v>
      </c>
      <c r="J350" s="85" t="s">
        <v>257</v>
      </c>
      <c r="K350" s="85" t="s">
        <v>257</v>
      </c>
      <c r="L350" s="85" t="s">
        <v>258</v>
      </c>
      <c r="M350" s="85" t="s">
        <v>95</v>
      </c>
      <c r="N350" s="85" t="s">
        <v>95</v>
      </c>
      <c r="O350" s="85" t="s">
        <v>101</v>
      </c>
      <c r="P350" s="85" t="s">
        <v>1212</v>
      </c>
      <c r="Q350" s="85" t="s">
        <v>1213</v>
      </c>
      <c r="R350" s="85">
        <v>4</v>
      </c>
      <c r="S350" s="85">
        <v>399</v>
      </c>
      <c r="T350" s="2">
        <v>44117</v>
      </c>
      <c r="U350" s="2">
        <v>44164</v>
      </c>
    </row>
    <row r="351" spans="1:21" x14ac:dyDescent="0.2">
      <c r="A351" s="3" t="str">
        <f>HYPERLINK("http://www.ofsted.gov.uk/inspection-reports/find-inspection-report/provider/ELS/109481 ","Ofsted School Webpage")</f>
        <v>Ofsted School Webpage</v>
      </c>
      <c r="B351" s="85">
        <v>109481</v>
      </c>
      <c r="C351" s="85">
        <v>8232124</v>
      </c>
      <c r="D351" s="85" t="s">
        <v>1214</v>
      </c>
      <c r="E351" s="85" t="s">
        <v>81</v>
      </c>
      <c r="F351" s="85" t="s">
        <v>254</v>
      </c>
      <c r="G351" s="85" t="s">
        <v>262</v>
      </c>
      <c r="H351" s="85" t="s">
        <v>255</v>
      </c>
      <c r="I351" s="85" t="s">
        <v>256</v>
      </c>
      <c r="J351" s="85" t="s">
        <v>257</v>
      </c>
      <c r="K351" s="85" t="s">
        <v>257</v>
      </c>
      <c r="L351" s="85" t="s">
        <v>258</v>
      </c>
      <c r="M351" s="85" t="s">
        <v>95</v>
      </c>
      <c r="N351" s="85" t="s">
        <v>95</v>
      </c>
      <c r="O351" s="85" t="s">
        <v>105</v>
      </c>
      <c r="P351" s="85" t="s">
        <v>1215</v>
      </c>
      <c r="Q351" s="85" t="s">
        <v>1216</v>
      </c>
      <c r="R351" s="85">
        <v>2</v>
      </c>
      <c r="S351" s="85">
        <v>61</v>
      </c>
      <c r="T351" s="2">
        <v>44117</v>
      </c>
      <c r="U351" s="2">
        <v>44159</v>
      </c>
    </row>
    <row r="352" spans="1:21" x14ac:dyDescent="0.2">
      <c r="A352" s="3" t="str">
        <f>HYPERLINK("http://www.ofsted.gov.uk/inspection-reports/find-inspection-report/provider/ELS/118411 ","Ofsted School Webpage")</f>
        <v>Ofsted School Webpage</v>
      </c>
      <c r="B352" s="85">
        <v>118411</v>
      </c>
      <c r="C352" s="85">
        <v>8862337</v>
      </c>
      <c r="D352" s="85" t="s">
        <v>1217</v>
      </c>
      <c r="E352" s="85" t="s">
        <v>81</v>
      </c>
      <c r="F352" s="85" t="s">
        <v>254</v>
      </c>
      <c r="G352" s="85" t="s">
        <v>262</v>
      </c>
      <c r="H352" s="85" t="s">
        <v>255</v>
      </c>
      <c r="I352" s="85" t="s">
        <v>256</v>
      </c>
      <c r="J352" s="85" t="s">
        <v>257</v>
      </c>
      <c r="K352" s="85" t="s">
        <v>257</v>
      </c>
      <c r="L352" s="85" t="s">
        <v>258</v>
      </c>
      <c r="M352" s="85" t="s">
        <v>169</v>
      </c>
      <c r="N352" s="85" t="s">
        <v>169</v>
      </c>
      <c r="O352" s="85" t="s">
        <v>171</v>
      </c>
      <c r="P352" s="85" t="s">
        <v>1218</v>
      </c>
      <c r="Q352" s="85" t="s">
        <v>1219</v>
      </c>
      <c r="R352" s="85">
        <v>3</v>
      </c>
      <c r="S352" s="85">
        <v>269</v>
      </c>
      <c r="T352" s="2">
        <v>44117</v>
      </c>
      <c r="U352" s="2">
        <v>44157</v>
      </c>
    </row>
    <row r="353" spans="1:21" x14ac:dyDescent="0.2">
      <c r="A353" s="3" t="str">
        <f>HYPERLINK("http://www.ofsted.gov.uk/inspection-reports/find-inspection-report/provider/ELS/101509 ","Ofsted School Webpage")</f>
        <v>Ofsted School Webpage</v>
      </c>
      <c r="B353" s="85">
        <v>101509</v>
      </c>
      <c r="C353" s="85">
        <v>3042038</v>
      </c>
      <c r="D353" s="85" t="s">
        <v>1220</v>
      </c>
      <c r="E353" s="85" t="s">
        <v>81</v>
      </c>
      <c r="F353" s="85" t="s">
        <v>254</v>
      </c>
      <c r="G353" s="85" t="s">
        <v>262</v>
      </c>
      <c r="H353" s="85" t="s">
        <v>255</v>
      </c>
      <c r="I353" s="85" t="s">
        <v>256</v>
      </c>
      <c r="J353" s="85" t="s">
        <v>257</v>
      </c>
      <c r="K353" s="85" t="s">
        <v>257</v>
      </c>
      <c r="L353" s="85" t="s">
        <v>258</v>
      </c>
      <c r="M353" s="85" t="s">
        <v>107</v>
      </c>
      <c r="N353" s="85" t="s">
        <v>107</v>
      </c>
      <c r="O353" s="85" t="s">
        <v>117</v>
      </c>
      <c r="P353" s="85" t="s">
        <v>563</v>
      </c>
      <c r="Q353" s="85" t="s">
        <v>1221</v>
      </c>
      <c r="R353" s="85">
        <v>3</v>
      </c>
      <c r="S353" s="85">
        <v>460</v>
      </c>
      <c r="T353" s="2">
        <v>44117</v>
      </c>
      <c r="U353" s="2">
        <v>44146</v>
      </c>
    </row>
    <row r="354" spans="1:21" x14ac:dyDescent="0.2">
      <c r="A354" s="3" t="str">
        <f>HYPERLINK("http://www.ofsted.gov.uk/inspection-reports/find-inspection-report/provider/ELS/113327 ","Ofsted School Webpage")</f>
        <v>Ofsted School Webpage</v>
      </c>
      <c r="B354" s="85">
        <v>113327</v>
      </c>
      <c r="C354" s="85">
        <v>8792706</v>
      </c>
      <c r="D354" s="85" t="s">
        <v>1222</v>
      </c>
      <c r="E354" s="85" t="s">
        <v>81</v>
      </c>
      <c r="F354" s="85" t="s">
        <v>254</v>
      </c>
      <c r="G354" s="85" t="s">
        <v>262</v>
      </c>
      <c r="H354" s="85" t="s">
        <v>255</v>
      </c>
      <c r="I354" s="85" t="s">
        <v>256</v>
      </c>
      <c r="J354" s="85" t="s">
        <v>257</v>
      </c>
      <c r="K354" s="85" t="s">
        <v>257</v>
      </c>
      <c r="L354" s="85" t="s">
        <v>258</v>
      </c>
      <c r="M354" s="85" t="s">
        <v>188</v>
      </c>
      <c r="N354" s="85" t="s">
        <v>188</v>
      </c>
      <c r="O354" s="85" t="s">
        <v>191</v>
      </c>
      <c r="P354" s="85" t="s">
        <v>570</v>
      </c>
      <c r="Q354" s="85" t="s">
        <v>1223</v>
      </c>
      <c r="R354" s="85">
        <v>4</v>
      </c>
      <c r="S354" s="85">
        <v>170</v>
      </c>
      <c r="T354" s="2">
        <v>44117</v>
      </c>
      <c r="U354" s="2">
        <v>44153</v>
      </c>
    </row>
    <row r="355" spans="1:21" x14ac:dyDescent="0.2">
      <c r="A355" s="3" t="str">
        <f>HYPERLINK("http://www.ofsted.gov.uk/inspection-reports/find-inspection-report/provider/ELS/140799 ","Ofsted School Webpage")</f>
        <v>Ofsted School Webpage</v>
      </c>
      <c r="B355" s="85">
        <v>140799</v>
      </c>
      <c r="C355" s="85">
        <v>3722067</v>
      </c>
      <c r="D355" s="85" t="s">
        <v>1224</v>
      </c>
      <c r="E355" s="85" t="s">
        <v>81</v>
      </c>
      <c r="F355" s="85" t="s">
        <v>400</v>
      </c>
      <c r="G355" s="2">
        <v>41730</v>
      </c>
      <c r="H355" s="85" t="s">
        <v>255</v>
      </c>
      <c r="I355" s="85" t="s">
        <v>256</v>
      </c>
      <c r="J355" s="85" t="s">
        <v>257</v>
      </c>
      <c r="K355" s="85" t="s">
        <v>257</v>
      </c>
      <c r="L355" s="85" t="s">
        <v>258</v>
      </c>
      <c r="M355" s="85" t="s">
        <v>236</v>
      </c>
      <c r="N355" s="85" t="s">
        <v>218</v>
      </c>
      <c r="O355" s="85" t="s">
        <v>219</v>
      </c>
      <c r="P355" s="85" t="s">
        <v>1068</v>
      </c>
      <c r="Q355" s="85" t="s">
        <v>1225</v>
      </c>
      <c r="R355" s="85">
        <v>4</v>
      </c>
      <c r="S355" s="85">
        <v>205</v>
      </c>
      <c r="T355" s="2">
        <v>44117</v>
      </c>
      <c r="U355" s="2">
        <v>44158</v>
      </c>
    </row>
    <row r="356" spans="1:21" x14ac:dyDescent="0.2">
      <c r="A356" s="3" t="str">
        <f>HYPERLINK("http://www.ofsted.gov.uk/inspection-reports/find-inspection-report/provider/ELS/136577 ","Ofsted School Webpage")</f>
        <v>Ofsted School Webpage</v>
      </c>
      <c r="B356" s="85">
        <v>136577</v>
      </c>
      <c r="C356" s="85">
        <v>8815403</v>
      </c>
      <c r="D356" s="85" t="s">
        <v>1226</v>
      </c>
      <c r="E356" s="85" t="s">
        <v>82</v>
      </c>
      <c r="F356" s="85" t="s">
        <v>400</v>
      </c>
      <c r="G356" s="2">
        <v>40634</v>
      </c>
      <c r="H356" s="85" t="s">
        <v>275</v>
      </c>
      <c r="I356" s="85" t="s">
        <v>276</v>
      </c>
      <c r="J356" s="85" t="s">
        <v>405</v>
      </c>
      <c r="K356" s="85" t="s">
        <v>257</v>
      </c>
      <c r="L356" s="85" t="s">
        <v>258</v>
      </c>
      <c r="M356" s="85" t="s">
        <v>95</v>
      </c>
      <c r="N356" s="85" t="s">
        <v>95</v>
      </c>
      <c r="O356" s="85" t="s">
        <v>104</v>
      </c>
      <c r="P356" s="85" t="s">
        <v>1227</v>
      </c>
      <c r="Q356" s="85" t="s">
        <v>1228</v>
      </c>
      <c r="R356" s="85">
        <v>2</v>
      </c>
      <c r="S356" s="85">
        <v>2128</v>
      </c>
      <c r="T356" s="2">
        <v>44117</v>
      </c>
      <c r="U356" s="2">
        <v>44151</v>
      </c>
    </row>
    <row r="357" spans="1:21" x14ac:dyDescent="0.2">
      <c r="A357" s="3" t="str">
        <f>HYPERLINK("http://www.ofsted.gov.uk/inspection-reports/find-inspection-report/provider/ELS/142736 ","Ofsted School Webpage")</f>
        <v>Ofsted School Webpage</v>
      </c>
      <c r="B357" s="85">
        <v>142736</v>
      </c>
      <c r="C357" s="85">
        <v>8083305</v>
      </c>
      <c r="D357" s="85" t="s">
        <v>617</v>
      </c>
      <c r="E357" s="85" t="s">
        <v>81</v>
      </c>
      <c r="F357" s="85" t="s">
        <v>400</v>
      </c>
      <c r="G357" s="2">
        <v>42461</v>
      </c>
      <c r="H357" s="85" t="s">
        <v>255</v>
      </c>
      <c r="I357" s="85" t="s">
        <v>256</v>
      </c>
      <c r="J357" s="85" t="s">
        <v>334</v>
      </c>
      <c r="K357" s="85" t="s">
        <v>257</v>
      </c>
      <c r="L357" s="85" t="s">
        <v>335</v>
      </c>
      <c r="M357" s="85" t="s">
        <v>236</v>
      </c>
      <c r="N357" s="85" t="s">
        <v>135</v>
      </c>
      <c r="O357" s="85" t="s">
        <v>139</v>
      </c>
      <c r="P357" s="85" t="s">
        <v>462</v>
      </c>
      <c r="Q357" s="85" t="s">
        <v>1229</v>
      </c>
      <c r="R357" s="85">
        <v>4</v>
      </c>
      <c r="S357" s="85">
        <v>221</v>
      </c>
      <c r="T357" s="2">
        <v>44117</v>
      </c>
      <c r="U357" s="2">
        <v>44161</v>
      </c>
    </row>
    <row r="358" spans="1:21" x14ac:dyDescent="0.2">
      <c r="A358" s="3" t="str">
        <f>HYPERLINK("http://www.ofsted.gov.uk/inspection-reports/find-inspection-report/provider/ELS/141037 ","Ofsted School Webpage")</f>
        <v>Ofsted School Webpage</v>
      </c>
      <c r="B358" s="85">
        <v>141037</v>
      </c>
      <c r="C358" s="85">
        <v>8101104</v>
      </c>
      <c r="D358" s="85" t="s">
        <v>1230</v>
      </c>
      <c r="E358" s="85" t="s">
        <v>84</v>
      </c>
      <c r="F358" s="85" t="s">
        <v>1231</v>
      </c>
      <c r="G358" s="2">
        <v>41883</v>
      </c>
      <c r="H358" s="85" t="s">
        <v>450</v>
      </c>
      <c r="I358" s="85" t="s">
        <v>256</v>
      </c>
      <c r="J358" s="85" t="s">
        <v>257</v>
      </c>
      <c r="K358" s="85" t="s">
        <v>335</v>
      </c>
      <c r="L358" s="85" t="s">
        <v>258</v>
      </c>
      <c r="M358" s="85" t="s">
        <v>236</v>
      </c>
      <c r="N358" s="85" t="s">
        <v>218</v>
      </c>
      <c r="O358" s="85" t="s">
        <v>230</v>
      </c>
      <c r="P358" s="85" t="s">
        <v>1232</v>
      </c>
      <c r="Q358" s="85" t="s">
        <v>1233</v>
      </c>
      <c r="R358" s="85">
        <v>5</v>
      </c>
      <c r="S358" s="85">
        <v>144</v>
      </c>
      <c r="T358" s="2">
        <v>44117</v>
      </c>
      <c r="U358" s="2">
        <v>44158</v>
      </c>
    </row>
    <row r="359" spans="1:21" x14ac:dyDescent="0.2">
      <c r="A359" s="3" t="str">
        <f>HYPERLINK("http://www.ofsted.gov.uk/inspection-reports/find-inspection-report/provider/ELS/147513 ","Ofsted School Webpage")</f>
        <v>Ofsted School Webpage</v>
      </c>
      <c r="B359" s="85">
        <v>147513</v>
      </c>
      <c r="C359" s="85">
        <v>8662024</v>
      </c>
      <c r="D359" s="85" t="s">
        <v>1234</v>
      </c>
      <c r="E359" s="85" t="s">
        <v>81</v>
      </c>
      <c r="F359" s="85" t="s">
        <v>404</v>
      </c>
      <c r="G359" s="2">
        <v>44105</v>
      </c>
      <c r="H359" s="85" t="s">
        <v>255</v>
      </c>
      <c r="I359" s="85" t="s">
        <v>256</v>
      </c>
      <c r="J359" s="85" t="s">
        <v>257</v>
      </c>
      <c r="K359" s="85" t="s">
        <v>257</v>
      </c>
      <c r="L359" s="85" t="s">
        <v>258</v>
      </c>
      <c r="M359" s="85" t="s">
        <v>188</v>
      </c>
      <c r="N359" s="85" t="s">
        <v>188</v>
      </c>
      <c r="O359" s="85" t="s">
        <v>201</v>
      </c>
      <c r="P359" s="85" t="s">
        <v>1077</v>
      </c>
      <c r="Q359" s="85" t="s">
        <v>1235</v>
      </c>
      <c r="R359" s="85" t="s">
        <v>262</v>
      </c>
      <c r="S359" s="85" t="s">
        <v>262</v>
      </c>
      <c r="T359" s="2">
        <v>44117</v>
      </c>
      <c r="U359" s="2">
        <v>44151</v>
      </c>
    </row>
    <row r="360" spans="1:21" x14ac:dyDescent="0.2">
      <c r="A360" s="3" t="str">
        <f>HYPERLINK("http://www.ofsted.gov.uk/inspection-reports/find-inspection-report/provider/ELS/141457 ","Ofsted School Webpage")</f>
        <v>Ofsted School Webpage</v>
      </c>
      <c r="B360" s="85">
        <v>141457</v>
      </c>
      <c r="C360" s="85">
        <v>8073308</v>
      </c>
      <c r="D360" s="85" t="s">
        <v>1236</v>
      </c>
      <c r="E360" s="85" t="s">
        <v>81</v>
      </c>
      <c r="F360" s="85" t="s">
        <v>400</v>
      </c>
      <c r="G360" s="2">
        <v>41913</v>
      </c>
      <c r="H360" s="85" t="s">
        <v>255</v>
      </c>
      <c r="I360" s="85" t="s">
        <v>256</v>
      </c>
      <c r="J360" s="85" t="s">
        <v>334</v>
      </c>
      <c r="K360" s="85" t="s">
        <v>257</v>
      </c>
      <c r="L360" s="85" t="s">
        <v>335</v>
      </c>
      <c r="M360" s="85" t="s">
        <v>236</v>
      </c>
      <c r="N360" s="85" t="s">
        <v>135</v>
      </c>
      <c r="O360" s="85" t="s">
        <v>141</v>
      </c>
      <c r="P360" s="85" t="s">
        <v>483</v>
      </c>
      <c r="Q360" s="85" t="s">
        <v>1237</v>
      </c>
      <c r="R360" s="85">
        <v>5</v>
      </c>
      <c r="S360" s="85">
        <v>181</v>
      </c>
      <c r="T360" s="2">
        <v>44117</v>
      </c>
      <c r="U360" s="2">
        <v>44158</v>
      </c>
    </row>
    <row r="361" spans="1:21" x14ac:dyDescent="0.2">
      <c r="A361" s="3" t="str">
        <f>HYPERLINK("http://www.ofsted.gov.uk/inspection-reports/find-inspection-report/provider/ELS/146067 ","Ofsted School Webpage")</f>
        <v>Ofsted School Webpage</v>
      </c>
      <c r="B361" s="85">
        <v>146067</v>
      </c>
      <c r="C361" s="85">
        <v>8072233</v>
      </c>
      <c r="D361" s="85" t="s">
        <v>1238</v>
      </c>
      <c r="E361" s="85" t="s">
        <v>81</v>
      </c>
      <c r="F361" s="85" t="s">
        <v>400</v>
      </c>
      <c r="G361" s="2">
        <v>43313</v>
      </c>
      <c r="H361" s="85" t="s">
        <v>255</v>
      </c>
      <c r="I361" s="85" t="s">
        <v>256</v>
      </c>
      <c r="J361" s="85" t="s">
        <v>257</v>
      </c>
      <c r="K361" s="85" t="s">
        <v>257</v>
      </c>
      <c r="L361" s="85" t="s">
        <v>258</v>
      </c>
      <c r="M361" s="85" t="s">
        <v>236</v>
      </c>
      <c r="N361" s="85" t="s">
        <v>135</v>
      </c>
      <c r="O361" s="85" t="s">
        <v>141</v>
      </c>
      <c r="P361" s="85" t="s">
        <v>1239</v>
      </c>
      <c r="Q361" s="85" t="s">
        <v>1240</v>
      </c>
      <c r="R361" s="85">
        <v>5</v>
      </c>
      <c r="S361" s="85">
        <v>58</v>
      </c>
      <c r="T361" s="2">
        <v>44117</v>
      </c>
      <c r="U361" s="2">
        <v>44154</v>
      </c>
    </row>
    <row r="362" spans="1:21" x14ac:dyDescent="0.2">
      <c r="A362" s="3" t="str">
        <f>HYPERLINK("http://www.ofsted.gov.uk/inspection-reports/find-inspection-report/provider/ELS/143209 ","Ofsted School Webpage")</f>
        <v>Ofsted School Webpage</v>
      </c>
      <c r="B362" s="85">
        <v>143209</v>
      </c>
      <c r="C362" s="85">
        <v>2032919</v>
      </c>
      <c r="D362" s="85" t="s">
        <v>1241</v>
      </c>
      <c r="E362" s="85" t="s">
        <v>81</v>
      </c>
      <c r="F362" s="85" t="s">
        <v>400</v>
      </c>
      <c r="G362" s="2">
        <v>42614</v>
      </c>
      <c r="H362" s="85" t="s">
        <v>255</v>
      </c>
      <c r="I362" s="85" t="s">
        <v>256</v>
      </c>
      <c r="J362" s="85" t="s">
        <v>257</v>
      </c>
      <c r="K362" s="85" t="s">
        <v>257</v>
      </c>
      <c r="L362" s="85" t="s">
        <v>258</v>
      </c>
      <c r="M362" s="85" t="s">
        <v>107</v>
      </c>
      <c r="N362" s="85" t="s">
        <v>107</v>
      </c>
      <c r="O362" s="85" t="s">
        <v>127</v>
      </c>
      <c r="P362" s="85" t="s">
        <v>1242</v>
      </c>
      <c r="Q362" s="85" t="s">
        <v>1243</v>
      </c>
      <c r="R362" s="85">
        <v>4</v>
      </c>
      <c r="S362" s="85">
        <v>405</v>
      </c>
      <c r="T362" s="2">
        <v>44117</v>
      </c>
      <c r="U362" s="2">
        <v>44153</v>
      </c>
    </row>
    <row r="363" spans="1:21" x14ac:dyDescent="0.2">
      <c r="A363" s="3" t="str">
        <f>HYPERLINK("http://www.ofsted.gov.uk/inspection-reports/find-inspection-report/provider/ELS/147757 ","Ofsted School Webpage")</f>
        <v>Ofsted School Webpage</v>
      </c>
      <c r="B363" s="85">
        <v>147757</v>
      </c>
      <c r="C363" s="85">
        <v>3304038</v>
      </c>
      <c r="D363" s="85" t="s">
        <v>1244</v>
      </c>
      <c r="E363" s="85" t="s">
        <v>82</v>
      </c>
      <c r="F363" s="85" t="s">
        <v>404</v>
      </c>
      <c r="G363" s="2">
        <v>44105</v>
      </c>
      <c r="H363" s="85" t="s">
        <v>255</v>
      </c>
      <c r="I363" s="85" t="s">
        <v>256</v>
      </c>
      <c r="J363" s="85" t="s">
        <v>257</v>
      </c>
      <c r="K363" s="85" t="s">
        <v>257</v>
      </c>
      <c r="L363" s="85" t="s">
        <v>258</v>
      </c>
      <c r="M363" s="85" t="s">
        <v>203</v>
      </c>
      <c r="N363" s="85" t="s">
        <v>203</v>
      </c>
      <c r="O363" s="85" t="s">
        <v>209</v>
      </c>
      <c r="P363" s="85" t="s">
        <v>1036</v>
      </c>
      <c r="Q363" s="85" t="s">
        <v>1245</v>
      </c>
      <c r="R363" s="85" t="s">
        <v>262</v>
      </c>
      <c r="S363" s="85" t="s">
        <v>262</v>
      </c>
      <c r="T363" s="2">
        <v>44117</v>
      </c>
      <c r="U363" s="2">
        <v>44159</v>
      </c>
    </row>
    <row r="364" spans="1:21" x14ac:dyDescent="0.2">
      <c r="A364" s="3" t="str">
        <f>HYPERLINK("http://www.ofsted.gov.uk/inspection-reports/find-inspection-report/provider/ELS/147816 ","Ofsted School Webpage")</f>
        <v>Ofsted School Webpage</v>
      </c>
      <c r="B364" s="85">
        <v>147816</v>
      </c>
      <c r="C364" s="85">
        <v>8812134</v>
      </c>
      <c r="D364" s="85" t="s">
        <v>1246</v>
      </c>
      <c r="E364" s="85" t="s">
        <v>81</v>
      </c>
      <c r="F364" s="85" t="s">
        <v>400</v>
      </c>
      <c r="G364" s="2">
        <v>44075</v>
      </c>
      <c r="H364" s="85" t="s">
        <v>255</v>
      </c>
      <c r="I364" s="85" t="s">
        <v>256</v>
      </c>
      <c r="J364" s="85" t="s">
        <v>257</v>
      </c>
      <c r="K364" s="85" t="s">
        <v>257</v>
      </c>
      <c r="L364" s="85" t="s">
        <v>258</v>
      </c>
      <c r="M364" s="85" t="s">
        <v>95</v>
      </c>
      <c r="N364" s="85" t="s">
        <v>95</v>
      </c>
      <c r="O364" s="85" t="s">
        <v>104</v>
      </c>
      <c r="P364" s="85" t="s">
        <v>833</v>
      </c>
      <c r="Q364" s="85" t="s">
        <v>1247</v>
      </c>
      <c r="R364" s="85" t="s">
        <v>262</v>
      </c>
      <c r="S364" s="85" t="s">
        <v>262</v>
      </c>
      <c r="T364" s="2">
        <v>44117</v>
      </c>
      <c r="U364" s="2">
        <v>44147</v>
      </c>
    </row>
    <row r="365" spans="1:21" x14ac:dyDescent="0.2">
      <c r="A365" s="3" t="str">
        <f>HYPERLINK("http://www.ofsted.gov.uk/inspection-reports/find-inspection-report/provider/ELS/141588 ","Ofsted School Webpage")</f>
        <v>Ofsted School Webpage</v>
      </c>
      <c r="B365" s="85">
        <v>141588</v>
      </c>
      <c r="C365" s="85">
        <v>3723328</v>
      </c>
      <c r="D365" s="85" t="s">
        <v>1248</v>
      </c>
      <c r="E365" s="85" t="s">
        <v>81</v>
      </c>
      <c r="F365" s="85" t="s">
        <v>400</v>
      </c>
      <c r="G365" s="2">
        <v>42036</v>
      </c>
      <c r="H365" s="85" t="s">
        <v>255</v>
      </c>
      <c r="I365" s="85" t="s">
        <v>256</v>
      </c>
      <c r="J365" s="85" t="s">
        <v>342</v>
      </c>
      <c r="K365" s="85" t="s">
        <v>257</v>
      </c>
      <c r="L365" s="85" t="s">
        <v>335</v>
      </c>
      <c r="M365" s="85" t="s">
        <v>236</v>
      </c>
      <c r="N365" s="85" t="s">
        <v>218</v>
      </c>
      <c r="O365" s="85" t="s">
        <v>219</v>
      </c>
      <c r="P365" s="85" t="s">
        <v>1068</v>
      </c>
      <c r="Q365" s="85" t="s">
        <v>1249</v>
      </c>
      <c r="R365" s="85">
        <v>5</v>
      </c>
      <c r="S365" s="85">
        <v>164</v>
      </c>
      <c r="T365" s="2">
        <v>44117</v>
      </c>
      <c r="U365" s="2">
        <v>44157</v>
      </c>
    </row>
    <row r="366" spans="1:21" x14ac:dyDescent="0.2">
      <c r="A366" s="3" t="str">
        <f>HYPERLINK("http://www.ofsted.gov.uk/inspection-reports/find-inspection-report/provider/ELS/144445 ","Ofsted School Webpage")</f>
        <v>Ofsted School Webpage</v>
      </c>
      <c r="B366" s="85">
        <v>144445</v>
      </c>
      <c r="C366" s="85">
        <v>9352088</v>
      </c>
      <c r="D366" s="85" t="s">
        <v>1250</v>
      </c>
      <c r="E366" s="85" t="s">
        <v>81</v>
      </c>
      <c r="F366" s="85" t="s">
        <v>400</v>
      </c>
      <c r="G366" s="2">
        <v>42856</v>
      </c>
      <c r="H366" s="85" t="s">
        <v>255</v>
      </c>
      <c r="I366" s="85" t="s">
        <v>256</v>
      </c>
      <c r="J366" s="85" t="s">
        <v>257</v>
      </c>
      <c r="K366" s="85" t="s">
        <v>257</v>
      </c>
      <c r="L366" s="85" t="s">
        <v>258</v>
      </c>
      <c r="M366" s="85" t="s">
        <v>95</v>
      </c>
      <c r="N366" s="85" t="s">
        <v>95</v>
      </c>
      <c r="O366" s="85" t="s">
        <v>99</v>
      </c>
      <c r="P366" s="85" t="s">
        <v>1251</v>
      </c>
      <c r="Q366" s="85" t="s">
        <v>1252</v>
      </c>
      <c r="R366" s="85">
        <v>2</v>
      </c>
      <c r="S366" s="85">
        <v>98</v>
      </c>
      <c r="T366" s="2">
        <v>44117</v>
      </c>
      <c r="U366" s="2">
        <v>44146</v>
      </c>
    </row>
    <row r="367" spans="1:21" x14ac:dyDescent="0.2">
      <c r="A367" s="3" t="str">
        <f>HYPERLINK("http://www.ofsted.gov.uk/inspection-reports/find-inspection-report/provider/ELS/137359 ","Ofsted School Webpage")</f>
        <v>Ofsted School Webpage</v>
      </c>
      <c r="B367" s="85">
        <v>137359</v>
      </c>
      <c r="C367" s="85">
        <v>8902222</v>
      </c>
      <c r="D367" s="85" t="s">
        <v>1253</v>
      </c>
      <c r="E367" s="85" t="s">
        <v>81</v>
      </c>
      <c r="F367" s="85" t="s">
        <v>400</v>
      </c>
      <c r="G367" s="2">
        <v>40787</v>
      </c>
      <c r="H367" s="85" t="s">
        <v>255</v>
      </c>
      <c r="I367" s="85" t="s">
        <v>255</v>
      </c>
      <c r="J367" s="85" t="s">
        <v>257</v>
      </c>
      <c r="K367" s="85" t="s">
        <v>257</v>
      </c>
      <c r="L367" s="85" t="s">
        <v>258</v>
      </c>
      <c r="M367" s="85" t="s">
        <v>148</v>
      </c>
      <c r="N367" s="85" t="s">
        <v>148</v>
      </c>
      <c r="O367" s="85" t="s">
        <v>157</v>
      </c>
      <c r="P367" s="85" t="s">
        <v>1049</v>
      </c>
      <c r="Q367" s="85" t="s">
        <v>1254</v>
      </c>
      <c r="R367" s="85">
        <v>3</v>
      </c>
      <c r="S367" s="85">
        <v>228</v>
      </c>
      <c r="T367" s="2">
        <v>44117</v>
      </c>
      <c r="U367" s="2">
        <v>44152</v>
      </c>
    </row>
    <row r="368" spans="1:21" x14ac:dyDescent="0.2">
      <c r="A368" s="3" t="str">
        <f>HYPERLINK("http://www.ofsted.gov.uk/inspection-reports/find-inspection-report/provider/ELS/138620 ","Ofsted School Webpage")</f>
        <v>Ofsted School Webpage</v>
      </c>
      <c r="B368" s="85">
        <v>138620</v>
      </c>
      <c r="C368" s="85">
        <v>9384044</v>
      </c>
      <c r="D368" s="85" t="s">
        <v>1255</v>
      </c>
      <c r="E368" s="85" t="s">
        <v>82</v>
      </c>
      <c r="F368" s="85" t="s">
        <v>400</v>
      </c>
      <c r="G368" s="2">
        <v>41153</v>
      </c>
      <c r="H368" s="85" t="s">
        <v>275</v>
      </c>
      <c r="I368" s="85" t="s">
        <v>276</v>
      </c>
      <c r="J368" s="85" t="s">
        <v>257</v>
      </c>
      <c r="K368" s="85" t="s">
        <v>257</v>
      </c>
      <c r="L368" s="85" t="s">
        <v>258</v>
      </c>
      <c r="M368" s="85" t="s">
        <v>169</v>
      </c>
      <c r="N368" s="85" t="s">
        <v>169</v>
      </c>
      <c r="O368" s="85" t="s">
        <v>177</v>
      </c>
      <c r="P368" s="85" t="s">
        <v>468</v>
      </c>
      <c r="Q368" s="85" t="s">
        <v>1256</v>
      </c>
      <c r="R368" s="85">
        <v>4</v>
      </c>
      <c r="S368" s="85">
        <v>1018</v>
      </c>
      <c r="T368" s="2">
        <v>44117</v>
      </c>
      <c r="U368" s="2">
        <v>44157</v>
      </c>
    </row>
    <row r="369" spans="1:21" x14ac:dyDescent="0.2">
      <c r="A369" s="3" t="str">
        <f>HYPERLINK("http://www.ofsted.gov.uk/inspection-reports/find-inspection-report/provider/ELS/143345 ","Ofsted School Webpage")</f>
        <v>Ofsted School Webpage</v>
      </c>
      <c r="B369" s="85">
        <v>143345</v>
      </c>
      <c r="C369" s="85">
        <v>8602358</v>
      </c>
      <c r="D369" s="85" t="s">
        <v>1257</v>
      </c>
      <c r="E369" s="85" t="s">
        <v>81</v>
      </c>
      <c r="F369" s="85" t="s">
        <v>400</v>
      </c>
      <c r="G369" s="2">
        <v>42644</v>
      </c>
      <c r="H369" s="85" t="s">
        <v>255</v>
      </c>
      <c r="I369" s="85" t="s">
        <v>256</v>
      </c>
      <c r="J369" s="85" t="s">
        <v>257</v>
      </c>
      <c r="K369" s="85" t="s">
        <v>257</v>
      </c>
      <c r="L369" s="85" t="s">
        <v>258</v>
      </c>
      <c r="M369" s="85" t="s">
        <v>203</v>
      </c>
      <c r="N369" s="85" t="s">
        <v>203</v>
      </c>
      <c r="O369" s="85" t="s">
        <v>206</v>
      </c>
      <c r="P369" s="85" t="s">
        <v>1258</v>
      </c>
      <c r="Q369" s="85" t="s">
        <v>1259</v>
      </c>
      <c r="R369" s="85">
        <v>5</v>
      </c>
      <c r="S369" s="85">
        <v>135</v>
      </c>
      <c r="T369" s="2">
        <v>44117</v>
      </c>
      <c r="U369" s="2">
        <v>44146</v>
      </c>
    </row>
    <row r="370" spans="1:21" x14ac:dyDescent="0.2">
      <c r="A370" s="3" t="str">
        <f>HYPERLINK("http://www.ofsted.gov.uk/inspection-reports/find-inspection-report/provider/ELS/143306 ","Ofsted School Webpage")</f>
        <v>Ofsted School Webpage</v>
      </c>
      <c r="B370" s="85">
        <v>143306</v>
      </c>
      <c r="C370" s="85">
        <v>8792708</v>
      </c>
      <c r="D370" s="85" t="s">
        <v>1260</v>
      </c>
      <c r="E370" s="85" t="s">
        <v>81</v>
      </c>
      <c r="F370" s="85" t="s">
        <v>400</v>
      </c>
      <c r="G370" s="2">
        <v>42614</v>
      </c>
      <c r="H370" s="85" t="s">
        <v>255</v>
      </c>
      <c r="I370" s="85" t="s">
        <v>256</v>
      </c>
      <c r="J370" s="85" t="s">
        <v>257</v>
      </c>
      <c r="K370" s="85" t="s">
        <v>257</v>
      </c>
      <c r="L370" s="85" t="s">
        <v>258</v>
      </c>
      <c r="M370" s="85" t="s">
        <v>188</v>
      </c>
      <c r="N370" s="85" t="s">
        <v>188</v>
      </c>
      <c r="O370" s="85" t="s">
        <v>191</v>
      </c>
      <c r="P370" s="85" t="s">
        <v>570</v>
      </c>
      <c r="Q370" s="85" t="s">
        <v>1261</v>
      </c>
      <c r="R370" s="85">
        <v>4</v>
      </c>
      <c r="S370" s="85">
        <v>285</v>
      </c>
      <c r="T370" s="2">
        <v>44117</v>
      </c>
      <c r="U370" s="2">
        <v>44157</v>
      </c>
    </row>
    <row r="371" spans="1:21" x14ac:dyDescent="0.2">
      <c r="A371" s="3" t="str">
        <f>HYPERLINK("http://www.ofsted.gov.uk/inspection-reports/find-inspection-report/provider/ELS/141856 ","Ofsted School Webpage")</f>
        <v>Ofsted School Webpage</v>
      </c>
      <c r="B371" s="85">
        <v>141856</v>
      </c>
      <c r="C371" s="85">
        <v>8603150</v>
      </c>
      <c r="D371" s="85" t="s">
        <v>1262</v>
      </c>
      <c r="E371" s="85" t="s">
        <v>81</v>
      </c>
      <c r="F371" s="85" t="s">
        <v>400</v>
      </c>
      <c r="G371" s="2">
        <v>42095</v>
      </c>
      <c r="H371" s="85" t="s">
        <v>255</v>
      </c>
      <c r="I371" s="85" t="s">
        <v>256</v>
      </c>
      <c r="J371" s="85" t="s">
        <v>342</v>
      </c>
      <c r="K371" s="85" t="s">
        <v>257</v>
      </c>
      <c r="L371" s="85" t="s">
        <v>335</v>
      </c>
      <c r="M371" s="85" t="s">
        <v>203</v>
      </c>
      <c r="N371" s="85" t="s">
        <v>203</v>
      </c>
      <c r="O371" s="85" t="s">
        <v>206</v>
      </c>
      <c r="P371" s="85" t="s">
        <v>699</v>
      </c>
      <c r="Q371" s="85" t="s">
        <v>1263</v>
      </c>
      <c r="R371" s="85">
        <v>1</v>
      </c>
      <c r="S371" s="85">
        <v>95</v>
      </c>
      <c r="T371" s="2">
        <v>44118</v>
      </c>
      <c r="U371" s="2">
        <v>44146</v>
      </c>
    </row>
    <row r="372" spans="1:21" x14ac:dyDescent="0.2">
      <c r="A372" s="3" t="str">
        <f>HYPERLINK("http://www.ofsted.gov.uk/inspection-reports/find-inspection-report/provider/ELS/135936 ","Ofsted School Webpage")</f>
        <v>Ofsted School Webpage</v>
      </c>
      <c r="B372" s="85">
        <v>135936</v>
      </c>
      <c r="C372" s="85">
        <v>8886906</v>
      </c>
      <c r="D372" s="85" t="s">
        <v>1264</v>
      </c>
      <c r="E372" s="85" t="s">
        <v>82</v>
      </c>
      <c r="F372" s="85" t="s">
        <v>404</v>
      </c>
      <c r="G372" s="2">
        <v>40057</v>
      </c>
      <c r="H372" s="85" t="s">
        <v>275</v>
      </c>
      <c r="I372" s="85" t="s">
        <v>256</v>
      </c>
      <c r="J372" s="85" t="s">
        <v>257</v>
      </c>
      <c r="K372" s="85" t="s">
        <v>405</v>
      </c>
      <c r="L372" s="85" t="s">
        <v>258</v>
      </c>
      <c r="M372" s="85" t="s">
        <v>148</v>
      </c>
      <c r="N372" s="85" t="s">
        <v>148</v>
      </c>
      <c r="O372" s="85" t="s">
        <v>149</v>
      </c>
      <c r="P372" s="85" t="s">
        <v>644</v>
      </c>
      <c r="Q372" s="85" t="s">
        <v>1265</v>
      </c>
      <c r="R372" s="85">
        <v>4</v>
      </c>
      <c r="S372" s="85">
        <v>751</v>
      </c>
      <c r="T372" s="2">
        <v>44119</v>
      </c>
      <c r="U372" s="2">
        <v>44161</v>
      </c>
    </row>
    <row r="373" spans="1:21" x14ac:dyDescent="0.2">
      <c r="A373" s="3" t="str">
        <f>HYPERLINK("http://www.ofsted.gov.uk/inspection-reports/find-inspection-report/provider/ELS/134223 ","Ofsted School Webpage")</f>
        <v>Ofsted School Webpage</v>
      </c>
      <c r="B373" s="85">
        <v>134223</v>
      </c>
      <c r="C373" s="85">
        <v>8066906</v>
      </c>
      <c r="D373" s="85" t="s">
        <v>1266</v>
      </c>
      <c r="E373" s="85" t="s">
        <v>82</v>
      </c>
      <c r="F373" s="85" t="s">
        <v>404</v>
      </c>
      <c r="G373" s="2">
        <v>37865</v>
      </c>
      <c r="H373" s="85" t="s">
        <v>275</v>
      </c>
      <c r="I373" s="85" t="s">
        <v>276</v>
      </c>
      <c r="J373" s="85" t="s">
        <v>335</v>
      </c>
      <c r="K373" s="85" t="s">
        <v>405</v>
      </c>
      <c r="L373" s="85" t="s">
        <v>335</v>
      </c>
      <c r="M373" s="85" t="s">
        <v>236</v>
      </c>
      <c r="N373" s="85" t="s">
        <v>135</v>
      </c>
      <c r="O373" s="85" t="s">
        <v>142</v>
      </c>
      <c r="P373" s="85" t="s">
        <v>483</v>
      </c>
      <c r="Q373" s="85" t="s">
        <v>1267</v>
      </c>
      <c r="R373" s="85">
        <v>4</v>
      </c>
      <c r="S373" s="85">
        <v>1270</v>
      </c>
      <c r="T373" s="2">
        <v>44119</v>
      </c>
      <c r="U373" s="2">
        <v>44168</v>
      </c>
    </row>
    <row r="374" spans="1:21" x14ac:dyDescent="0.2">
      <c r="A374" s="3" t="str">
        <f>HYPERLINK("http://www.ofsted.gov.uk/inspection-reports/find-inspection-report/provider/ELS/135875 ","Ofsted School Webpage")</f>
        <v>Ofsted School Webpage</v>
      </c>
      <c r="B374" s="85">
        <v>135875</v>
      </c>
      <c r="C374" s="85">
        <v>3526909</v>
      </c>
      <c r="D374" s="85" t="s">
        <v>1268</v>
      </c>
      <c r="E374" s="85" t="s">
        <v>82</v>
      </c>
      <c r="F374" s="85" t="s">
        <v>404</v>
      </c>
      <c r="G374" s="2">
        <v>40057</v>
      </c>
      <c r="H374" s="85" t="s">
        <v>275</v>
      </c>
      <c r="I374" s="85" t="s">
        <v>256</v>
      </c>
      <c r="J374" s="85" t="s">
        <v>257</v>
      </c>
      <c r="K374" s="85" t="s">
        <v>405</v>
      </c>
      <c r="L374" s="85" t="s">
        <v>258</v>
      </c>
      <c r="M374" s="85" t="s">
        <v>148</v>
      </c>
      <c r="N374" s="85" t="s">
        <v>148</v>
      </c>
      <c r="O374" s="85" t="s">
        <v>151</v>
      </c>
      <c r="P374" s="85" t="s">
        <v>1057</v>
      </c>
      <c r="Q374" s="85" t="s">
        <v>1269</v>
      </c>
      <c r="R374" s="85">
        <v>5</v>
      </c>
      <c r="S374" s="85">
        <v>913</v>
      </c>
      <c r="T374" s="2">
        <v>44119</v>
      </c>
      <c r="U374" s="2">
        <v>44159</v>
      </c>
    </row>
    <row r="375" spans="1:21" x14ac:dyDescent="0.2">
      <c r="A375" s="3" t="str">
        <f>HYPERLINK("http://www.ofsted.gov.uk/inspection-reports/find-inspection-report/provider/ELS/138454 ","Ofsted School Webpage")</f>
        <v>Ofsted School Webpage</v>
      </c>
      <c r="B375" s="85">
        <v>138454</v>
      </c>
      <c r="C375" s="85">
        <v>3207002</v>
      </c>
      <c r="D375" s="85" t="s">
        <v>1270</v>
      </c>
      <c r="E375" s="85" t="s">
        <v>83</v>
      </c>
      <c r="F375" s="85" t="s">
        <v>1064</v>
      </c>
      <c r="G375" s="2">
        <v>41153</v>
      </c>
      <c r="H375" s="85" t="s">
        <v>255</v>
      </c>
      <c r="I375" s="85" t="s">
        <v>276</v>
      </c>
      <c r="J375" s="85" t="s">
        <v>405</v>
      </c>
      <c r="K375" s="85" t="s">
        <v>405</v>
      </c>
      <c r="L375" s="85" t="s">
        <v>258</v>
      </c>
      <c r="M375" s="85" t="s">
        <v>107</v>
      </c>
      <c r="N375" s="85" t="s">
        <v>107</v>
      </c>
      <c r="O375" s="85" t="s">
        <v>128</v>
      </c>
      <c r="P375" s="85" t="s">
        <v>1271</v>
      </c>
      <c r="Q375" s="85" t="s">
        <v>1272</v>
      </c>
      <c r="R375" s="85">
        <v>4</v>
      </c>
      <c r="S375" s="85">
        <v>294</v>
      </c>
      <c r="T375" s="2">
        <v>44119</v>
      </c>
      <c r="U375" s="2">
        <v>44157</v>
      </c>
    </row>
    <row r="376" spans="1:21" x14ac:dyDescent="0.2">
      <c r="A376" s="3" t="str">
        <f>HYPERLINK("http://www.ofsted.gov.uk/inspection-reports/find-inspection-report/provider/ELS/139865 ","Ofsted School Webpage")</f>
        <v>Ofsted School Webpage</v>
      </c>
      <c r="B376" s="85">
        <v>139865</v>
      </c>
      <c r="C376" s="85">
        <v>8233320</v>
      </c>
      <c r="D376" s="85" t="s">
        <v>1273</v>
      </c>
      <c r="E376" s="85" t="s">
        <v>81</v>
      </c>
      <c r="F376" s="85" t="s">
        <v>400</v>
      </c>
      <c r="G376" s="2">
        <v>41456</v>
      </c>
      <c r="H376" s="85" t="s">
        <v>255</v>
      </c>
      <c r="I376" s="85" t="s">
        <v>256</v>
      </c>
      <c r="J376" s="85" t="s">
        <v>342</v>
      </c>
      <c r="K376" s="85" t="s">
        <v>257</v>
      </c>
      <c r="L376" s="85" t="s">
        <v>335</v>
      </c>
      <c r="M376" s="85" t="s">
        <v>95</v>
      </c>
      <c r="N376" s="85" t="s">
        <v>95</v>
      </c>
      <c r="O376" s="85" t="s">
        <v>105</v>
      </c>
      <c r="P376" s="85" t="s">
        <v>1215</v>
      </c>
      <c r="Q376" s="85" t="s">
        <v>1274</v>
      </c>
      <c r="R376" s="85">
        <v>1</v>
      </c>
      <c r="S376" s="85">
        <v>113</v>
      </c>
      <c r="T376" s="2">
        <v>44119</v>
      </c>
      <c r="U376" s="2">
        <v>44151</v>
      </c>
    </row>
    <row r="377" spans="1:21" x14ac:dyDescent="0.2">
      <c r="A377" s="3" t="str">
        <f>HYPERLINK("http://www.ofsted.gov.uk/inspection-reports/find-inspection-report/provider/ELS/142045 ","Ofsted School Webpage")</f>
        <v>Ofsted School Webpage</v>
      </c>
      <c r="B377" s="85">
        <v>142045</v>
      </c>
      <c r="C377" s="85">
        <v>8782057</v>
      </c>
      <c r="D377" s="85" t="s">
        <v>1275</v>
      </c>
      <c r="E377" s="85" t="s">
        <v>81</v>
      </c>
      <c r="F377" s="85" t="s">
        <v>404</v>
      </c>
      <c r="G377" s="2">
        <v>42186</v>
      </c>
      <c r="H377" s="85" t="s">
        <v>255</v>
      </c>
      <c r="I377" s="85" t="s">
        <v>256</v>
      </c>
      <c r="J377" s="85" t="s">
        <v>342</v>
      </c>
      <c r="K377" s="85" t="s">
        <v>405</v>
      </c>
      <c r="L377" s="85" t="s">
        <v>335</v>
      </c>
      <c r="M377" s="85" t="s">
        <v>188</v>
      </c>
      <c r="N377" s="85" t="s">
        <v>188</v>
      </c>
      <c r="O377" s="85" t="s">
        <v>197</v>
      </c>
      <c r="P377" s="85" t="s">
        <v>1276</v>
      </c>
      <c r="Q377" s="85" t="s">
        <v>1277</v>
      </c>
      <c r="R377" s="85">
        <v>2</v>
      </c>
      <c r="S377" s="85">
        <v>140</v>
      </c>
      <c r="T377" s="2">
        <v>44119</v>
      </c>
      <c r="U377" s="2">
        <v>44157</v>
      </c>
    </row>
    <row r="378" spans="1:21" x14ac:dyDescent="0.2">
      <c r="A378" s="3" t="str">
        <f>HYPERLINK("http://www.ofsted.gov.uk/inspection-reports/find-inspection-report/provider/ELS/137700 ","Ofsted School Webpage")</f>
        <v>Ofsted School Webpage</v>
      </c>
      <c r="B378" s="85">
        <v>137700</v>
      </c>
      <c r="C378" s="85">
        <v>8012029</v>
      </c>
      <c r="D378" s="85" t="s">
        <v>1278</v>
      </c>
      <c r="E378" s="85" t="s">
        <v>81</v>
      </c>
      <c r="F378" s="85" t="s">
        <v>404</v>
      </c>
      <c r="G378" s="2">
        <v>40909</v>
      </c>
      <c r="H378" s="85" t="s">
        <v>255</v>
      </c>
      <c r="I378" s="85" t="s">
        <v>255</v>
      </c>
      <c r="J378" s="85" t="s">
        <v>405</v>
      </c>
      <c r="K378" s="85" t="s">
        <v>405</v>
      </c>
      <c r="L378" s="85" t="s">
        <v>258</v>
      </c>
      <c r="M378" s="85" t="s">
        <v>188</v>
      </c>
      <c r="N378" s="85" t="s">
        <v>188</v>
      </c>
      <c r="O378" s="85" t="s">
        <v>189</v>
      </c>
      <c r="P378" s="85" t="s">
        <v>406</v>
      </c>
      <c r="Q378" s="85" t="s">
        <v>1279</v>
      </c>
      <c r="R378" s="85">
        <v>5</v>
      </c>
      <c r="S378" s="85">
        <v>322</v>
      </c>
      <c r="T378" s="2">
        <v>44119</v>
      </c>
      <c r="U378" s="2">
        <v>44151</v>
      </c>
    </row>
    <row r="379" spans="1:21" x14ac:dyDescent="0.2">
      <c r="A379" s="3" t="str">
        <f>HYPERLINK("http://www.ofsted.gov.uk/inspection-reports/find-inspection-report/provider/ELS/137528 ","Ofsted School Webpage")</f>
        <v>Ofsted School Webpage</v>
      </c>
      <c r="B379" s="85">
        <v>137528</v>
      </c>
      <c r="C379" s="85">
        <v>8782474</v>
      </c>
      <c r="D379" s="85" t="s">
        <v>1280</v>
      </c>
      <c r="E379" s="85" t="s">
        <v>81</v>
      </c>
      <c r="F379" s="85" t="s">
        <v>400</v>
      </c>
      <c r="G379" s="2">
        <v>40817</v>
      </c>
      <c r="H379" s="85" t="s">
        <v>255</v>
      </c>
      <c r="I379" s="85" t="s">
        <v>255</v>
      </c>
      <c r="J379" s="85" t="s">
        <v>257</v>
      </c>
      <c r="K379" s="85" t="s">
        <v>257</v>
      </c>
      <c r="L379" s="85" t="s">
        <v>258</v>
      </c>
      <c r="M379" s="85" t="s">
        <v>188</v>
      </c>
      <c r="N379" s="85" t="s">
        <v>188</v>
      </c>
      <c r="O379" s="85" t="s">
        <v>197</v>
      </c>
      <c r="P379" s="85" t="s">
        <v>978</v>
      </c>
      <c r="Q379" s="85" t="s">
        <v>1281</v>
      </c>
      <c r="R379" s="85">
        <v>2</v>
      </c>
      <c r="S379" s="85">
        <v>426</v>
      </c>
      <c r="T379" s="2">
        <v>44119</v>
      </c>
      <c r="U379" s="2">
        <v>44154</v>
      </c>
    </row>
    <row r="380" spans="1:21" x14ac:dyDescent="0.2">
      <c r="A380" s="3" t="str">
        <f>HYPERLINK("http://www.ofsted.gov.uk/inspection-reports/find-inspection-report/provider/ELS/142084 ","Ofsted School Webpage")</f>
        <v>Ofsted School Webpage</v>
      </c>
      <c r="B380" s="85">
        <v>142084</v>
      </c>
      <c r="C380" s="85">
        <v>9362036</v>
      </c>
      <c r="D380" s="85" t="s">
        <v>1282</v>
      </c>
      <c r="E380" s="85" t="s">
        <v>81</v>
      </c>
      <c r="F380" s="85" t="s">
        <v>404</v>
      </c>
      <c r="G380" s="2">
        <v>42339</v>
      </c>
      <c r="H380" s="85" t="s">
        <v>255</v>
      </c>
      <c r="I380" s="85" t="s">
        <v>256</v>
      </c>
      <c r="J380" s="85" t="s">
        <v>257</v>
      </c>
      <c r="K380" s="85" t="s">
        <v>405</v>
      </c>
      <c r="L380" s="85" t="s">
        <v>258</v>
      </c>
      <c r="M380" s="85" t="s">
        <v>169</v>
      </c>
      <c r="N380" s="85" t="s">
        <v>169</v>
      </c>
      <c r="O380" s="85" t="s">
        <v>175</v>
      </c>
      <c r="P380" s="85" t="s">
        <v>1283</v>
      </c>
      <c r="Q380" s="85" t="s">
        <v>1284</v>
      </c>
      <c r="R380" s="85">
        <v>1</v>
      </c>
      <c r="S380" s="85">
        <v>157</v>
      </c>
      <c r="T380" s="2">
        <v>44119</v>
      </c>
      <c r="U380" s="2">
        <v>44160</v>
      </c>
    </row>
    <row r="381" spans="1:21" x14ac:dyDescent="0.2">
      <c r="A381" s="3" t="str">
        <f>HYPERLINK("http://www.ofsted.gov.uk/inspection-reports/find-inspection-report/provider/ELS/140821 ","Ofsted School Webpage")</f>
        <v>Ofsted School Webpage</v>
      </c>
      <c r="B381" s="85">
        <v>140821</v>
      </c>
      <c r="C381" s="85">
        <v>3734008</v>
      </c>
      <c r="D381" s="85" t="s">
        <v>1285</v>
      </c>
      <c r="E381" s="85" t="s">
        <v>82</v>
      </c>
      <c r="F381" s="85" t="s">
        <v>404</v>
      </c>
      <c r="G381" s="2">
        <v>41760</v>
      </c>
      <c r="H381" s="85" t="s">
        <v>275</v>
      </c>
      <c r="I381" s="85" t="s">
        <v>256</v>
      </c>
      <c r="J381" s="85" t="s">
        <v>257</v>
      </c>
      <c r="K381" s="85" t="s">
        <v>405</v>
      </c>
      <c r="L381" s="85" t="s">
        <v>258</v>
      </c>
      <c r="M381" s="85" t="s">
        <v>236</v>
      </c>
      <c r="N381" s="85" t="s">
        <v>218</v>
      </c>
      <c r="O381" s="85" t="s">
        <v>226</v>
      </c>
      <c r="P381" s="85" t="s">
        <v>812</v>
      </c>
      <c r="Q381" s="85" t="s">
        <v>1286</v>
      </c>
      <c r="R381" s="85">
        <v>5</v>
      </c>
      <c r="S381" s="85">
        <v>1039</v>
      </c>
      <c r="T381" s="2">
        <v>44119</v>
      </c>
      <c r="U381" s="2">
        <v>44159</v>
      </c>
    </row>
    <row r="382" spans="1:21" x14ac:dyDescent="0.2">
      <c r="A382" s="3" t="str">
        <f>HYPERLINK("http://www.ofsted.gov.uk/inspection-reports/find-inspection-report/provider/ELS/139336 ","Ofsted School Webpage")</f>
        <v>Ofsted School Webpage</v>
      </c>
      <c r="B382" s="85">
        <v>139336</v>
      </c>
      <c r="C382" s="85">
        <v>3732013</v>
      </c>
      <c r="D382" s="85" t="s">
        <v>1287</v>
      </c>
      <c r="E382" s="85" t="s">
        <v>81</v>
      </c>
      <c r="F382" s="85" t="s">
        <v>404</v>
      </c>
      <c r="G382" s="2">
        <v>41365</v>
      </c>
      <c r="H382" s="85" t="s">
        <v>255</v>
      </c>
      <c r="I382" s="85" t="s">
        <v>256</v>
      </c>
      <c r="J382" s="85" t="s">
        <v>257</v>
      </c>
      <c r="K382" s="85" t="s">
        <v>405</v>
      </c>
      <c r="L382" s="85" t="s">
        <v>258</v>
      </c>
      <c r="M382" s="85" t="s">
        <v>236</v>
      </c>
      <c r="N382" s="85" t="s">
        <v>218</v>
      </c>
      <c r="O382" s="85" t="s">
        <v>226</v>
      </c>
      <c r="P382" s="85" t="s">
        <v>1288</v>
      </c>
      <c r="Q382" s="85" t="s">
        <v>1289</v>
      </c>
      <c r="R382" s="85">
        <v>5</v>
      </c>
      <c r="S382" s="85">
        <v>469</v>
      </c>
      <c r="T382" s="2">
        <v>44119</v>
      </c>
      <c r="U382" s="2">
        <v>44154</v>
      </c>
    </row>
    <row r="383" spans="1:21" x14ac:dyDescent="0.2">
      <c r="A383" s="3" t="str">
        <f>HYPERLINK("http://www.ofsted.gov.uk/inspection-reports/find-inspection-report/provider/ELS/145260 ","Ofsted School Webpage")</f>
        <v>Ofsted School Webpage</v>
      </c>
      <c r="B383" s="85">
        <v>145260</v>
      </c>
      <c r="C383" s="85">
        <v>8022261</v>
      </c>
      <c r="D383" s="85" t="s">
        <v>1290</v>
      </c>
      <c r="E383" s="85" t="s">
        <v>81</v>
      </c>
      <c r="F383" s="85" t="s">
        <v>400</v>
      </c>
      <c r="G383" s="2">
        <v>43191</v>
      </c>
      <c r="H383" s="85" t="s">
        <v>255</v>
      </c>
      <c r="I383" s="85" t="s">
        <v>256</v>
      </c>
      <c r="J383" s="85" t="s">
        <v>257</v>
      </c>
      <c r="K383" s="85" t="s">
        <v>257</v>
      </c>
      <c r="L383" s="85" t="s">
        <v>258</v>
      </c>
      <c r="M383" s="85" t="s">
        <v>188</v>
      </c>
      <c r="N383" s="85" t="s">
        <v>188</v>
      </c>
      <c r="O383" s="85" t="s">
        <v>199</v>
      </c>
      <c r="P383" s="85" t="s">
        <v>199</v>
      </c>
      <c r="Q383" s="85" t="s">
        <v>1291</v>
      </c>
      <c r="R383" s="85">
        <v>1</v>
      </c>
      <c r="S383" s="85">
        <v>218</v>
      </c>
      <c r="T383" s="2">
        <v>44119</v>
      </c>
      <c r="U383" s="2">
        <v>44154</v>
      </c>
    </row>
    <row r="384" spans="1:21" x14ac:dyDescent="0.2">
      <c r="A384" s="3" t="str">
        <f>HYPERLINK("http://www.ofsted.gov.uk/inspection-reports/find-inspection-report/provider/ELS/124526 ","Ofsted School Webpage")</f>
        <v>Ofsted School Webpage</v>
      </c>
      <c r="B384" s="85">
        <v>124526</v>
      </c>
      <c r="C384" s="85">
        <v>9351100</v>
      </c>
      <c r="D384" s="85" t="s">
        <v>1292</v>
      </c>
      <c r="E384" s="85" t="s">
        <v>84</v>
      </c>
      <c r="F384" s="85" t="s">
        <v>396</v>
      </c>
      <c r="G384" s="85" t="s">
        <v>262</v>
      </c>
      <c r="H384" s="85" t="s">
        <v>255</v>
      </c>
      <c r="I384" s="85" t="s">
        <v>255</v>
      </c>
      <c r="J384" s="85" t="s">
        <v>257</v>
      </c>
      <c r="K384" s="85" t="s">
        <v>257</v>
      </c>
      <c r="L384" s="85" t="s">
        <v>258</v>
      </c>
      <c r="M384" s="85" t="s">
        <v>95</v>
      </c>
      <c r="N384" s="85" t="s">
        <v>95</v>
      </c>
      <c r="O384" s="85" t="s">
        <v>99</v>
      </c>
      <c r="P384" s="85" t="s">
        <v>1251</v>
      </c>
      <c r="Q384" s="85" t="s">
        <v>1293</v>
      </c>
      <c r="R384" s="85">
        <v>5</v>
      </c>
      <c r="S384" s="85">
        <v>5</v>
      </c>
      <c r="T384" s="2">
        <v>44119</v>
      </c>
      <c r="U384" s="2">
        <v>44151</v>
      </c>
    </row>
    <row r="385" spans="1:21" x14ac:dyDescent="0.2">
      <c r="A385" s="3" t="str">
        <f>HYPERLINK("http://www.ofsted.gov.uk/inspection-reports/find-inspection-report/provider/ELS/104133 ","Ofsted School Webpage")</f>
        <v>Ofsted School Webpage</v>
      </c>
      <c r="B385" s="85">
        <v>104133</v>
      </c>
      <c r="C385" s="85">
        <v>3347007</v>
      </c>
      <c r="D385" s="85" t="s">
        <v>1294</v>
      </c>
      <c r="E385" s="85" t="s">
        <v>83</v>
      </c>
      <c r="F385" s="85" t="s">
        <v>389</v>
      </c>
      <c r="G385" s="85" t="s">
        <v>262</v>
      </c>
      <c r="H385" s="85" t="s">
        <v>255</v>
      </c>
      <c r="I385" s="85" t="s">
        <v>276</v>
      </c>
      <c r="J385" s="85" t="s">
        <v>257</v>
      </c>
      <c r="K385" s="85" t="s">
        <v>257</v>
      </c>
      <c r="L385" s="85" t="s">
        <v>258</v>
      </c>
      <c r="M385" s="85" t="s">
        <v>203</v>
      </c>
      <c r="N385" s="85" t="s">
        <v>203</v>
      </c>
      <c r="O385" s="85" t="s">
        <v>213</v>
      </c>
      <c r="P385" s="85" t="s">
        <v>1295</v>
      </c>
      <c r="Q385" s="85" t="s">
        <v>1296</v>
      </c>
      <c r="R385" s="85">
        <v>5</v>
      </c>
      <c r="S385" s="85">
        <v>118</v>
      </c>
      <c r="T385" s="2">
        <v>44119</v>
      </c>
      <c r="U385" s="2">
        <v>44154</v>
      </c>
    </row>
    <row r="386" spans="1:21" x14ac:dyDescent="0.2">
      <c r="A386" s="3" t="str">
        <f>HYPERLINK("http://www.ofsted.gov.uk/inspection-reports/find-inspection-report/provider/ELS/119876 ","Ofsted School Webpage")</f>
        <v>Ofsted School Webpage</v>
      </c>
      <c r="B386" s="85">
        <v>119876</v>
      </c>
      <c r="C386" s="85">
        <v>8887034</v>
      </c>
      <c r="D386" s="85" t="s">
        <v>1297</v>
      </c>
      <c r="E386" s="85" t="s">
        <v>83</v>
      </c>
      <c r="F386" s="85" t="s">
        <v>389</v>
      </c>
      <c r="G386" s="85" t="s">
        <v>262</v>
      </c>
      <c r="H386" s="85" t="s">
        <v>255</v>
      </c>
      <c r="I386" s="85" t="s">
        <v>255</v>
      </c>
      <c r="J386" s="85" t="s">
        <v>257</v>
      </c>
      <c r="K386" s="85" t="s">
        <v>257</v>
      </c>
      <c r="L386" s="85" t="s">
        <v>258</v>
      </c>
      <c r="M386" s="85" t="s">
        <v>148</v>
      </c>
      <c r="N386" s="85" t="s">
        <v>148</v>
      </c>
      <c r="O386" s="85" t="s">
        <v>149</v>
      </c>
      <c r="P386" s="85" t="s">
        <v>953</v>
      </c>
      <c r="Q386" s="85" t="s">
        <v>1298</v>
      </c>
      <c r="R386" s="85">
        <v>4</v>
      </c>
      <c r="S386" s="85">
        <v>158</v>
      </c>
      <c r="T386" s="2">
        <v>44119</v>
      </c>
      <c r="U386" s="2">
        <v>44160</v>
      </c>
    </row>
    <row r="387" spans="1:21" x14ac:dyDescent="0.2">
      <c r="A387" s="3" t="str">
        <f>HYPERLINK("http://www.ofsted.gov.uk/inspection-reports/find-inspection-report/provider/ELS/112865 ","Ofsted School Webpage")</f>
        <v>Ofsted School Webpage</v>
      </c>
      <c r="B387" s="85">
        <v>112865</v>
      </c>
      <c r="C387" s="85">
        <v>8303101</v>
      </c>
      <c r="D387" s="85" t="s">
        <v>1299</v>
      </c>
      <c r="E387" s="85" t="s">
        <v>81</v>
      </c>
      <c r="F387" s="85" t="s">
        <v>360</v>
      </c>
      <c r="G387" s="85" t="s">
        <v>262</v>
      </c>
      <c r="H387" s="85" t="s">
        <v>255</v>
      </c>
      <c r="I387" s="85" t="s">
        <v>256</v>
      </c>
      <c r="J387" s="85" t="s">
        <v>342</v>
      </c>
      <c r="K387" s="85" t="s">
        <v>257</v>
      </c>
      <c r="L387" s="85" t="s">
        <v>335</v>
      </c>
      <c r="M387" s="85" t="s">
        <v>85</v>
      </c>
      <c r="N387" s="85" t="s">
        <v>85</v>
      </c>
      <c r="O387" s="85" t="s">
        <v>86</v>
      </c>
      <c r="P387" s="85" t="s">
        <v>286</v>
      </c>
      <c r="Q387" s="85" t="s">
        <v>1300</v>
      </c>
      <c r="R387" s="85">
        <v>3</v>
      </c>
      <c r="S387" s="85">
        <v>317</v>
      </c>
      <c r="T387" s="2">
        <v>44119</v>
      </c>
      <c r="U387" s="2">
        <v>44152</v>
      </c>
    </row>
    <row r="388" spans="1:21" x14ac:dyDescent="0.2">
      <c r="A388" s="3" t="str">
        <f>HYPERLINK("http://www.ofsted.gov.uk/inspection-reports/find-inspection-report/provider/ELS/125148 ","Ofsted School Webpage")</f>
        <v>Ofsted School Webpage</v>
      </c>
      <c r="B388" s="85">
        <v>125148</v>
      </c>
      <c r="C388" s="85">
        <v>9363033</v>
      </c>
      <c r="D388" s="85" t="s">
        <v>1301</v>
      </c>
      <c r="E388" s="85" t="s">
        <v>81</v>
      </c>
      <c r="F388" s="85" t="s">
        <v>360</v>
      </c>
      <c r="G388" s="85" t="s">
        <v>262</v>
      </c>
      <c r="H388" s="85" t="s">
        <v>255</v>
      </c>
      <c r="I388" s="85" t="s">
        <v>256</v>
      </c>
      <c r="J388" s="85" t="s">
        <v>342</v>
      </c>
      <c r="K388" s="85" t="s">
        <v>257</v>
      </c>
      <c r="L388" s="85" t="s">
        <v>335</v>
      </c>
      <c r="M388" s="85" t="s">
        <v>169</v>
      </c>
      <c r="N388" s="85" t="s">
        <v>169</v>
      </c>
      <c r="O388" s="85" t="s">
        <v>175</v>
      </c>
      <c r="P388" s="85" t="s">
        <v>887</v>
      </c>
      <c r="Q388" s="85" t="s">
        <v>1302</v>
      </c>
      <c r="R388" s="85">
        <v>2</v>
      </c>
      <c r="S388" s="85">
        <v>86</v>
      </c>
      <c r="T388" s="2">
        <v>44119</v>
      </c>
      <c r="U388" s="2">
        <v>44151</v>
      </c>
    </row>
    <row r="389" spans="1:21" x14ac:dyDescent="0.2">
      <c r="A389" s="3" t="str">
        <f>HYPERLINK("http://www.ofsted.gov.uk/inspection-reports/find-inspection-report/provider/ELS/116654 ","Ofsted School Webpage")</f>
        <v>Ofsted School Webpage</v>
      </c>
      <c r="B389" s="85">
        <v>116654</v>
      </c>
      <c r="C389" s="85">
        <v>8842011</v>
      </c>
      <c r="D389" s="85" t="s">
        <v>1303</v>
      </c>
      <c r="E389" s="85" t="s">
        <v>81</v>
      </c>
      <c r="F389" s="85" t="s">
        <v>382</v>
      </c>
      <c r="G389" s="85" t="s">
        <v>262</v>
      </c>
      <c r="H389" s="85" t="s">
        <v>255</v>
      </c>
      <c r="I389" s="85" t="s">
        <v>256</v>
      </c>
      <c r="J389" s="85" t="s">
        <v>405</v>
      </c>
      <c r="K389" s="85" t="s">
        <v>257</v>
      </c>
      <c r="L389" s="85" t="s">
        <v>258</v>
      </c>
      <c r="M389" s="85" t="s">
        <v>203</v>
      </c>
      <c r="N389" s="85" t="s">
        <v>203</v>
      </c>
      <c r="O389" s="85" t="s">
        <v>204</v>
      </c>
      <c r="P389" s="85" t="s">
        <v>1304</v>
      </c>
      <c r="Q389" s="85" t="s">
        <v>1305</v>
      </c>
      <c r="R389" s="85">
        <v>3</v>
      </c>
      <c r="S389" s="85">
        <v>31</v>
      </c>
      <c r="T389" s="2">
        <v>44119</v>
      </c>
      <c r="U389" s="2">
        <v>44151</v>
      </c>
    </row>
    <row r="390" spans="1:21" x14ac:dyDescent="0.2">
      <c r="A390" s="3" t="str">
        <f>HYPERLINK("http://www.ofsted.gov.uk/inspection-reports/find-inspection-report/provider/ELS/141955 ","Ofsted School Webpage")</f>
        <v>Ofsted School Webpage</v>
      </c>
      <c r="B390" s="85">
        <v>141955</v>
      </c>
      <c r="C390" s="85">
        <v>8782046</v>
      </c>
      <c r="D390" s="85" t="s">
        <v>1306</v>
      </c>
      <c r="E390" s="85" t="s">
        <v>81</v>
      </c>
      <c r="F390" s="85" t="s">
        <v>333</v>
      </c>
      <c r="G390" s="2">
        <v>42979</v>
      </c>
      <c r="H390" s="85" t="s">
        <v>255</v>
      </c>
      <c r="I390" s="85" t="s">
        <v>256</v>
      </c>
      <c r="J390" s="85" t="s">
        <v>342</v>
      </c>
      <c r="K390" s="85" t="s">
        <v>257</v>
      </c>
      <c r="L390" s="85" t="s">
        <v>335</v>
      </c>
      <c r="M390" s="85" t="s">
        <v>188</v>
      </c>
      <c r="N390" s="85" t="s">
        <v>188</v>
      </c>
      <c r="O390" s="85" t="s">
        <v>197</v>
      </c>
      <c r="P390" s="85" t="s">
        <v>1307</v>
      </c>
      <c r="Q390" s="85" t="s">
        <v>1308</v>
      </c>
      <c r="R390" s="85">
        <v>3</v>
      </c>
      <c r="S390" s="85">
        <v>185</v>
      </c>
      <c r="T390" s="2">
        <v>44119</v>
      </c>
      <c r="U390" s="2">
        <v>44151</v>
      </c>
    </row>
    <row r="391" spans="1:21" x14ac:dyDescent="0.2">
      <c r="A391" s="3" t="str">
        <f>HYPERLINK("http://www.ofsted.gov.uk/inspection-reports/find-inspection-report/provider/ELS/115659 ","Ofsted School Webpage")</f>
        <v>Ofsted School Webpage</v>
      </c>
      <c r="B391" s="85">
        <v>115659</v>
      </c>
      <c r="C391" s="85">
        <v>9163078</v>
      </c>
      <c r="D391" s="85" t="s">
        <v>1309</v>
      </c>
      <c r="E391" s="85" t="s">
        <v>81</v>
      </c>
      <c r="F391" s="85" t="s">
        <v>360</v>
      </c>
      <c r="G391" s="2">
        <v>1</v>
      </c>
      <c r="H391" s="85" t="s">
        <v>255</v>
      </c>
      <c r="I391" s="85" t="s">
        <v>256</v>
      </c>
      <c r="J391" s="85" t="s">
        <v>342</v>
      </c>
      <c r="K391" s="85" t="s">
        <v>257</v>
      </c>
      <c r="L391" s="85" t="s">
        <v>335</v>
      </c>
      <c r="M391" s="85" t="s">
        <v>188</v>
      </c>
      <c r="N391" s="85" t="s">
        <v>188</v>
      </c>
      <c r="O391" s="85" t="s">
        <v>194</v>
      </c>
      <c r="P391" s="85" t="s">
        <v>1310</v>
      </c>
      <c r="Q391" s="85" t="s">
        <v>1311</v>
      </c>
      <c r="R391" s="85">
        <v>3</v>
      </c>
      <c r="S391" s="85">
        <v>142</v>
      </c>
      <c r="T391" s="2">
        <v>44119</v>
      </c>
      <c r="U391" s="2">
        <v>44146</v>
      </c>
    </row>
    <row r="392" spans="1:21" x14ac:dyDescent="0.2">
      <c r="A392" s="3" t="str">
        <f>HYPERLINK("http://www.ofsted.gov.uk/inspection-reports/find-inspection-report/provider/ELS/110817 ","Ofsted School Webpage")</f>
        <v>Ofsted School Webpage</v>
      </c>
      <c r="B392" s="85">
        <v>110817</v>
      </c>
      <c r="C392" s="85">
        <v>8733071</v>
      </c>
      <c r="D392" s="85" t="s">
        <v>1312</v>
      </c>
      <c r="E392" s="85" t="s">
        <v>81</v>
      </c>
      <c r="F392" s="85" t="s">
        <v>360</v>
      </c>
      <c r="G392" s="85" t="s">
        <v>262</v>
      </c>
      <c r="H392" s="85" t="s">
        <v>255</v>
      </c>
      <c r="I392" s="85" t="s">
        <v>256</v>
      </c>
      <c r="J392" s="85" t="s">
        <v>342</v>
      </c>
      <c r="K392" s="85" t="s">
        <v>257</v>
      </c>
      <c r="L392" s="85" t="s">
        <v>335</v>
      </c>
      <c r="M392" s="85" t="s">
        <v>95</v>
      </c>
      <c r="N392" s="85" t="s">
        <v>95</v>
      </c>
      <c r="O392" s="85" t="s">
        <v>97</v>
      </c>
      <c r="P392" s="85" t="s">
        <v>523</v>
      </c>
      <c r="Q392" s="85" t="s">
        <v>1313</v>
      </c>
      <c r="R392" s="85">
        <v>1</v>
      </c>
      <c r="S392" s="85">
        <v>202</v>
      </c>
      <c r="T392" s="2">
        <v>44119</v>
      </c>
      <c r="U392" s="2">
        <v>44157</v>
      </c>
    </row>
    <row r="393" spans="1:21" x14ac:dyDescent="0.2">
      <c r="A393" s="3" t="str">
        <f>HYPERLINK("http://www.ofsted.gov.uk/inspection-reports/find-inspection-report/provider/ELS/117974 ","Ofsted School Webpage")</f>
        <v>Ofsted School Webpage</v>
      </c>
      <c r="B393" s="85">
        <v>117974</v>
      </c>
      <c r="C393" s="85">
        <v>8113019</v>
      </c>
      <c r="D393" s="85" t="s">
        <v>1314</v>
      </c>
      <c r="E393" s="85" t="s">
        <v>81</v>
      </c>
      <c r="F393" s="85" t="s">
        <v>360</v>
      </c>
      <c r="G393" s="85" t="s">
        <v>262</v>
      </c>
      <c r="H393" s="85" t="s">
        <v>255</v>
      </c>
      <c r="I393" s="85" t="s">
        <v>256</v>
      </c>
      <c r="J393" s="85" t="s">
        <v>342</v>
      </c>
      <c r="K393" s="85" t="s">
        <v>257</v>
      </c>
      <c r="L393" s="85" t="s">
        <v>335</v>
      </c>
      <c r="M393" s="85" t="s">
        <v>236</v>
      </c>
      <c r="N393" s="85" t="s">
        <v>218</v>
      </c>
      <c r="O393" s="85" t="s">
        <v>220</v>
      </c>
      <c r="P393" s="85" t="s">
        <v>728</v>
      </c>
      <c r="Q393" s="85" t="s">
        <v>1315</v>
      </c>
      <c r="R393" s="85">
        <v>2</v>
      </c>
      <c r="S393" s="85">
        <v>179</v>
      </c>
      <c r="T393" s="2">
        <v>44119</v>
      </c>
      <c r="U393" s="2">
        <v>44161</v>
      </c>
    </row>
    <row r="394" spans="1:21" x14ac:dyDescent="0.2">
      <c r="A394" s="3" t="str">
        <f>HYPERLINK("http://www.ofsted.gov.uk/inspection-reports/find-inspection-report/provider/ELS/126332 ","Ofsted School Webpage")</f>
        <v>Ofsted School Webpage</v>
      </c>
      <c r="B394" s="85">
        <v>126332</v>
      </c>
      <c r="C394" s="85">
        <v>8653096</v>
      </c>
      <c r="D394" s="85" t="s">
        <v>1316</v>
      </c>
      <c r="E394" s="85" t="s">
        <v>81</v>
      </c>
      <c r="F394" s="85" t="s">
        <v>360</v>
      </c>
      <c r="G394" s="85" t="s">
        <v>262</v>
      </c>
      <c r="H394" s="85" t="s">
        <v>255</v>
      </c>
      <c r="I394" s="85" t="s">
        <v>256</v>
      </c>
      <c r="J394" s="85" t="s">
        <v>342</v>
      </c>
      <c r="K394" s="85" t="s">
        <v>257</v>
      </c>
      <c r="L394" s="85" t="s">
        <v>335</v>
      </c>
      <c r="M394" s="85" t="s">
        <v>188</v>
      </c>
      <c r="N394" s="85" t="s">
        <v>188</v>
      </c>
      <c r="O394" s="85" t="s">
        <v>202</v>
      </c>
      <c r="P394" s="85" t="s">
        <v>1317</v>
      </c>
      <c r="Q394" s="85" t="s">
        <v>1318</v>
      </c>
      <c r="R394" s="85">
        <v>1</v>
      </c>
      <c r="S394" s="85">
        <v>131</v>
      </c>
      <c r="T394" s="2">
        <v>44119</v>
      </c>
      <c r="U394" s="2">
        <v>44152</v>
      </c>
    </row>
    <row r="395" spans="1:21" x14ac:dyDescent="0.2">
      <c r="A395" s="3" t="str">
        <f>HYPERLINK("http://www.ofsted.gov.uk/inspection-reports/find-inspection-report/provider/ELS/135566 ","Ofsted School Webpage")</f>
        <v>Ofsted School Webpage</v>
      </c>
      <c r="B395" s="85">
        <v>135566</v>
      </c>
      <c r="C395" s="85">
        <v>9363944</v>
      </c>
      <c r="D395" s="85" t="s">
        <v>1319</v>
      </c>
      <c r="E395" s="85" t="s">
        <v>81</v>
      </c>
      <c r="F395" s="85" t="s">
        <v>360</v>
      </c>
      <c r="G395" s="2">
        <v>39692</v>
      </c>
      <c r="H395" s="85" t="s">
        <v>255</v>
      </c>
      <c r="I395" s="85" t="s">
        <v>256</v>
      </c>
      <c r="J395" s="85" t="s">
        <v>342</v>
      </c>
      <c r="K395" s="85" t="s">
        <v>257</v>
      </c>
      <c r="L395" s="85" t="s">
        <v>335</v>
      </c>
      <c r="M395" s="85" t="s">
        <v>169</v>
      </c>
      <c r="N395" s="85" t="s">
        <v>169</v>
      </c>
      <c r="O395" s="85" t="s">
        <v>175</v>
      </c>
      <c r="P395" s="85" t="s">
        <v>1087</v>
      </c>
      <c r="Q395" s="85" t="s">
        <v>1320</v>
      </c>
      <c r="R395" s="85">
        <v>1</v>
      </c>
      <c r="S395" s="85">
        <v>275</v>
      </c>
      <c r="T395" s="2">
        <v>44119</v>
      </c>
      <c r="U395" s="2">
        <v>44150</v>
      </c>
    </row>
    <row r="396" spans="1:21" x14ac:dyDescent="0.2">
      <c r="A396" s="3" t="str">
        <f>HYPERLINK("http://www.ofsted.gov.uk/inspection-reports/find-inspection-report/provider/ELS/103617 ","Ofsted School Webpage")</f>
        <v>Ofsted School Webpage</v>
      </c>
      <c r="B396" s="85">
        <v>103617</v>
      </c>
      <c r="C396" s="85">
        <v>3307037</v>
      </c>
      <c r="D396" s="85" t="s">
        <v>1321</v>
      </c>
      <c r="E396" s="85" t="s">
        <v>83</v>
      </c>
      <c r="F396" s="85" t="s">
        <v>389</v>
      </c>
      <c r="G396" s="85" t="s">
        <v>262</v>
      </c>
      <c r="H396" s="85" t="s">
        <v>255</v>
      </c>
      <c r="I396" s="85" t="s">
        <v>256</v>
      </c>
      <c r="J396" s="85" t="s">
        <v>257</v>
      </c>
      <c r="K396" s="85" t="s">
        <v>257</v>
      </c>
      <c r="L396" s="85" t="s">
        <v>258</v>
      </c>
      <c r="M396" s="85" t="s">
        <v>203</v>
      </c>
      <c r="N396" s="85" t="s">
        <v>203</v>
      </c>
      <c r="O396" s="85" t="s">
        <v>209</v>
      </c>
      <c r="P396" s="85" t="s">
        <v>1322</v>
      </c>
      <c r="Q396" s="85" t="s">
        <v>1323</v>
      </c>
      <c r="R396" s="85">
        <v>5</v>
      </c>
      <c r="S396" s="85">
        <v>61</v>
      </c>
      <c r="T396" s="2">
        <v>44119</v>
      </c>
      <c r="U396" s="2">
        <v>44146</v>
      </c>
    </row>
    <row r="397" spans="1:21" x14ac:dyDescent="0.2">
      <c r="A397" s="3" t="str">
        <f>HYPERLINK("http://www.ofsted.gov.uk/inspection-reports/find-inspection-report/provider/ELS/139912 ","Ofsted School Webpage")</f>
        <v>Ofsted School Webpage</v>
      </c>
      <c r="B397" s="85">
        <v>139912</v>
      </c>
      <c r="C397" s="85">
        <v>3822016</v>
      </c>
      <c r="D397" s="85" t="s">
        <v>1324</v>
      </c>
      <c r="E397" s="85" t="s">
        <v>81</v>
      </c>
      <c r="F397" s="85" t="s">
        <v>360</v>
      </c>
      <c r="G397" s="2">
        <v>41730</v>
      </c>
      <c r="H397" s="85" t="s">
        <v>450</v>
      </c>
      <c r="I397" s="85" t="s">
        <v>256</v>
      </c>
      <c r="J397" s="85" t="s">
        <v>405</v>
      </c>
      <c r="K397" s="85" t="s">
        <v>257</v>
      </c>
      <c r="L397" s="85" t="s">
        <v>258</v>
      </c>
      <c r="M397" s="85" t="s">
        <v>236</v>
      </c>
      <c r="N397" s="85" t="s">
        <v>218</v>
      </c>
      <c r="O397" s="85" t="s">
        <v>228</v>
      </c>
      <c r="P397" s="85" t="s">
        <v>1325</v>
      </c>
      <c r="Q397" s="85" t="s">
        <v>1326</v>
      </c>
      <c r="R397" s="85">
        <v>3</v>
      </c>
      <c r="S397" s="85">
        <v>422</v>
      </c>
      <c r="T397" s="2">
        <v>44119</v>
      </c>
      <c r="U397" s="2">
        <v>44153</v>
      </c>
    </row>
    <row r="398" spans="1:21" x14ac:dyDescent="0.2">
      <c r="A398" s="3" t="str">
        <f>HYPERLINK("http://www.ofsted.gov.uk/inspection-reports/find-inspection-report/provider/ELS/115962 ","Ofsted School Webpage")</f>
        <v>Ofsted School Webpage</v>
      </c>
      <c r="B398" s="85">
        <v>115962</v>
      </c>
      <c r="C398" s="85">
        <v>8502206</v>
      </c>
      <c r="D398" s="85" t="s">
        <v>1327</v>
      </c>
      <c r="E398" s="85" t="s">
        <v>81</v>
      </c>
      <c r="F398" s="85" t="s">
        <v>254</v>
      </c>
      <c r="G398" s="85" t="s">
        <v>262</v>
      </c>
      <c r="H398" s="85" t="s">
        <v>255</v>
      </c>
      <c r="I398" s="85" t="s">
        <v>256</v>
      </c>
      <c r="J398" s="85" t="s">
        <v>257</v>
      </c>
      <c r="K398" s="85" t="s">
        <v>257</v>
      </c>
      <c r="L398" s="85" t="s">
        <v>258</v>
      </c>
      <c r="M398" s="85" t="s">
        <v>169</v>
      </c>
      <c r="N398" s="85" t="s">
        <v>169</v>
      </c>
      <c r="O398" s="85" t="s">
        <v>170</v>
      </c>
      <c r="P398" s="85" t="s">
        <v>1328</v>
      </c>
      <c r="Q398" s="85" t="s">
        <v>1329</v>
      </c>
      <c r="R398" s="85">
        <v>4</v>
      </c>
      <c r="S398" s="85">
        <v>263</v>
      </c>
      <c r="T398" s="2">
        <v>44119</v>
      </c>
      <c r="U398" s="2">
        <v>44146</v>
      </c>
    </row>
    <row r="399" spans="1:21" x14ac:dyDescent="0.2">
      <c r="A399" s="3" t="str">
        <f>HYPERLINK("http://www.ofsted.gov.uk/inspection-reports/find-inspection-report/provider/ELS/109571 ","Ofsted School Webpage")</f>
        <v>Ofsted School Webpage</v>
      </c>
      <c r="B399" s="85">
        <v>109571</v>
      </c>
      <c r="C399" s="85">
        <v>8212263</v>
      </c>
      <c r="D399" s="85" t="s">
        <v>1330</v>
      </c>
      <c r="E399" s="85" t="s">
        <v>81</v>
      </c>
      <c r="F399" s="85" t="s">
        <v>254</v>
      </c>
      <c r="G399" s="85" t="s">
        <v>262</v>
      </c>
      <c r="H399" s="85" t="s">
        <v>255</v>
      </c>
      <c r="I399" s="85" t="s">
        <v>256</v>
      </c>
      <c r="J399" s="85" t="s">
        <v>257</v>
      </c>
      <c r="K399" s="85" t="s">
        <v>257</v>
      </c>
      <c r="L399" s="85" t="s">
        <v>258</v>
      </c>
      <c r="M399" s="85" t="s">
        <v>95</v>
      </c>
      <c r="N399" s="85" t="s">
        <v>95</v>
      </c>
      <c r="O399" s="85" t="s">
        <v>101</v>
      </c>
      <c r="P399" s="85" t="s">
        <v>390</v>
      </c>
      <c r="Q399" s="85" t="s">
        <v>1331</v>
      </c>
      <c r="R399" s="85">
        <v>5</v>
      </c>
      <c r="S399" s="85">
        <v>419</v>
      </c>
      <c r="T399" s="2">
        <v>44119</v>
      </c>
      <c r="U399" s="2">
        <v>44157</v>
      </c>
    </row>
    <row r="400" spans="1:21" x14ac:dyDescent="0.2">
      <c r="A400" s="3" t="str">
        <f>HYPERLINK("http://www.ofsted.gov.uk/inspection-reports/find-inspection-report/provider/ELS/118416 ","Ofsted School Webpage")</f>
        <v>Ofsted School Webpage</v>
      </c>
      <c r="B400" s="85">
        <v>118416</v>
      </c>
      <c r="C400" s="85">
        <v>8862345</v>
      </c>
      <c r="D400" s="85" t="s">
        <v>1332</v>
      </c>
      <c r="E400" s="85" t="s">
        <v>81</v>
      </c>
      <c r="F400" s="85" t="s">
        <v>254</v>
      </c>
      <c r="G400" s="85" t="s">
        <v>262</v>
      </c>
      <c r="H400" s="85" t="s">
        <v>255</v>
      </c>
      <c r="I400" s="85" t="s">
        <v>256</v>
      </c>
      <c r="J400" s="85" t="s">
        <v>257</v>
      </c>
      <c r="K400" s="85" t="s">
        <v>257</v>
      </c>
      <c r="L400" s="85" t="s">
        <v>258</v>
      </c>
      <c r="M400" s="85" t="s">
        <v>169</v>
      </c>
      <c r="N400" s="85" t="s">
        <v>169</v>
      </c>
      <c r="O400" s="85" t="s">
        <v>171</v>
      </c>
      <c r="P400" s="85" t="s">
        <v>725</v>
      </c>
      <c r="Q400" s="85" t="s">
        <v>1333</v>
      </c>
      <c r="R400" s="85">
        <v>5</v>
      </c>
      <c r="S400" s="85">
        <v>175</v>
      </c>
      <c r="T400" s="2">
        <v>44119</v>
      </c>
      <c r="U400" s="2">
        <v>44153</v>
      </c>
    </row>
    <row r="401" spans="1:21" x14ac:dyDescent="0.2">
      <c r="A401" s="3" t="str">
        <f>HYPERLINK("http://www.ofsted.gov.uk/inspection-reports/find-inspection-report/provider/ELS/117756 ","Ofsted School Webpage")</f>
        <v>Ofsted School Webpage</v>
      </c>
      <c r="B401" s="85">
        <v>117756</v>
      </c>
      <c r="C401" s="85">
        <v>8132143</v>
      </c>
      <c r="D401" s="85" t="s">
        <v>1334</v>
      </c>
      <c r="E401" s="85" t="s">
        <v>81</v>
      </c>
      <c r="F401" s="85" t="s">
        <v>254</v>
      </c>
      <c r="G401" s="85" t="s">
        <v>262</v>
      </c>
      <c r="H401" s="85" t="s">
        <v>255</v>
      </c>
      <c r="I401" s="85" t="s">
        <v>256</v>
      </c>
      <c r="J401" s="85" t="s">
        <v>257</v>
      </c>
      <c r="K401" s="85" t="s">
        <v>257</v>
      </c>
      <c r="L401" s="85" t="s">
        <v>258</v>
      </c>
      <c r="M401" s="85" t="s">
        <v>236</v>
      </c>
      <c r="N401" s="85" t="s">
        <v>218</v>
      </c>
      <c r="O401" s="85" t="s">
        <v>229</v>
      </c>
      <c r="P401" s="85" t="s">
        <v>895</v>
      </c>
      <c r="Q401" s="85" t="s">
        <v>1335</v>
      </c>
      <c r="R401" s="85">
        <v>4</v>
      </c>
      <c r="S401" s="85">
        <v>387</v>
      </c>
      <c r="T401" s="2">
        <v>44119</v>
      </c>
      <c r="U401" s="2">
        <v>44153</v>
      </c>
    </row>
    <row r="402" spans="1:21" x14ac:dyDescent="0.2">
      <c r="A402" s="3" t="str">
        <f>HYPERLINK("http://www.ofsted.gov.uk/inspection-reports/find-inspection-report/provider/ELS/112211 ","Ofsted School Webpage")</f>
        <v>Ofsted School Webpage</v>
      </c>
      <c r="B402" s="85">
        <v>112211</v>
      </c>
      <c r="C402" s="85">
        <v>9092515</v>
      </c>
      <c r="D402" s="85" t="s">
        <v>1336</v>
      </c>
      <c r="E402" s="85" t="s">
        <v>81</v>
      </c>
      <c r="F402" s="85" t="s">
        <v>254</v>
      </c>
      <c r="G402" s="85" t="s">
        <v>262</v>
      </c>
      <c r="H402" s="85" t="s">
        <v>255</v>
      </c>
      <c r="I402" s="85" t="s">
        <v>256</v>
      </c>
      <c r="J402" s="85" t="s">
        <v>257</v>
      </c>
      <c r="K402" s="85" t="s">
        <v>257</v>
      </c>
      <c r="L402" s="85" t="s">
        <v>258</v>
      </c>
      <c r="M402" s="85" t="s">
        <v>148</v>
      </c>
      <c r="N402" s="85" t="s">
        <v>148</v>
      </c>
      <c r="O402" s="85" t="s">
        <v>156</v>
      </c>
      <c r="P402" s="85" t="s">
        <v>349</v>
      </c>
      <c r="Q402" s="85" t="s">
        <v>1337</v>
      </c>
      <c r="R402" s="85">
        <v>3</v>
      </c>
      <c r="S402" s="85">
        <v>191</v>
      </c>
      <c r="T402" s="2">
        <v>44119</v>
      </c>
      <c r="U402" s="2">
        <v>44153</v>
      </c>
    </row>
    <row r="403" spans="1:21" x14ac:dyDescent="0.2">
      <c r="A403" s="3" t="str">
        <f>HYPERLINK("http://www.ofsted.gov.uk/inspection-reports/find-inspection-report/provider/ELS/104217 ","Ofsted School Webpage")</f>
        <v>Ofsted School Webpage</v>
      </c>
      <c r="B403" s="85">
        <v>104217</v>
      </c>
      <c r="C403" s="85">
        <v>3352240</v>
      </c>
      <c r="D403" s="85" t="s">
        <v>1338</v>
      </c>
      <c r="E403" s="85" t="s">
        <v>81</v>
      </c>
      <c r="F403" s="85" t="s">
        <v>254</v>
      </c>
      <c r="G403" s="85" t="s">
        <v>262</v>
      </c>
      <c r="H403" s="85" t="s">
        <v>255</v>
      </c>
      <c r="I403" s="85" t="s">
        <v>256</v>
      </c>
      <c r="J403" s="85" t="s">
        <v>257</v>
      </c>
      <c r="K403" s="85" t="s">
        <v>257</v>
      </c>
      <c r="L403" s="85" t="s">
        <v>258</v>
      </c>
      <c r="M403" s="85" t="s">
        <v>203</v>
      </c>
      <c r="N403" s="85" t="s">
        <v>203</v>
      </c>
      <c r="O403" s="85" t="s">
        <v>207</v>
      </c>
      <c r="P403" s="85" t="s">
        <v>558</v>
      </c>
      <c r="Q403" s="85" t="s">
        <v>1339</v>
      </c>
      <c r="R403" s="85">
        <v>3</v>
      </c>
      <c r="S403" s="85">
        <v>474</v>
      </c>
      <c r="T403" s="2">
        <v>44119</v>
      </c>
      <c r="U403" s="2">
        <v>44152</v>
      </c>
    </row>
    <row r="404" spans="1:21" x14ac:dyDescent="0.2">
      <c r="A404" s="3" t="str">
        <f>HYPERLINK("http://www.ofsted.gov.uk/inspection-reports/find-inspection-report/provider/ELS/119961 ","Ofsted School Webpage")</f>
        <v>Ofsted School Webpage</v>
      </c>
      <c r="B404" s="85">
        <v>119961</v>
      </c>
      <c r="C404" s="85">
        <v>8552137</v>
      </c>
      <c r="D404" s="85" t="s">
        <v>1340</v>
      </c>
      <c r="E404" s="85" t="s">
        <v>81</v>
      </c>
      <c r="F404" s="85" t="s">
        <v>254</v>
      </c>
      <c r="G404" s="85" t="s">
        <v>262</v>
      </c>
      <c r="H404" s="85" t="s">
        <v>255</v>
      </c>
      <c r="I404" s="85" t="s">
        <v>256</v>
      </c>
      <c r="J404" s="85" t="s">
        <v>257</v>
      </c>
      <c r="K404" s="85" t="s">
        <v>257</v>
      </c>
      <c r="L404" s="85" t="s">
        <v>258</v>
      </c>
      <c r="M404" s="85" t="s">
        <v>85</v>
      </c>
      <c r="N404" s="85" t="s">
        <v>85</v>
      </c>
      <c r="O404" s="85" t="s">
        <v>93</v>
      </c>
      <c r="P404" s="85" t="s">
        <v>1116</v>
      </c>
      <c r="Q404" s="85" t="s">
        <v>1341</v>
      </c>
      <c r="R404" s="85">
        <v>2</v>
      </c>
      <c r="S404" s="85">
        <v>255</v>
      </c>
      <c r="T404" s="2">
        <v>44119</v>
      </c>
      <c r="U404" s="2">
        <v>44152</v>
      </c>
    </row>
    <row r="405" spans="1:21" x14ac:dyDescent="0.2">
      <c r="A405" s="3" t="str">
        <f>HYPERLINK("http://www.ofsted.gov.uk/inspection-reports/find-inspection-report/provider/ELS/100044 ","Ofsted School Webpage")</f>
        <v>Ofsted School Webpage</v>
      </c>
      <c r="B405" s="85">
        <v>100044</v>
      </c>
      <c r="C405" s="85">
        <v>2023546</v>
      </c>
      <c r="D405" s="85" t="s">
        <v>1342</v>
      </c>
      <c r="E405" s="85" t="s">
        <v>81</v>
      </c>
      <c r="F405" s="85" t="s">
        <v>333</v>
      </c>
      <c r="G405" s="85" t="s">
        <v>262</v>
      </c>
      <c r="H405" s="85" t="s">
        <v>255</v>
      </c>
      <c r="I405" s="85" t="s">
        <v>256</v>
      </c>
      <c r="J405" s="85" t="s">
        <v>342</v>
      </c>
      <c r="K405" s="85" t="s">
        <v>257</v>
      </c>
      <c r="L405" s="85" t="s">
        <v>335</v>
      </c>
      <c r="M405" s="85" t="s">
        <v>107</v>
      </c>
      <c r="N405" s="85" t="s">
        <v>107</v>
      </c>
      <c r="O405" s="85" t="s">
        <v>112</v>
      </c>
      <c r="P405" s="85" t="s">
        <v>1343</v>
      </c>
      <c r="Q405" s="85" t="s">
        <v>1344</v>
      </c>
      <c r="R405" s="85">
        <v>5</v>
      </c>
      <c r="S405" s="85">
        <v>167</v>
      </c>
      <c r="T405" s="2">
        <v>44119</v>
      </c>
      <c r="U405" s="2">
        <v>44159</v>
      </c>
    </row>
    <row r="406" spans="1:21" x14ac:dyDescent="0.2">
      <c r="A406" s="3" t="str">
        <f>HYPERLINK("http://www.ofsted.gov.uk/inspection-reports/find-inspection-report/provider/ELS/118653 ","Ofsted School Webpage")</f>
        <v>Ofsted School Webpage</v>
      </c>
      <c r="B406" s="85">
        <v>118653</v>
      </c>
      <c r="C406" s="85">
        <v>8863120</v>
      </c>
      <c r="D406" s="85" t="s">
        <v>1345</v>
      </c>
      <c r="E406" s="85" t="s">
        <v>81</v>
      </c>
      <c r="F406" s="85" t="s">
        <v>360</v>
      </c>
      <c r="G406" s="85" t="s">
        <v>262</v>
      </c>
      <c r="H406" s="85" t="s">
        <v>255</v>
      </c>
      <c r="I406" s="85" t="s">
        <v>256</v>
      </c>
      <c r="J406" s="85" t="s">
        <v>342</v>
      </c>
      <c r="K406" s="85" t="s">
        <v>257</v>
      </c>
      <c r="L406" s="85" t="s">
        <v>335</v>
      </c>
      <c r="M406" s="85" t="s">
        <v>169</v>
      </c>
      <c r="N406" s="85" t="s">
        <v>169</v>
      </c>
      <c r="O406" s="85" t="s">
        <v>171</v>
      </c>
      <c r="P406" s="85" t="s">
        <v>361</v>
      </c>
      <c r="Q406" s="85" t="s">
        <v>1346</v>
      </c>
      <c r="R406" s="85">
        <v>2</v>
      </c>
      <c r="S406" s="85">
        <v>207</v>
      </c>
      <c r="T406" s="2">
        <v>44119</v>
      </c>
      <c r="U406" s="2">
        <v>44157</v>
      </c>
    </row>
    <row r="407" spans="1:21" x14ac:dyDescent="0.2">
      <c r="A407" s="3" t="str">
        <f>HYPERLINK("http://www.ofsted.gov.uk/inspection-reports/find-inspection-report/provider/ELS/115237 ","Ofsted School Webpage")</f>
        <v>Ofsted School Webpage</v>
      </c>
      <c r="B407" s="85">
        <v>115237</v>
      </c>
      <c r="C407" s="85">
        <v>8814680</v>
      </c>
      <c r="D407" s="85" t="s">
        <v>1347</v>
      </c>
      <c r="E407" s="85" t="s">
        <v>82</v>
      </c>
      <c r="F407" s="85" t="s">
        <v>333</v>
      </c>
      <c r="G407" s="85" t="s">
        <v>262</v>
      </c>
      <c r="H407" s="85" t="s">
        <v>275</v>
      </c>
      <c r="I407" s="85" t="s">
        <v>256</v>
      </c>
      <c r="J407" s="85" t="s">
        <v>334</v>
      </c>
      <c r="K407" s="85" t="s">
        <v>257</v>
      </c>
      <c r="L407" s="85" t="s">
        <v>335</v>
      </c>
      <c r="M407" s="85" t="s">
        <v>95</v>
      </c>
      <c r="N407" s="85" t="s">
        <v>95</v>
      </c>
      <c r="O407" s="85" t="s">
        <v>104</v>
      </c>
      <c r="P407" s="85" t="s">
        <v>1348</v>
      </c>
      <c r="Q407" s="85" t="s">
        <v>1349</v>
      </c>
      <c r="R407" s="85">
        <v>5</v>
      </c>
      <c r="S407" s="85">
        <v>751</v>
      </c>
      <c r="T407" s="2">
        <v>44119</v>
      </c>
      <c r="U407" s="2">
        <v>44151</v>
      </c>
    </row>
    <row r="408" spans="1:21" x14ac:dyDescent="0.2">
      <c r="A408" s="3" t="str">
        <f>HYPERLINK("http://www.ofsted.gov.uk/inspection-reports/find-inspection-report/provider/ELS/111106 ","Ofsted School Webpage")</f>
        <v>Ofsted School Webpage</v>
      </c>
      <c r="B408" s="85">
        <v>111106</v>
      </c>
      <c r="C408" s="85">
        <v>8962272</v>
      </c>
      <c r="D408" s="85" t="s">
        <v>1350</v>
      </c>
      <c r="E408" s="85" t="s">
        <v>81</v>
      </c>
      <c r="F408" s="85" t="s">
        <v>254</v>
      </c>
      <c r="G408" s="85" t="s">
        <v>262</v>
      </c>
      <c r="H408" s="85" t="s">
        <v>255</v>
      </c>
      <c r="I408" s="85" t="s">
        <v>256</v>
      </c>
      <c r="J408" s="85" t="s">
        <v>257</v>
      </c>
      <c r="K408" s="85" t="s">
        <v>257</v>
      </c>
      <c r="L408" s="85" t="s">
        <v>258</v>
      </c>
      <c r="M408" s="85" t="s">
        <v>148</v>
      </c>
      <c r="N408" s="85" t="s">
        <v>148</v>
      </c>
      <c r="O408" s="85" t="s">
        <v>155</v>
      </c>
      <c r="P408" s="85" t="s">
        <v>1182</v>
      </c>
      <c r="Q408" s="85" t="s">
        <v>1351</v>
      </c>
      <c r="R408" s="85">
        <v>1</v>
      </c>
      <c r="S408" s="85">
        <v>195</v>
      </c>
      <c r="T408" s="2">
        <v>44119</v>
      </c>
      <c r="U408" s="2">
        <v>44158</v>
      </c>
    </row>
    <row r="409" spans="1:21" x14ac:dyDescent="0.2">
      <c r="A409" s="3" t="str">
        <f>HYPERLINK("http://www.ofsted.gov.uk/inspection-reports/find-inspection-report/provider/ELS/100190 ","Ofsted School Webpage")</f>
        <v>Ofsted School Webpage</v>
      </c>
      <c r="B409" s="85">
        <v>100190</v>
      </c>
      <c r="C409" s="85">
        <v>2034294</v>
      </c>
      <c r="D409" s="85" t="s">
        <v>1352</v>
      </c>
      <c r="E409" s="85" t="s">
        <v>82</v>
      </c>
      <c r="F409" s="85" t="s">
        <v>254</v>
      </c>
      <c r="G409" s="85" t="s">
        <v>262</v>
      </c>
      <c r="H409" s="85" t="s">
        <v>275</v>
      </c>
      <c r="I409" s="85" t="s">
        <v>276</v>
      </c>
      <c r="J409" s="85" t="s">
        <v>257</v>
      </c>
      <c r="K409" s="85" t="s">
        <v>257</v>
      </c>
      <c r="L409" s="85" t="s">
        <v>258</v>
      </c>
      <c r="M409" s="85" t="s">
        <v>107</v>
      </c>
      <c r="N409" s="85" t="s">
        <v>107</v>
      </c>
      <c r="O409" s="85" t="s">
        <v>127</v>
      </c>
      <c r="P409" s="85" t="s">
        <v>1242</v>
      </c>
      <c r="Q409" s="85" t="s">
        <v>1353</v>
      </c>
      <c r="R409" s="85">
        <v>4</v>
      </c>
      <c r="S409" s="85">
        <v>1972</v>
      </c>
      <c r="T409" s="2">
        <v>44119</v>
      </c>
      <c r="U409" s="2">
        <v>44153</v>
      </c>
    </row>
    <row r="410" spans="1:21" x14ac:dyDescent="0.2">
      <c r="A410" s="3" t="str">
        <f>HYPERLINK("http://www.ofsted.gov.uk/inspection-reports/find-inspection-report/provider/ELS/122049 ","Ofsted School Webpage")</f>
        <v>Ofsted School Webpage</v>
      </c>
      <c r="B410" s="85">
        <v>122049</v>
      </c>
      <c r="C410" s="85">
        <v>9283501</v>
      </c>
      <c r="D410" s="85" t="s">
        <v>1354</v>
      </c>
      <c r="E410" s="85" t="s">
        <v>81</v>
      </c>
      <c r="F410" s="85" t="s">
        <v>333</v>
      </c>
      <c r="G410" s="2">
        <v>1</v>
      </c>
      <c r="H410" s="85" t="s">
        <v>255</v>
      </c>
      <c r="I410" s="85" t="s">
        <v>256</v>
      </c>
      <c r="J410" s="85" t="s">
        <v>334</v>
      </c>
      <c r="K410" s="85" t="s">
        <v>257</v>
      </c>
      <c r="L410" s="85" t="s">
        <v>335</v>
      </c>
      <c r="M410" s="85" t="s">
        <v>85</v>
      </c>
      <c r="N410" s="85" t="s">
        <v>85</v>
      </c>
      <c r="O410" s="85" t="s">
        <v>92</v>
      </c>
      <c r="P410" s="85" t="s">
        <v>1355</v>
      </c>
      <c r="Q410" s="85" t="s">
        <v>1356</v>
      </c>
      <c r="R410" s="85">
        <v>4</v>
      </c>
      <c r="S410" s="85">
        <v>409</v>
      </c>
      <c r="T410" s="2">
        <v>44119</v>
      </c>
      <c r="U410" s="2">
        <v>44153</v>
      </c>
    </row>
    <row r="411" spans="1:21" x14ac:dyDescent="0.2">
      <c r="A411" s="3" t="str">
        <f>HYPERLINK("http://www.ofsted.gov.uk/inspection-reports/find-inspection-report/provider/ELS/119614 ","Ofsted School Webpage")</f>
        <v>Ofsted School Webpage</v>
      </c>
      <c r="B411" s="85">
        <v>119614</v>
      </c>
      <c r="C411" s="85">
        <v>8883670</v>
      </c>
      <c r="D411" s="85" t="s">
        <v>1357</v>
      </c>
      <c r="E411" s="85" t="s">
        <v>81</v>
      </c>
      <c r="F411" s="85" t="s">
        <v>333</v>
      </c>
      <c r="G411" s="85" t="s">
        <v>262</v>
      </c>
      <c r="H411" s="85" t="s">
        <v>255</v>
      </c>
      <c r="I411" s="85" t="s">
        <v>256</v>
      </c>
      <c r="J411" s="85" t="s">
        <v>342</v>
      </c>
      <c r="K411" s="85" t="s">
        <v>257</v>
      </c>
      <c r="L411" s="85" t="s">
        <v>335</v>
      </c>
      <c r="M411" s="85" t="s">
        <v>148</v>
      </c>
      <c r="N411" s="85" t="s">
        <v>148</v>
      </c>
      <c r="O411" s="85" t="s">
        <v>149</v>
      </c>
      <c r="P411" s="85" t="s">
        <v>953</v>
      </c>
      <c r="Q411" s="85" t="s">
        <v>1358</v>
      </c>
      <c r="R411" s="85">
        <v>2</v>
      </c>
      <c r="S411" s="85">
        <v>131</v>
      </c>
      <c r="T411" s="2">
        <v>44119</v>
      </c>
      <c r="U411" s="2">
        <v>44160</v>
      </c>
    </row>
    <row r="412" spans="1:21" x14ac:dyDescent="0.2">
      <c r="A412" s="3" t="str">
        <f>HYPERLINK("http://www.ofsted.gov.uk/inspection-reports/find-inspection-report/provider/ELS/135525 ","Ofsted School Webpage")</f>
        <v>Ofsted School Webpage</v>
      </c>
      <c r="B412" s="85">
        <v>135525</v>
      </c>
      <c r="C412" s="85">
        <v>3063418</v>
      </c>
      <c r="D412" s="85" t="s">
        <v>1359</v>
      </c>
      <c r="E412" s="85" t="s">
        <v>81</v>
      </c>
      <c r="F412" s="85" t="s">
        <v>254</v>
      </c>
      <c r="G412" s="2">
        <v>39692</v>
      </c>
      <c r="H412" s="85" t="s">
        <v>255</v>
      </c>
      <c r="I412" s="85" t="s">
        <v>256</v>
      </c>
      <c r="J412" s="85" t="s">
        <v>257</v>
      </c>
      <c r="K412" s="85" t="s">
        <v>257</v>
      </c>
      <c r="L412" s="85" t="s">
        <v>258</v>
      </c>
      <c r="M412" s="85" t="s">
        <v>107</v>
      </c>
      <c r="N412" s="85" t="s">
        <v>107</v>
      </c>
      <c r="O412" s="85" t="s">
        <v>129</v>
      </c>
      <c r="P412" s="85" t="s">
        <v>1360</v>
      </c>
      <c r="Q412" s="85" t="s">
        <v>1361</v>
      </c>
      <c r="R412" s="85">
        <v>2</v>
      </c>
      <c r="S412" s="85">
        <v>777</v>
      </c>
      <c r="T412" s="2">
        <v>44119</v>
      </c>
      <c r="U412" s="2">
        <v>44158</v>
      </c>
    </row>
    <row r="413" spans="1:21" x14ac:dyDescent="0.2">
      <c r="A413" s="3" t="str">
        <f>HYPERLINK("http://www.ofsted.gov.uk/inspection-reports/find-inspection-report/provider/ELS/103791 ","Ofsted School Webpage")</f>
        <v>Ofsted School Webpage</v>
      </c>
      <c r="B413" s="85">
        <v>103791</v>
      </c>
      <c r="C413" s="85">
        <v>3322075</v>
      </c>
      <c r="D413" s="85" t="s">
        <v>1362</v>
      </c>
      <c r="E413" s="85" t="s">
        <v>81</v>
      </c>
      <c r="F413" s="85" t="s">
        <v>254</v>
      </c>
      <c r="G413" s="85" t="s">
        <v>262</v>
      </c>
      <c r="H413" s="85" t="s">
        <v>255</v>
      </c>
      <c r="I413" s="85" t="s">
        <v>256</v>
      </c>
      <c r="J413" s="85" t="s">
        <v>257</v>
      </c>
      <c r="K413" s="85" t="s">
        <v>257</v>
      </c>
      <c r="L413" s="85" t="s">
        <v>258</v>
      </c>
      <c r="M413" s="85" t="s">
        <v>203</v>
      </c>
      <c r="N413" s="85" t="s">
        <v>203</v>
      </c>
      <c r="O413" s="85" t="s">
        <v>217</v>
      </c>
      <c r="P413" s="85" t="s">
        <v>1185</v>
      </c>
      <c r="Q413" s="85" t="s">
        <v>1363</v>
      </c>
      <c r="R413" s="85">
        <v>3</v>
      </c>
      <c r="S413" s="85">
        <v>880</v>
      </c>
      <c r="T413" s="2">
        <v>44119</v>
      </c>
      <c r="U413" s="2">
        <v>44151</v>
      </c>
    </row>
    <row r="414" spans="1:21" x14ac:dyDescent="0.2">
      <c r="A414" s="3" t="str">
        <f>HYPERLINK("http://www.ofsted.gov.uk/inspection-reports/find-inspection-report/provider/ELS/133961 ","Ofsted School Webpage")</f>
        <v>Ofsted School Webpage</v>
      </c>
      <c r="B414" s="85">
        <v>133961</v>
      </c>
      <c r="C414" s="85">
        <v>8863893</v>
      </c>
      <c r="D414" s="85" t="s">
        <v>1364</v>
      </c>
      <c r="E414" s="85" t="s">
        <v>81</v>
      </c>
      <c r="F414" s="85" t="s">
        <v>382</v>
      </c>
      <c r="G414" s="2">
        <v>37712</v>
      </c>
      <c r="H414" s="85" t="s">
        <v>255</v>
      </c>
      <c r="I414" s="85" t="s">
        <v>256</v>
      </c>
      <c r="J414" s="85" t="s">
        <v>257</v>
      </c>
      <c r="K414" s="85" t="s">
        <v>257</v>
      </c>
      <c r="L414" s="85" t="s">
        <v>258</v>
      </c>
      <c r="M414" s="85" t="s">
        <v>169</v>
      </c>
      <c r="N414" s="85" t="s">
        <v>169</v>
      </c>
      <c r="O414" s="85" t="s">
        <v>171</v>
      </c>
      <c r="P414" s="85" t="s">
        <v>719</v>
      </c>
      <c r="Q414" s="85" t="s">
        <v>1365</v>
      </c>
      <c r="R414" s="85">
        <v>4</v>
      </c>
      <c r="S414" s="85">
        <v>208</v>
      </c>
      <c r="T414" s="2">
        <v>44119</v>
      </c>
      <c r="U414" s="2">
        <v>44159</v>
      </c>
    </row>
    <row r="415" spans="1:21" x14ac:dyDescent="0.2">
      <c r="A415" s="3" t="str">
        <f>HYPERLINK("http://www.ofsted.gov.uk/inspection-reports/find-inspection-report/provider/ELS/116263 ","Ofsted School Webpage")</f>
        <v>Ofsted School Webpage</v>
      </c>
      <c r="B415" s="85">
        <v>116263</v>
      </c>
      <c r="C415" s="85">
        <v>8522771</v>
      </c>
      <c r="D415" s="85" t="s">
        <v>1366</v>
      </c>
      <c r="E415" s="85" t="s">
        <v>81</v>
      </c>
      <c r="F415" s="85" t="s">
        <v>254</v>
      </c>
      <c r="G415" s="85" t="s">
        <v>262</v>
      </c>
      <c r="H415" s="85" t="s">
        <v>255</v>
      </c>
      <c r="I415" s="85" t="s">
        <v>256</v>
      </c>
      <c r="J415" s="85" t="s">
        <v>257</v>
      </c>
      <c r="K415" s="85" t="s">
        <v>257</v>
      </c>
      <c r="L415" s="85" t="s">
        <v>258</v>
      </c>
      <c r="M415" s="85" t="s">
        <v>169</v>
      </c>
      <c r="N415" s="85" t="s">
        <v>169</v>
      </c>
      <c r="O415" s="85" t="s">
        <v>179</v>
      </c>
      <c r="P415" s="85" t="s">
        <v>590</v>
      </c>
      <c r="Q415" s="85" t="s">
        <v>1367</v>
      </c>
      <c r="R415" s="85">
        <v>5</v>
      </c>
      <c r="S415" s="85">
        <v>225</v>
      </c>
      <c r="T415" s="2">
        <v>44119</v>
      </c>
      <c r="U415" s="2">
        <v>44157</v>
      </c>
    </row>
    <row r="416" spans="1:21" x14ac:dyDescent="0.2">
      <c r="A416" s="3" t="str">
        <f>HYPERLINK("http://www.ofsted.gov.uk/inspection-reports/find-inspection-report/provider/ELS/113190 ","Ofsted School Webpage")</f>
        <v>Ofsted School Webpage</v>
      </c>
      <c r="B416" s="85">
        <v>113190</v>
      </c>
      <c r="C416" s="85">
        <v>8802407</v>
      </c>
      <c r="D416" s="85" t="s">
        <v>1368</v>
      </c>
      <c r="E416" s="85" t="s">
        <v>81</v>
      </c>
      <c r="F416" s="85" t="s">
        <v>254</v>
      </c>
      <c r="G416" s="85" t="s">
        <v>262</v>
      </c>
      <c r="H416" s="85" t="s">
        <v>255</v>
      </c>
      <c r="I416" s="85" t="s">
        <v>256</v>
      </c>
      <c r="J416" s="85" t="s">
        <v>257</v>
      </c>
      <c r="K416" s="85" t="s">
        <v>257</v>
      </c>
      <c r="L416" s="85" t="s">
        <v>258</v>
      </c>
      <c r="M416" s="85" t="s">
        <v>188</v>
      </c>
      <c r="N416" s="85" t="s">
        <v>188</v>
      </c>
      <c r="O416" s="85" t="s">
        <v>192</v>
      </c>
      <c r="P416" s="85" t="s">
        <v>418</v>
      </c>
      <c r="Q416" s="85" t="s">
        <v>1369</v>
      </c>
      <c r="R416" s="85">
        <v>4</v>
      </c>
      <c r="S416" s="85">
        <v>304</v>
      </c>
      <c r="T416" s="2">
        <v>44119</v>
      </c>
      <c r="U416" s="2">
        <v>44154</v>
      </c>
    </row>
    <row r="417" spans="1:21" x14ac:dyDescent="0.2">
      <c r="A417" s="3" t="str">
        <f>HYPERLINK("http://www.ofsted.gov.uk/inspection-reports/find-inspection-report/provider/ELS/112794 ","Ofsted School Webpage")</f>
        <v>Ofsted School Webpage</v>
      </c>
      <c r="B417" s="85">
        <v>112794</v>
      </c>
      <c r="C417" s="85">
        <v>8302631</v>
      </c>
      <c r="D417" s="85" t="s">
        <v>1370</v>
      </c>
      <c r="E417" s="85" t="s">
        <v>81</v>
      </c>
      <c r="F417" s="85" t="s">
        <v>254</v>
      </c>
      <c r="G417" s="85" t="s">
        <v>262</v>
      </c>
      <c r="H417" s="85" t="s">
        <v>255</v>
      </c>
      <c r="I417" s="85" t="s">
        <v>256</v>
      </c>
      <c r="J417" s="85" t="s">
        <v>257</v>
      </c>
      <c r="K417" s="85" t="s">
        <v>257</v>
      </c>
      <c r="L417" s="85" t="s">
        <v>258</v>
      </c>
      <c r="M417" s="85" t="s">
        <v>85</v>
      </c>
      <c r="N417" s="85" t="s">
        <v>85</v>
      </c>
      <c r="O417" s="85" t="s">
        <v>86</v>
      </c>
      <c r="P417" s="85" t="s">
        <v>289</v>
      </c>
      <c r="Q417" s="85" t="s">
        <v>1371</v>
      </c>
      <c r="R417" s="85">
        <v>4</v>
      </c>
      <c r="S417" s="85">
        <v>361</v>
      </c>
      <c r="T417" s="2">
        <v>44119</v>
      </c>
      <c r="U417" s="2">
        <v>44153</v>
      </c>
    </row>
    <row r="418" spans="1:21" x14ac:dyDescent="0.2">
      <c r="A418" s="3" t="str">
        <f>HYPERLINK("http://www.ofsted.gov.uk/inspection-reports/find-inspection-report/provider/ELS/111590 ","Ofsted School Webpage")</f>
        <v>Ofsted School Webpage</v>
      </c>
      <c r="B418" s="85">
        <v>111590</v>
      </c>
      <c r="C418" s="85">
        <v>8052153</v>
      </c>
      <c r="D418" s="85" t="s">
        <v>1372</v>
      </c>
      <c r="E418" s="85" t="s">
        <v>81</v>
      </c>
      <c r="F418" s="85" t="s">
        <v>254</v>
      </c>
      <c r="G418" s="85" t="s">
        <v>262</v>
      </c>
      <c r="H418" s="85" t="s">
        <v>255</v>
      </c>
      <c r="I418" s="85" t="s">
        <v>256</v>
      </c>
      <c r="J418" s="85" t="s">
        <v>257</v>
      </c>
      <c r="K418" s="85" t="s">
        <v>257</v>
      </c>
      <c r="L418" s="85" t="s">
        <v>258</v>
      </c>
      <c r="M418" s="85" t="s">
        <v>236</v>
      </c>
      <c r="N418" s="85" t="s">
        <v>135</v>
      </c>
      <c r="O418" s="85" t="s">
        <v>147</v>
      </c>
      <c r="P418" s="85" t="s">
        <v>147</v>
      </c>
      <c r="Q418" s="85" t="s">
        <v>1373</v>
      </c>
      <c r="R418" s="85">
        <v>5</v>
      </c>
      <c r="S418" s="85">
        <v>358</v>
      </c>
      <c r="T418" s="2">
        <v>44119</v>
      </c>
      <c r="U418" s="2">
        <v>44146</v>
      </c>
    </row>
    <row r="419" spans="1:21" x14ac:dyDescent="0.2">
      <c r="A419" s="3" t="str">
        <f>HYPERLINK("http://www.ofsted.gov.uk/inspection-reports/find-inspection-report/provider/ELS/122486 ","Ofsted School Webpage")</f>
        <v>Ofsted School Webpage</v>
      </c>
      <c r="B419" s="85">
        <v>122486</v>
      </c>
      <c r="C419" s="85">
        <v>8922163</v>
      </c>
      <c r="D419" s="85" t="s">
        <v>1374</v>
      </c>
      <c r="E419" s="85" t="s">
        <v>81</v>
      </c>
      <c r="F419" s="85" t="s">
        <v>254</v>
      </c>
      <c r="G419" s="85" t="s">
        <v>262</v>
      </c>
      <c r="H419" s="85" t="s">
        <v>255</v>
      </c>
      <c r="I419" s="85" t="s">
        <v>256</v>
      </c>
      <c r="J419" s="85" t="s">
        <v>257</v>
      </c>
      <c r="K419" s="85" t="s">
        <v>257</v>
      </c>
      <c r="L419" s="85" t="s">
        <v>258</v>
      </c>
      <c r="M419" s="85" t="s">
        <v>85</v>
      </c>
      <c r="N419" s="85" t="s">
        <v>85</v>
      </c>
      <c r="O419" s="85" t="s">
        <v>94</v>
      </c>
      <c r="P419" s="85" t="s">
        <v>1375</v>
      </c>
      <c r="Q419" s="85" t="s">
        <v>1376</v>
      </c>
      <c r="R419" s="85">
        <v>3</v>
      </c>
      <c r="S419" s="85">
        <v>475</v>
      </c>
      <c r="T419" s="2">
        <v>44119</v>
      </c>
      <c r="U419" s="2">
        <v>44152</v>
      </c>
    </row>
    <row r="420" spans="1:21" x14ac:dyDescent="0.2">
      <c r="A420" s="3" t="str">
        <f>HYPERLINK("http://www.ofsted.gov.uk/inspection-reports/find-inspection-report/provider/ELS/116071 ","Ofsted School Webpage")</f>
        <v>Ofsted School Webpage</v>
      </c>
      <c r="B420" s="85">
        <v>116071</v>
      </c>
      <c r="C420" s="85">
        <v>8502376</v>
      </c>
      <c r="D420" s="85" t="s">
        <v>1377</v>
      </c>
      <c r="E420" s="85" t="s">
        <v>81</v>
      </c>
      <c r="F420" s="85" t="s">
        <v>254</v>
      </c>
      <c r="G420" s="85" t="s">
        <v>262</v>
      </c>
      <c r="H420" s="85" t="s">
        <v>255</v>
      </c>
      <c r="I420" s="85" t="s">
        <v>256</v>
      </c>
      <c r="J420" s="85" t="s">
        <v>257</v>
      </c>
      <c r="K420" s="85" t="s">
        <v>257</v>
      </c>
      <c r="L420" s="85" t="s">
        <v>258</v>
      </c>
      <c r="M420" s="85" t="s">
        <v>169</v>
      </c>
      <c r="N420" s="85" t="s">
        <v>169</v>
      </c>
      <c r="O420" s="85" t="s">
        <v>170</v>
      </c>
      <c r="P420" s="85" t="s">
        <v>1378</v>
      </c>
      <c r="Q420" s="85" t="s">
        <v>1379</v>
      </c>
      <c r="R420" s="85">
        <v>2</v>
      </c>
      <c r="S420" s="85">
        <v>289</v>
      </c>
      <c r="T420" s="2">
        <v>44119</v>
      </c>
      <c r="U420" s="2">
        <v>44154</v>
      </c>
    </row>
    <row r="421" spans="1:21" x14ac:dyDescent="0.2">
      <c r="A421" s="3" t="str">
        <f>HYPERLINK("http://www.ofsted.gov.uk/inspection-reports/find-inspection-report/provider/ELS/102188 ","Ofsted School Webpage")</f>
        <v>Ofsted School Webpage</v>
      </c>
      <c r="B421" s="85">
        <v>102188</v>
      </c>
      <c r="C421" s="85">
        <v>3102053</v>
      </c>
      <c r="D421" s="85" t="s">
        <v>1380</v>
      </c>
      <c r="E421" s="85" t="s">
        <v>81</v>
      </c>
      <c r="F421" s="85" t="s">
        <v>254</v>
      </c>
      <c r="G421" s="85" t="s">
        <v>262</v>
      </c>
      <c r="H421" s="85" t="s">
        <v>255</v>
      </c>
      <c r="I421" s="85" t="s">
        <v>256</v>
      </c>
      <c r="J421" s="85" t="s">
        <v>257</v>
      </c>
      <c r="K421" s="85" t="s">
        <v>257</v>
      </c>
      <c r="L421" s="85" t="s">
        <v>258</v>
      </c>
      <c r="M421" s="85" t="s">
        <v>107</v>
      </c>
      <c r="N421" s="85" t="s">
        <v>107</v>
      </c>
      <c r="O421" s="85" t="s">
        <v>130</v>
      </c>
      <c r="P421" s="85" t="s">
        <v>1381</v>
      </c>
      <c r="Q421" s="85" t="s">
        <v>1382</v>
      </c>
      <c r="R421" s="85">
        <v>3</v>
      </c>
      <c r="S421" s="85">
        <v>442</v>
      </c>
      <c r="T421" s="2">
        <v>44119</v>
      </c>
      <c r="U421" s="2">
        <v>44158</v>
      </c>
    </row>
    <row r="422" spans="1:21" x14ac:dyDescent="0.2">
      <c r="A422" s="3" t="str">
        <f>HYPERLINK("http://www.ofsted.gov.uk/inspection-reports/find-inspection-report/provider/ELS/109446 ","Ofsted School Webpage")</f>
        <v>Ofsted School Webpage</v>
      </c>
      <c r="B422" s="85">
        <v>109446</v>
      </c>
      <c r="C422" s="85">
        <v>8222041</v>
      </c>
      <c r="D422" s="85" t="s">
        <v>1383</v>
      </c>
      <c r="E422" s="85" t="s">
        <v>81</v>
      </c>
      <c r="F422" s="85" t="s">
        <v>254</v>
      </c>
      <c r="G422" s="85" t="s">
        <v>262</v>
      </c>
      <c r="H422" s="85" t="s">
        <v>255</v>
      </c>
      <c r="I422" s="85" t="s">
        <v>256</v>
      </c>
      <c r="J422" s="85" t="s">
        <v>257</v>
      </c>
      <c r="K422" s="85" t="s">
        <v>257</v>
      </c>
      <c r="L422" s="85" t="s">
        <v>258</v>
      </c>
      <c r="M422" s="85" t="s">
        <v>95</v>
      </c>
      <c r="N422" s="85" t="s">
        <v>95</v>
      </c>
      <c r="O422" s="85" t="s">
        <v>96</v>
      </c>
      <c r="P422" s="85" t="s">
        <v>490</v>
      </c>
      <c r="Q422" s="85" t="s">
        <v>1384</v>
      </c>
      <c r="R422" s="85">
        <v>3</v>
      </c>
      <c r="S422" s="85">
        <v>252</v>
      </c>
      <c r="T422" s="2">
        <v>44119</v>
      </c>
      <c r="U422" s="2">
        <v>44152</v>
      </c>
    </row>
    <row r="423" spans="1:21" x14ac:dyDescent="0.2">
      <c r="A423" s="3" t="str">
        <f>HYPERLINK("http://www.ofsted.gov.uk/inspection-reports/find-inspection-report/provider/ELS/131178 ","Ofsted School Webpage")</f>
        <v>Ofsted School Webpage</v>
      </c>
      <c r="B423" s="85">
        <v>131178</v>
      </c>
      <c r="C423" s="85">
        <v>3332181</v>
      </c>
      <c r="D423" s="85" t="s">
        <v>1385</v>
      </c>
      <c r="E423" s="85" t="s">
        <v>81</v>
      </c>
      <c r="F423" s="85" t="s">
        <v>254</v>
      </c>
      <c r="G423" s="2">
        <v>35674</v>
      </c>
      <c r="H423" s="85" t="s">
        <v>255</v>
      </c>
      <c r="I423" s="85" t="s">
        <v>256</v>
      </c>
      <c r="J423" s="85" t="s">
        <v>257</v>
      </c>
      <c r="K423" s="85" t="s">
        <v>257</v>
      </c>
      <c r="L423" s="85" t="s">
        <v>258</v>
      </c>
      <c r="M423" s="85" t="s">
        <v>203</v>
      </c>
      <c r="N423" s="85" t="s">
        <v>203</v>
      </c>
      <c r="O423" s="85" t="s">
        <v>205</v>
      </c>
      <c r="P423" s="85" t="s">
        <v>956</v>
      </c>
      <c r="Q423" s="85" t="s">
        <v>1386</v>
      </c>
      <c r="R423" s="85">
        <v>5</v>
      </c>
      <c r="S423" s="85">
        <v>480</v>
      </c>
      <c r="T423" s="2">
        <v>44119</v>
      </c>
      <c r="U423" s="2">
        <v>44151</v>
      </c>
    </row>
    <row r="424" spans="1:21" x14ac:dyDescent="0.2">
      <c r="A424" s="3" t="str">
        <f>HYPERLINK("http://www.ofsted.gov.uk/inspection-reports/find-inspection-report/provider/ELS/102784 ","Ofsted School Webpage")</f>
        <v>Ofsted School Webpage</v>
      </c>
      <c r="B424" s="85">
        <v>102784</v>
      </c>
      <c r="C424" s="85">
        <v>3164034</v>
      </c>
      <c r="D424" s="85" t="s">
        <v>1387</v>
      </c>
      <c r="E424" s="85" t="s">
        <v>82</v>
      </c>
      <c r="F424" s="85" t="s">
        <v>254</v>
      </c>
      <c r="G424" s="85" t="s">
        <v>262</v>
      </c>
      <c r="H424" s="85" t="s">
        <v>275</v>
      </c>
      <c r="I424" s="85" t="s">
        <v>256</v>
      </c>
      <c r="J424" s="85" t="s">
        <v>257</v>
      </c>
      <c r="K424" s="85" t="s">
        <v>257</v>
      </c>
      <c r="L424" s="85" t="s">
        <v>258</v>
      </c>
      <c r="M424" s="85" t="s">
        <v>107</v>
      </c>
      <c r="N424" s="85" t="s">
        <v>107</v>
      </c>
      <c r="O424" s="85" t="s">
        <v>123</v>
      </c>
      <c r="P424" s="85" t="s">
        <v>1388</v>
      </c>
      <c r="Q424" s="85" t="s">
        <v>1389</v>
      </c>
      <c r="R424" s="85">
        <v>4</v>
      </c>
      <c r="S424" s="85">
        <v>1102</v>
      </c>
      <c r="T424" s="2">
        <v>44119</v>
      </c>
      <c r="U424" s="2">
        <v>44150</v>
      </c>
    </row>
    <row r="425" spans="1:21" x14ac:dyDescent="0.2">
      <c r="A425" s="3" t="str">
        <f>HYPERLINK("http://www.ofsted.gov.uk/inspection-reports/find-inspection-report/provider/ELS/138527 ","Ofsted School Webpage")</f>
        <v>Ofsted School Webpage</v>
      </c>
      <c r="B425" s="85">
        <v>138527</v>
      </c>
      <c r="C425" s="85">
        <v>8554057</v>
      </c>
      <c r="D425" s="85" t="s">
        <v>1390</v>
      </c>
      <c r="E425" s="85" t="s">
        <v>82</v>
      </c>
      <c r="F425" s="85" t="s">
        <v>400</v>
      </c>
      <c r="G425" s="2">
        <v>41122</v>
      </c>
      <c r="H425" s="85" t="s">
        <v>275</v>
      </c>
      <c r="I425" s="85" t="s">
        <v>256</v>
      </c>
      <c r="J425" s="85" t="s">
        <v>257</v>
      </c>
      <c r="K425" s="85" t="s">
        <v>257</v>
      </c>
      <c r="L425" s="85" t="s">
        <v>258</v>
      </c>
      <c r="M425" s="85" t="s">
        <v>85</v>
      </c>
      <c r="N425" s="85" t="s">
        <v>85</v>
      </c>
      <c r="O425" s="85" t="s">
        <v>93</v>
      </c>
      <c r="P425" s="85" t="s">
        <v>1391</v>
      </c>
      <c r="Q425" s="85" t="s">
        <v>1392</v>
      </c>
      <c r="R425" s="85">
        <v>1</v>
      </c>
      <c r="S425" s="85">
        <v>898</v>
      </c>
      <c r="T425" s="2">
        <v>44119</v>
      </c>
      <c r="U425" s="2">
        <v>44147</v>
      </c>
    </row>
    <row r="426" spans="1:21" x14ac:dyDescent="0.2">
      <c r="A426" s="3" t="str">
        <f>HYPERLINK("http://www.ofsted.gov.uk/inspection-reports/find-inspection-report/provider/ELS/140788 ","Ofsted School Webpage")</f>
        <v>Ofsted School Webpage</v>
      </c>
      <c r="B426" s="85">
        <v>140788</v>
      </c>
      <c r="C426" s="85">
        <v>3912890</v>
      </c>
      <c r="D426" s="85" t="s">
        <v>1393</v>
      </c>
      <c r="E426" s="85" t="s">
        <v>81</v>
      </c>
      <c r="F426" s="85" t="s">
        <v>400</v>
      </c>
      <c r="G426" s="2">
        <v>41730</v>
      </c>
      <c r="H426" s="85" t="s">
        <v>255</v>
      </c>
      <c r="I426" s="85" t="s">
        <v>256</v>
      </c>
      <c r="J426" s="85" t="s">
        <v>257</v>
      </c>
      <c r="K426" s="85" t="s">
        <v>257</v>
      </c>
      <c r="L426" s="85" t="s">
        <v>258</v>
      </c>
      <c r="M426" s="85" t="s">
        <v>236</v>
      </c>
      <c r="N426" s="85" t="s">
        <v>135</v>
      </c>
      <c r="O426" s="85" t="s">
        <v>136</v>
      </c>
      <c r="P426" s="85" t="s">
        <v>615</v>
      </c>
      <c r="Q426" s="85" t="s">
        <v>1394</v>
      </c>
      <c r="R426" s="85">
        <v>5</v>
      </c>
      <c r="S426" s="85">
        <v>408</v>
      </c>
      <c r="T426" s="2">
        <v>44119</v>
      </c>
      <c r="U426" s="2">
        <v>44157</v>
      </c>
    </row>
    <row r="427" spans="1:21" x14ac:dyDescent="0.2">
      <c r="A427" s="3" t="str">
        <f>HYPERLINK("http://www.ofsted.gov.uk/inspection-reports/find-inspection-report/provider/ELS/144481 ","Ofsted School Webpage")</f>
        <v>Ofsted School Webpage</v>
      </c>
      <c r="B427" s="85">
        <v>144481</v>
      </c>
      <c r="C427" s="85">
        <v>3732049</v>
      </c>
      <c r="D427" s="85" t="s">
        <v>1395</v>
      </c>
      <c r="E427" s="85" t="s">
        <v>81</v>
      </c>
      <c r="F427" s="85" t="s">
        <v>400</v>
      </c>
      <c r="G427" s="2">
        <v>42491</v>
      </c>
      <c r="H427" s="85" t="s">
        <v>450</v>
      </c>
      <c r="I427" s="85" t="s">
        <v>255</v>
      </c>
      <c r="J427" s="85" t="s">
        <v>405</v>
      </c>
      <c r="K427" s="85" t="s">
        <v>257</v>
      </c>
      <c r="L427" s="85" t="s">
        <v>258</v>
      </c>
      <c r="M427" s="85" t="s">
        <v>236</v>
      </c>
      <c r="N427" s="85" t="s">
        <v>218</v>
      </c>
      <c r="O427" s="85" t="s">
        <v>226</v>
      </c>
      <c r="P427" s="85" t="s">
        <v>1288</v>
      </c>
      <c r="Q427" s="85" t="s">
        <v>1396</v>
      </c>
      <c r="R427" s="85">
        <v>5</v>
      </c>
      <c r="S427" s="85">
        <v>396</v>
      </c>
      <c r="T427" s="2">
        <v>44119</v>
      </c>
      <c r="U427" s="2">
        <v>44161</v>
      </c>
    </row>
    <row r="428" spans="1:21" x14ac:dyDescent="0.2">
      <c r="A428" s="3" t="str">
        <f>HYPERLINK("http://www.ofsted.gov.uk/inspection-reports/find-inspection-report/provider/ELS/136478 ","Ofsted School Webpage")</f>
        <v>Ofsted School Webpage</v>
      </c>
      <c r="B428" s="85">
        <v>136478</v>
      </c>
      <c r="C428" s="85">
        <v>9253027</v>
      </c>
      <c r="D428" s="85" t="s">
        <v>1397</v>
      </c>
      <c r="E428" s="85" t="s">
        <v>81</v>
      </c>
      <c r="F428" s="85" t="s">
        <v>400</v>
      </c>
      <c r="G428" s="2">
        <v>40575</v>
      </c>
      <c r="H428" s="85" t="s">
        <v>255</v>
      </c>
      <c r="I428" s="85" t="s">
        <v>255</v>
      </c>
      <c r="J428" s="85" t="s">
        <v>342</v>
      </c>
      <c r="K428" s="85" t="s">
        <v>257</v>
      </c>
      <c r="L428" s="85" t="s">
        <v>335</v>
      </c>
      <c r="M428" s="85" t="s">
        <v>85</v>
      </c>
      <c r="N428" s="85" t="s">
        <v>85</v>
      </c>
      <c r="O428" s="85" t="s">
        <v>89</v>
      </c>
      <c r="P428" s="85" t="s">
        <v>1398</v>
      </c>
      <c r="Q428" s="85" t="s">
        <v>1399</v>
      </c>
      <c r="R428" s="85">
        <v>5</v>
      </c>
      <c r="S428" s="85">
        <v>323</v>
      </c>
      <c r="T428" s="2">
        <v>44119</v>
      </c>
      <c r="U428" s="2">
        <v>44153</v>
      </c>
    </row>
    <row r="429" spans="1:21" x14ac:dyDescent="0.2">
      <c r="A429" s="3" t="str">
        <f>HYPERLINK("http://www.ofsted.gov.uk/inspection-reports/find-inspection-report/provider/ELS/141448 ","Ofsted School Webpage")</f>
        <v>Ofsted School Webpage</v>
      </c>
      <c r="B429" s="85">
        <v>141448</v>
      </c>
      <c r="C429" s="85">
        <v>8607026</v>
      </c>
      <c r="D429" s="85" t="s">
        <v>1400</v>
      </c>
      <c r="E429" s="85" t="s">
        <v>83</v>
      </c>
      <c r="F429" s="85" t="s">
        <v>1064</v>
      </c>
      <c r="G429" s="2">
        <v>41913</v>
      </c>
      <c r="H429" s="85" t="s">
        <v>255</v>
      </c>
      <c r="I429" s="85" t="s">
        <v>276</v>
      </c>
      <c r="J429" s="85" t="s">
        <v>257</v>
      </c>
      <c r="K429" s="85" t="s">
        <v>405</v>
      </c>
      <c r="L429" s="85" t="s">
        <v>258</v>
      </c>
      <c r="M429" s="85" t="s">
        <v>203</v>
      </c>
      <c r="N429" s="85" t="s">
        <v>203</v>
      </c>
      <c r="O429" s="85" t="s">
        <v>206</v>
      </c>
      <c r="P429" s="85" t="s">
        <v>1258</v>
      </c>
      <c r="Q429" s="85" t="s">
        <v>1401</v>
      </c>
      <c r="R429" s="85">
        <v>4</v>
      </c>
      <c r="S429" s="85">
        <v>107</v>
      </c>
      <c r="T429" s="2">
        <v>44119</v>
      </c>
      <c r="U429" s="2">
        <v>44157</v>
      </c>
    </row>
    <row r="430" spans="1:21" x14ac:dyDescent="0.2">
      <c r="A430" s="3" t="str">
        <f>HYPERLINK("http://www.ofsted.gov.uk/inspection-reports/find-inspection-report/provider/ELS/144690 ","Ofsted School Webpage")</f>
        <v>Ofsted School Webpage</v>
      </c>
      <c r="B430" s="85">
        <v>144690</v>
      </c>
      <c r="C430" s="85">
        <v>3543009</v>
      </c>
      <c r="D430" s="85" t="s">
        <v>1402</v>
      </c>
      <c r="E430" s="85" t="s">
        <v>81</v>
      </c>
      <c r="F430" s="85" t="s">
        <v>400</v>
      </c>
      <c r="G430" s="2">
        <v>42979</v>
      </c>
      <c r="H430" s="85" t="s">
        <v>255</v>
      </c>
      <c r="I430" s="85" t="s">
        <v>256</v>
      </c>
      <c r="J430" s="85" t="s">
        <v>342</v>
      </c>
      <c r="K430" s="85" t="s">
        <v>257</v>
      </c>
      <c r="L430" s="85" t="s">
        <v>335</v>
      </c>
      <c r="M430" s="85" t="s">
        <v>148</v>
      </c>
      <c r="N430" s="85" t="s">
        <v>148</v>
      </c>
      <c r="O430" s="85" t="s">
        <v>153</v>
      </c>
      <c r="P430" s="85" t="s">
        <v>153</v>
      </c>
      <c r="Q430" s="85" t="s">
        <v>1403</v>
      </c>
      <c r="R430" s="85">
        <v>4</v>
      </c>
      <c r="S430" s="85">
        <v>428</v>
      </c>
      <c r="T430" s="2">
        <v>44119</v>
      </c>
      <c r="U430" s="2">
        <v>44165</v>
      </c>
    </row>
    <row r="431" spans="1:21" x14ac:dyDescent="0.2">
      <c r="A431" s="3" t="str">
        <f>HYPERLINK("http://www.ofsted.gov.uk/inspection-reports/find-inspection-report/provider/ELS/141643 ","Ofsted School Webpage")</f>
        <v>Ofsted School Webpage</v>
      </c>
      <c r="B431" s="85">
        <v>141643</v>
      </c>
      <c r="C431" s="85">
        <v>3593366</v>
      </c>
      <c r="D431" s="85" t="s">
        <v>1404</v>
      </c>
      <c r="E431" s="85" t="s">
        <v>81</v>
      </c>
      <c r="F431" s="85" t="s">
        <v>400</v>
      </c>
      <c r="G431" s="2">
        <v>42005</v>
      </c>
      <c r="H431" s="85" t="s">
        <v>255</v>
      </c>
      <c r="I431" s="85" t="s">
        <v>256</v>
      </c>
      <c r="J431" s="85" t="s">
        <v>342</v>
      </c>
      <c r="K431" s="85" t="s">
        <v>257</v>
      </c>
      <c r="L431" s="85" t="s">
        <v>335</v>
      </c>
      <c r="M431" s="85" t="s">
        <v>148</v>
      </c>
      <c r="N431" s="85" t="s">
        <v>148</v>
      </c>
      <c r="O431" s="85" t="s">
        <v>168</v>
      </c>
      <c r="P431" s="85" t="s">
        <v>1405</v>
      </c>
      <c r="Q431" s="85" t="s">
        <v>1406</v>
      </c>
      <c r="R431" s="85">
        <v>3</v>
      </c>
      <c r="S431" s="85">
        <v>304</v>
      </c>
      <c r="T431" s="2">
        <v>44119</v>
      </c>
      <c r="U431" s="2">
        <v>44147</v>
      </c>
    </row>
    <row r="432" spans="1:21" x14ac:dyDescent="0.2">
      <c r="A432" s="3" t="str">
        <f>HYPERLINK("http://www.ofsted.gov.uk/inspection-reports/find-inspection-report/provider/ELS/137331 ","Ofsted School Webpage")</f>
        <v>Ofsted School Webpage</v>
      </c>
      <c r="B432" s="85">
        <v>137331</v>
      </c>
      <c r="C432" s="85">
        <v>2052000</v>
      </c>
      <c r="D432" s="85" t="s">
        <v>1407</v>
      </c>
      <c r="E432" s="85" t="s">
        <v>81</v>
      </c>
      <c r="F432" s="85" t="s">
        <v>454</v>
      </c>
      <c r="G432" s="2">
        <v>40787</v>
      </c>
      <c r="H432" s="85" t="s">
        <v>255</v>
      </c>
      <c r="I432" s="85" t="s">
        <v>256</v>
      </c>
      <c r="J432" s="85" t="s">
        <v>405</v>
      </c>
      <c r="K432" s="85" t="s">
        <v>405</v>
      </c>
      <c r="L432" s="85" t="s">
        <v>258</v>
      </c>
      <c r="M432" s="85" t="s">
        <v>107</v>
      </c>
      <c r="N432" s="85" t="s">
        <v>107</v>
      </c>
      <c r="O432" s="85" t="s">
        <v>122</v>
      </c>
      <c r="P432" s="85" t="s">
        <v>830</v>
      </c>
      <c r="Q432" s="85" t="s">
        <v>1408</v>
      </c>
      <c r="R432" s="85">
        <v>5</v>
      </c>
      <c r="S432" s="85">
        <v>207</v>
      </c>
      <c r="T432" s="2">
        <v>44119</v>
      </c>
      <c r="U432" s="2">
        <v>44159</v>
      </c>
    </row>
    <row r="433" spans="1:21" x14ac:dyDescent="0.2">
      <c r="A433" s="3" t="str">
        <f>HYPERLINK("http://www.ofsted.gov.uk/inspection-reports/find-inspection-report/provider/ELS/143824 ","Ofsted School Webpage")</f>
        <v>Ofsted School Webpage</v>
      </c>
      <c r="B433" s="85">
        <v>143824</v>
      </c>
      <c r="C433" s="85">
        <v>9262149</v>
      </c>
      <c r="D433" s="85" t="s">
        <v>1409</v>
      </c>
      <c r="E433" s="85" t="s">
        <v>81</v>
      </c>
      <c r="F433" s="85" t="s">
        <v>404</v>
      </c>
      <c r="G433" s="2">
        <v>42795</v>
      </c>
      <c r="H433" s="85" t="s">
        <v>255</v>
      </c>
      <c r="I433" s="85" t="s">
        <v>256</v>
      </c>
      <c r="J433" s="85" t="s">
        <v>257</v>
      </c>
      <c r="K433" s="85" t="s">
        <v>450</v>
      </c>
      <c r="L433" s="85" t="s">
        <v>258</v>
      </c>
      <c r="M433" s="85" t="s">
        <v>95</v>
      </c>
      <c r="N433" s="85" t="s">
        <v>95</v>
      </c>
      <c r="O433" s="85" t="s">
        <v>103</v>
      </c>
      <c r="P433" s="85" t="s">
        <v>1410</v>
      </c>
      <c r="Q433" s="85" t="s">
        <v>1411</v>
      </c>
      <c r="R433" s="85">
        <v>5</v>
      </c>
      <c r="S433" s="85">
        <v>359</v>
      </c>
      <c r="T433" s="2">
        <v>44119</v>
      </c>
      <c r="U433" s="2">
        <v>44152</v>
      </c>
    </row>
    <row r="434" spans="1:21" x14ac:dyDescent="0.2">
      <c r="A434" s="3" t="str">
        <f>HYPERLINK("http://www.ofsted.gov.uk/inspection-reports/find-inspection-report/provider/ELS/145560 ","Ofsted School Webpage")</f>
        <v>Ofsted School Webpage</v>
      </c>
      <c r="B434" s="85">
        <v>145560</v>
      </c>
      <c r="C434" s="85">
        <v>3512008</v>
      </c>
      <c r="D434" s="85" t="s">
        <v>1412</v>
      </c>
      <c r="E434" s="85" t="s">
        <v>81</v>
      </c>
      <c r="F434" s="85" t="s">
        <v>404</v>
      </c>
      <c r="G434" s="2">
        <v>43160</v>
      </c>
      <c r="H434" s="85" t="s">
        <v>255</v>
      </c>
      <c r="I434" s="85" t="s">
        <v>256</v>
      </c>
      <c r="J434" s="85" t="s">
        <v>342</v>
      </c>
      <c r="K434" s="85" t="s">
        <v>342</v>
      </c>
      <c r="L434" s="85" t="s">
        <v>335</v>
      </c>
      <c r="M434" s="85" t="s">
        <v>148</v>
      </c>
      <c r="N434" s="85" t="s">
        <v>148</v>
      </c>
      <c r="O434" s="85" t="s">
        <v>164</v>
      </c>
      <c r="P434" s="85" t="s">
        <v>1071</v>
      </c>
      <c r="Q434" s="85" t="s">
        <v>1413</v>
      </c>
      <c r="R434" s="85">
        <v>5</v>
      </c>
      <c r="S434" s="85">
        <v>212</v>
      </c>
      <c r="T434" s="2">
        <v>44119</v>
      </c>
      <c r="U434" s="2">
        <v>44168</v>
      </c>
    </row>
    <row r="435" spans="1:21" x14ac:dyDescent="0.2">
      <c r="A435" s="3" t="str">
        <f>HYPERLINK("http://www.ofsted.gov.uk/inspection-reports/find-inspection-report/provider/ELS/145575 ","Ofsted School Webpage")</f>
        <v>Ofsted School Webpage</v>
      </c>
      <c r="B435" s="85">
        <v>145575</v>
      </c>
      <c r="C435" s="85">
        <v>9374014</v>
      </c>
      <c r="D435" s="85" t="s">
        <v>1414</v>
      </c>
      <c r="E435" s="85" t="s">
        <v>82</v>
      </c>
      <c r="F435" s="85" t="s">
        <v>404</v>
      </c>
      <c r="G435" s="2">
        <v>42826</v>
      </c>
      <c r="H435" s="85" t="s">
        <v>450</v>
      </c>
      <c r="I435" s="85" t="s">
        <v>276</v>
      </c>
      <c r="J435" s="85" t="s">
        <v>405</v>
      </c>
      <c r="K435" s="85" t="s">
        <v>405</v>
      </c>
      <c r="L435" s="85" t="s">
        <v>258</v>
      </c>
      <c r="M435" s="85" t="s">
        <v>203</v>
      </c>
      <c r="N435" s="85" t="s">
        <v>203</v>
      </c>
      <c r="O435" s="85" t="s">
        <v>212</v>
      </c>
      <c r="P435" s="85" t="s">
        <v>1415</v>
      </c>
      <c r="Q435" s="85" t="s">
        <v>1416</v>
      </c>
      <c r="R435" s="85">
        <v>2</v>
      </c>
      <c r="S435" s="85">
        <v>951</v>
      </c>
      <c r="T435" s="2">
        <v>44119</v>
      </c>
      <c r="U435" s="2">
        <v>44158</v>
      </c>
    </row>
    <row r="436" spans="1:21" x14ac:dyDescent="0.2">
      <c r="A436" s="3" t="str">
        <f>HYPERLINK("http://www.ofsted.gov.uk/inspection-reports/find-inspection-report/provider/ELS/145483 ","Ofsted School Webpage")</f>
        <v>Ofsted School Webpage</v>
      </c>
      <c r="B436" s="85">
        <v>145483</v>
      </c>
      <c r="C436" s="85">
        <v>8852908</v>
      </c>
      <c r="D436" s="85" t="s">
        <v>1417</v>
      </c>
      <c r="E436" s="85" t="s">
        <v>81</v>
      </c>
      <c r="F436" s="85" t="s">
        <v>400</v>
      </c>
      <c r="G436" s="2">
        <v>43132</v>
      </c>
      <c r="H436" s="85" t="s">
        <v>255</v>
      </c>
      <c r="I436" s="85" t="s">
        <v>256</v>
      </c>
      <c r="J436" s="85" t="s">
        <v>257</v>
      </c>
      <c r="K436" s="85" t="s">
        <v>257</v>
      </c>
      <c r="L436" s="85" t="s">
        <v>258</v>
      </c>
      <c r="M436" s="85" t="s">
        <v>203</v>
      </c>
      <c r="N436" s="85" t="s">
        <v>203</v>
      </c>
      <c r="O436" s="85" t="s">
        <v>215</v>
      </c>
      <c r="P436" s="85" t="s">
        <v>1418</v>
      </c>
      <c r="Q436" s="85" t="s">
        <v>1419</v>
      </c>
      <c r="R436" s="85">
        <v>5</v>
      </c>
      <c r="S436" s="85">
        <v>235</v>
      </c>
      <c r="T436" s="2">
        <v>44119</v>
      </c>
      <c r="U436" s="2">
        <v>44158</v>
      </c>
    </row>
    <row r="437" spans="1:21" x14ac:dyDescent="0.2">
      <c r="A437" s="3" t="str">
        <f>HYPERLINK("http://www.ofsted.gov.uk/inspection-reports/find-inspection-report/provider/ELS/141577 ","Ofsted School Webpage")</f>
        <v>Ofsted School Webpage</v>
      </c>
      <c r="B437" s="85">
        <v>141577</v>
      </c>
      <c r="C437" s="85">
        <v>3112085</v>
      </c>
      <c r="D437" s="85" t="s">
        <v>1420</v>
      </c>
      <c r="E437" s="85" t="s">
        <v>81</v>
      </c>
      <c r="F437" s="85" t="s">
        <v>400</v>
      </c>
      <c r="G437" s="2">
        <v>42036</v>
      </c>
      <c r="H437" s="85" t="s">
        <v>255</v>
      </c>
      <c r="I437" s="85" t="s">
        <v>256</v>
      </c>
      <c r="J437" s="85" t="s">
        <v>257</v>
      </c>
      <c r="K437" s="85" t="s">
        <v>257</v>
      </c>
      <c r="L437" s="85" t="s">
        <v>258</v>
      </c>
      <c r="M437" s="85" t="s">
        <v>107</v>
      </c>
      <c r="N437" s="85" t="s">
        <v>107</v>
      </c>
      <c r="O437" s="85" t="s">
        <v>109</v>
      </c>
      <c r="P437" s="85" t="s">
        <v>1135</v>
      </c>
      <c r="Q437" s="85" t="s">
        <v>1421</v>
      </c>
      <c r="R437" s="85">
        <v>4</v>
      </c>
      <c r="S437" s="85">
        <v>483</v>
      </c>
      <c r="T437" s="2">
        <v>44119</v>
      </c>
      <c r="U437" s="2">
        <v>44160</v>
      </c>
    </row>
    <row r="438" spans="1:21" x14ac:dyDescent="0.2">
      <c r="A438" s="3" t="str">
        <f>HYPERLINK("http://www.ofsted.gov.uk/inspection-reports/find-inspection-report/provider/ELS/138202 ","Ofsted School Webpage")</f>
        <v>Ofsted School Webpage</v>
      </c>
      <c r="B438" s="85">
        <v>138202</v>
      </c>
      <c r="C438" s="85">
        <v>2114000</v>
      </c>
      <c r="D438" s="85" t="s">
        <v>1422</v>
      </c>
      <c r="E438" s="85" t="s">
        <v>82</v>
      </c>
      <c r="F438" s="85" t="s">
        <v>454</v>
      </c>
      <c r="G438" s="2">
        <v>41153</v>
      </c>
      <c r="H438" s="85" t="s">
        <v>275</v>
      </c>
      <c r="I438" s="85" t="s">
        <v>256</v>
      </c>
      <c r="J438" s="85" t="s">
        <v>405</v>
      </c>
      <c r="K438" s="85" t="s">
        <v>405</v>
      </c>
      <c r="L438" s="85" t="s">
        <v>258</v>
      </c>
      <c r="M438" s="85" t="s">
        <v>107</v>
      </c>
      <c r="N438" s="85" t="s">
        <v>107</v>
      </c>
      <c r="O438" s="85" t="s">
        <v>126</v>
      </c>
      <c r="P438" s="85" t="s">
        <v>1174</v>
      </c>
      <c r="Q438" s="85" t="s">
        <v>1423</v>
      </c>
      <c r="R438" s="85">
        <v>5</v>
      </c>
      <c r="S438" s="85">
        <v>302</v>
      </c>
      <c r="T438" s="2">
        <v>44124</v>
      </c>
      <c r="U438" s="2">
        <v>44161</v>
      </c>
    </row>
    <row r="439" spans="1:21" x14ac:dyDescent="0.2">
      <c r="A439" s="3" t="str">
        <f>HYPERLINK("http://www.ofsted.gov.uk/inspection-reports/find-inspection-report/provider/ELS/145370 ","Ofsted School Webpage")</f>
        <v>Ofsted School Webpage</v>
      </c>
      <c r="B439" s="85">
        <v>145370</v>
      </c>
      <c r="C439" s="85">
        <v>8152252</v>
      </c>
      <c r="D439" s="85" t="s">
        <v>1424</v>
      </c>
      <c r="E439" s="85" t="s">
        <v>81</v>
      </c>
      <c r="F439" s="85" t="s">
        <v>400</v>
      </c>
      <c r="G439" s="2">
        <v>43132</v>
      </c>
      <c r="H439" s="85" t="s">
        <v>255</v>
      </c>
      <c r="I439" s="85" t="s">
        <v>256</v>
      </c>
      <c r="J439" s="85" t="s">
        <v>257</v>
      </c>
      <c r="K439" s="85" t="s">
        <v>257</v>
      </c>
      <c r="L439" s="85" t="s">
        <v>258</v>
      </c>
      <c r="M439" s="85" t="s">
        <v>236</v>
      </c>
      <c r="N439" s="85" t="s">
        <v>218</v>
      </c>
      <c r="O439" s="85" t="s">
        <v>224</v>
      </c>
      <c r="P439" s="85" t="s">
        <v>731</v>
      </c>
      <c r="Q439" s="85" t="s">
        <v>1425</v>
      </c>
      <c r="R439" s="85">
        <v>1</v>
      </c>
      <c r="S439" s="85">
        <v>209</v>
      </c>
      <c r="T439" s="2">
        <v>44124</v>
      </c>
      <c r="U439" s="2">
        <v>44152</v>
      </c>
    </row>
    <row r="440" spans="1:21" x14ac:dyDescent="0.2">
      <c r="A440" s="3" t="str">
        <f>HYPERLINK("http://www.ofsted.gov.uk/inspection-reports/find-inspection-report/provider/ELS/145658 ","Ofsted School Webpage")</f>
        <v>Ofsted School Webpage</v>
      </c>
      <c r="B440" s="85">
        <v>145658</v>
      </c>
      <c r="C440" s="85">
        <v>8793775</v>
      </c>
      <c r="D440" s="85" t="s">
        <v>1426</v>
      </c>
      <c r="E440" s="85" t="s">
        <v>81</v>
      </c>
      <c r="F440" s="85" t="s">
        <v>400</v>
      </c>
      <c r="G440" s="2">
        <v>43191</v>
      </c>
      <c r="H440" s="85" t="s">
        <v>255</v>
      </c>
      <c r="I440" s="85" t="s">
        <v>256</v>
      </c>
      <c r="J440" s="85" t="s">
        <v>257</v>
      </c>
      <c r="K440" s="85" t="s">
        <v>257</v>
      </c>
      <c r="L440" s="85" t="s">
        <v>258</v>
      </c>
      <c r="M440" s="85" t="s">
        <v>188</v>
      </c>
      <c r="N440" s="85" t="s">
        <v>188</v>
      </c>
      <c r="O440" s="85" t="s">
        <v>191</v>
      </c>
      <c r="P440" s="85" t="s">
        <v>570</v>
      </c>
      <c r="Q440" s="85" t="s">
        <v>1427</v>
      </c>
      <c r="R440" s="85">
        <v>5</v>
      </c>
      <c r="S440" s="85">
        <v>440</v>
      </c>
      <c r="T440" s="2">
        <v>44124</v>
      </c>
      <c r="U440" s="2">
        <v>44154</v>
      </c>
    </row>
    <row r="441" spans="1:21" x14ac:dyDescent="0.2">
      <c r="A441" s="3" t="str">
        <f>HYPERLINK("http://www.ofsted.gov.uk/inspection-reports/find-inspection-report/provider/ELS/148019 ","Ofsted School Webpage")</f>
        <v>Ofsted School Webpage</v>
      </c>
      <c r="B441" s="85">
        <v>148019</v>
      </c>
      <c r="C441" s="85">
        <v>8782226</v>
      </c>
      <c r="D441" s="85" t="s">
        <v>1428</v>
      </c>
      <c r="E441" s="85" t="s">
        <v>81</v>
      </c>
      <c r="F441" s="85" t="s">
        <v>400</v>
      </c>
      <c r="G441" s="2">
        <v>44013</v>
      </c>
      <c r="H441" s="85" t="s">
        <v>255</v>
      </c>
      <c r="I441" s="85" t="s">
        <v>256</v>
      </c>
      <c r="J441" s="85" t="s">
        <v>257</v>
      </c>
      <c r="K441" s="85" t="s">
        <v>257</v>
      </c>
      <c r="L441" s="85" t="s">
        <v>258</v>
      </c>
      <c r="M441" s="85" t="s">
        <v>188</v>
      </c>
      <c r="N441" s="85" t="s">
        <v>188</v>
      </c>
      <c r="O441" s="85" t="s">
        <v>197</v>
      </c>
      <c r="P441" s="85" t="s">
        <v>1429</v>
      </c>
      <c r="Q441" s="85" t="s">
        <v>1430</v>
      </c>
      <c r="R441" s="85">
        <v>2</v>
      </c>
      <c r="S441" s="85" t="s">
        <v>262</v>
      </c>
      <c r="T441" s="2">
        <v>44124</v>
      </c>
      <c r="U441" s="2">
        <v>44157</v>
      </c>
    </row>
    <row r="442" spans="1:21" x14ac:dyDescent="0.2">
      <c r="A442" s="3" t="str">
        <f>HYPERLINK("http://www.ofsted.gov.uk/inspection-reports/find-inspection-report/provider/ELS/139030 ","Ofsted School Webpage")</f>
        <v>Ofsted School Webpage</v>
      </c>
      <c r="B442" s="85">
        <v>139030</v>
      </c>
      <c r="C442" s="85">
        <v>9282150</v>
      </c>
      <c r="D442" s="85" t="s">
        <v>1431</v>
      </c>
      <c r="E442" s="85" t="s">
        <v>81</v>
      </c>
      <c r="F442" s="85" t="s">
        <v>400</v>
      </c>
      <c r="G442" s="2">
        <v>41244</v>
      </c>
      <c r="H442" s="85" t="s">
        <v>255</v>
      </c>
      <c r="I442" s="85" t="s">
        <v>256</v>
      </c>
      <c r="J442" s="85" t="s">
        <v>257</v>
      </c>
      <c r="K442" s="85" t="s">
        <v>257</v>
      </c>
      <c r="L442" s="85" t="s">
        <v>258</v>
      </c>
      <c r="M442" s="85" t="s">
        <v>85</v>
      </c>
      <c r="N442" s="85" t="s">
        <v>85</v>
      </c>
      <c r="O442" s="85" t="s">
        <v>92</v>
      </c>
      <c r="P442" s="85" t="s">
        <v>1432</v>
      </c>
      <c r="Q442" s="85" t="s">
        <v>1433</v>
      </c>
      <c r="R442" s="85">
        <v>1</v>
      </c>
      <c r="S442" s="85">
        <v>168</v>
      </c>
      <c r="T442" s="2">
        <v>44124</v>
      </c>
      <c r="U442" s="2">
        <v>44159</v>
      </c>
    </row>
    <row r="443" spans="1:21" x14ac:dyDescent="0.2">
      <c r="A443" s="3" t="str">
        <f>HYPERLINK("http://www.ofsted.gov.uk/inspection-reports/find-inspection-report/provider/ELS/143165 ","Ofsted School Webpage")</f>
        <v>Ofsted School Webpage</v>
      </c>
      <c r="B443" s="85">
        <v>143165</v>
      </c>
      <c r="C443" s="85">
        <v>9082413</v>
      </c>
      <c r="D443" s="85" t="s">
        <v>1434</v>
      </c>
      <c r="E443" s="85" t="s">
        <v>81</v>
      </c>
      <c r="F443" s="85" t="s">
        <v>400</v>
      </c>
      <c r="G443" s="2">
        <v>42614</v>
      </c>
      <c r="H443" s="85" t="s">
        <v>255</v>
      </c>
      <c r="I443" s="85" t="s">
        <v>256</v>
      </c>
      <c r="J443" s="85" t="s">
        <v>257</v>
      </c>
      <c r="K443" s="85" t="s">
        <v>257</v>
      </c>
      <c r="L443" s="85" t="s">
        <v>258</v>
      </c>
      <c r="M443" s="85" t="s">
        <v>188</v>
      </c>
      <c r="N443" s="85" t="s">
        <v>188</v>
      </c>
      <c r="O443" s="85" t="s">
        <v>196</v>
      </c>
      <c r="P443" s="85" t="s">
        <v>412</v>
      </c>
      <c r="Q443" s="85" t="s">
        <v>1435</v>
      </c>
      <c r="R443" s="85">
        <v>5</v>
      </c>
      <c r="S443" s="85">
        <v>231</v>
      </c>
      <c r="T443" s="2">
        <v>44124</v>
      </c>
      <c r="U443" s="2">
        <v>44152</v>
      </c>
    </row>
    <row r="444" spans="1:21" x14ac:dyDescent="0.2">
      <c r="A444" s="3" t="str">
        <f>HYPERLINK("http://www.ofsted.gov.uk/inspection-reports/find-inspection-report/provider/ELS/137594 ","Ofsted School Webpage")</f>
        <v>Ofsted School Webpage</v>
      </c>
      <c r="B444" s="85">
        <v>137594</v>
      </c>
      <c r="C444" s="85">
        <v>8737092</v>
      </c>
      <c r="D444" s="85" t="s">
        <v>1436</v>
      </c>
      <c r="E444" s="85" t="s">
        <v>83</v>
      </c>
      <c r="F444" s="85" t="s">
        <v>1064</v>
      </c>
      <c r="G444" s="2">
        <v>40787</v>
      </c>
      <c r="H444" s="85" t="s">
        <v>255</v>
      </c>
      <c r="I444" s="85" t="s">
        <v>255</v>
      </c>
      <c r="J444" s="85" t="s">
        <v>257</v>
      </c>
      <c r="K444" s="85" t="s">
        <v>405</v>
      </c>
      <c r="L444" s="85" t="s">
        <v>258</v>
      </c>
      <c r="M444" s="85" t="s">
        <v>95</v>
      </c>
      <c r="N444" s="85" t="s">
        <v>95</v>
      </c>
      <c r="O444" s="85" t="s">
        <v>97</v>
      </c>
      <c r="P444" s="85" t="s">
        <v>438</v>
      </c>
      <c r="Q444" s="85" t="s">
        <v>1437</v>
      </c>
      <c r="R444" s="85">
        <v>2</v>
      </c>
      <c r="S444" s="85">
        <v>85</v>
      </c>
      <c r="T444" s="2">
        <v>44124</v>
      </c>
      <c r="U444" s="2">
        <v>44161</v>
      </c>
    </row>
    <row r="445" spans="1:21" x14ac:dyDescent="0.2">
      <c r="A445" s="3" t="str">
        <f>HYPERLINK("http://www.ofsted.gov.uk/inspection-reports/find-inspection-report/provider/ELS/140598 ","Ofsted School Webpage")</f>
        <v>Ofsted School Webpage</v>
      </c>
      <c r="B445" s="85">
        <v>140598</v>
      </c>
      <c r="C445" s="85">
        <v>8952340</v>
      </c>
      <c r="D445" s="85" t="s">
        <v>1438</v>
      </c>
      <c r="E445" s="85" t="s">
        <v>81</v>
      </c>
      <c r="F445" s="85" t="s">
        <v>400</v>
      </c>
      <c r="G445" s="2">
        <v>41671</v>
      </c>
      <c r="H445" s="85" t="s">
        <v>255</v>
      </c>
      <c r="I445" s="85" t="s">
        <v>256</v>
      </c>
      <c r="J445" s="85" t="s">
        <v>257</v>
      </c>
      <c r="K445" s="85" t="s">
        <v>257</v>
      </c>
      <c r="L445" s="85" t="s">
        <v>258</v>
      </c>
      <c r="M445" s="85" t="s">
        <v>148</v>
      </c>
      <c r="N445" s="85" t="s">
        <v>148</v>
      </c>
      <c r="O445" s="85" t="s">
        <v>160</v>
      </c>
      <c r="P445" s="85" t="s">
        <v>1439</v>
      </c>
      <c r="Q445" s="85" t="s">
        <v>1440</v>
      </c>
      <c r="R445" s="85">
        <v>1</v>
      </c>
      <c r="S445" s="85">
        <v>208</v>
      </c>
      <c r="T445" s="2">
        <v>44124</v>
      </c>
      <c r="U445" s="2">
        <v>44166</v>
      </c>
    </row>
    <row r="446" spans="1:21" x14ac:dyDescent="0.2">
      <c r="A446" s="3" t="str">
        <f>HYPERLINK("http://www.ofsted.gov.uk/inspection-reports/find-inspection-report/provider/ELS/143592 ","Ofsted School Webpage")</f>
        <v>Ofsted School Webpage</v>
      </c>
      <c r="B446" s="85">
        <v>143592</v>
      </c>
      <c r="C446" s="85">
        <v>2032885</v>
      </c>
      <c r="D446" s="85" t="s">
        <v>1441</v>
      </c>
      <c r="E446" s="85" t="s">
        <v>81</v>
      </c>
      <c r="F446" s="85" t="s">
        <v>400</v>
      </c>
      <c r="G446" s="2">
        <v>42887</v>
      </c>
      <c r="H446" s="85" t="s">
        <v>255</v>
      </c>
      <c r="I446" s="85" t="s">
        <v>256</v>
      </c>
      <c r="J446" s="85" t="s">
        <v>257</v>
      </c>
      <c r="K446" s="85" t="s">
        <v>257</v>
      </c>
      <c r="L446" s="85" t="s">
        <v>258</v>
      </c>
      <c r="M446" s="85" t="s">
        <v>107</v>
      </c>
      <c r="N446" s="85" t="s">
        <v>107</v>
      </c>
      <c r="O446" s="85" t="s">
        <v>127</v>
      </c>
      <c r="P446" s="85" t="s">
        <v>1442</v>
      </c>
      <c r="Q446" s="85" t="s">
        <v>1443</v>
      </c>
      <c r="R446" s="85">
        <v>5</v>
      </c>
      <c r="S446" s="85">
        <v>715</v>
      </c>
      <c r="T446" s="2">
        <v>44124</v>
      </c>
      <c r="U446" s="2">
        <v>44153</v>
      </c>
    </row>
    <row r="447" spans="1:21" x14ac:dyDescent="0.2">
      <c r="A447" s="3" t="str">
        <f>HYPERLINK("http://www.ofsted.gov.uk/inspection-reports/find-inspection-report/provider/ELS/104070 ","Ofsted School Webpage")</f>
        <v>Ofsted School Webpage</v>
      </c>
      <c r="B447" s="85">
        <v>104070</v>
      </c>
      <c r="C447" s="85">
        <v>3342065</v>
      </c>
      <c r="D447" s="85" t="s">
        <v>1444</v>
      </c>
      <c r="E447" s="85" t="s">
        <v>81</v>
      </c>
      <c r="F447" s="85" t="s">
        <v>254</v>
      </c>
      <c r="G447" s="85" t="s">
        <v>262</v>
      </c>
      <c r="H447" s="85" t="s">
        <v>255</v>
      </c>
      <c r="I447" s="85" t="s">
        <v>256</v>
      </c>
      <c r="J447" s="85" t="s">
        <v>257</v>
      </c>
      <c r="K447" s="85" t="s">
        <v>257</v>
      </c>
      <c r="L447" s="85" t="s">
        <v>258</v>
      </c>
      <c r="M447" s="85" t="s">
        <v>203</v>
      </c>
      <c r="N447" s="85" t="s">
        <v>203</v>
      </c>
      <c r="O447" s="85" t="s">
        <v>213</v>
      </c>
      <c r="P447" s="85" t="s">
        <v>1295</v>
      </c>
      <c r="Q447" s="85" t="s">
        <v>1445</v>
      </c>
      <c r="R447" s="85">
        <v>5</v>
      </c>
      <c r="S447" s="85">
        <v>523</v>
      </c>
      <c r="T447" s="2">
        <v>44124</v>
      </c>
      <c r="U447" s="2">
        <v>44161</v>
      </c>
    </row>
    <row r="448" spans="1:21" x14ac:dyDescent="0.2">
      <c r="A448" s="3" t="str">
        <f>HYPERLINK("http://www.ofsted.gov.uk/inspection-reports/find-inspection-report/provider/ELS/116447 ","Ofsted School Webpage")</f>
        <v>Ofsted School Webpage</v>
      </c>
      <c r="B448" s="85">
        <v>116447</v>
      </c>
      <c r="C448" s="85">
        <v>8504204</v>
      </c>
      <c r="D448" s="85" t="s">
        <v>1446</v>
      </c>
      <c r="E448" s="85" t="s">
        <v>82</v>
      </c>
      <c r="F448" s="85" t="s">
        <v>254</v>
      </c>
      <c r="G448" s="85" t="s">
        <v>262</v>
      </c>
      <c r="H448" s="85" t="s">
        <v>275</v>
      </c>
      <c r="I448" s="85" t="s">
        <v>256</v>
      </c>
      <c r="J448" s="85" t="s">
        <v>257</v>
      </c>
      <c r="K448" s="85" t="s">
        <v>257</v>
      </c>
      <c r="L448" s="85" t="s">
        <v>258</v>
      </c>
      <c r="M448" s="85" t="s">
        <v>169</v>
      </c>
      <c r="N448" s="85" t="s">
        <v>169</v>
      </c>
      <c r="O448" s="85" t="s">
        <v>170</v>
      </c>
      <c r="P448" s="85" t="s">
        <v>1447</v>
      </c>
      <c r="Q448" s="85" t="s">
        <v>1448</v>
      </c>
      <c r="R448" s="85">
        <v>3</v>
      </c>
      <c r="S448" s="85">
        <v>590</v>
      </c>
      <c r="T448" s="2">
        <v>44124</v>
      </c>
      <c r="U448" s="2">
        <v>44158</v>
      </c>
    </row>
    <row r="449" spans="1:21" x14ac:dyDescent="0.2">
      <c r="A449" s="3" t="str">
        <f>HYPERLINK("http://www.ofsted.gov.uk/inspection-reports/find-inspection-report/provider/ELS/117160 ","Ofsted School Webpage")</f>
        <v>Ofsted School Webpage</v>
      </c>
      <c r="B449" s="85">
        <v>117160</v>
      </c>
      <c r="C449" s="85">
        <v>9192123</v>
      </c>
      <c r="D449" s="85" t="s">
        <v>1449</v>
      </c>
      <c r="E449" s="85" t="s">
        <v>81</v>
      </c>
      <c r="F449" s="85" t="s">
        <v>254</v>
      </c>
      <c r="G449" s="85" t="s">
        <v>262</v>
      </c>
      <c r="H449" s="85" t="s">
        <v>255</v>
      </c>
      <c r="I449" s="85" t="s">
        <v>256</v>
      </c>
      <c r="J449" s="85" t="s">
        <v>257</v>
      </c>
      <c r="K449" s="85" t="s">
        <v>257</v>
      </c>
      <c r="L449" s="85" t="s">
        <v>258</v>
      </c>
      <c r="M449" s="85" t="s">
        <v>95</v>
      </c>
      <c r="N449" s="85" t="s">
        <v>95</v>
      </c>
      <c r="O449" s="85" t="s">
        <v>102</v>
      </c>
      <c r="P449" s="85" t="s">
        <v>456</v>
      </c>
      <c r="Q449" s="85" t="s">
        <v>1450</v>
      </c>
      <c r="R449" s="85">
        <v>2</v>
      </c>
      <c r="S449" s="85">
        <v>260</v>
      </c>
      <c r="T449" s="2">
        <v>44124</v>
      </c>
      <c r="U449" s="2">
        <v>44157</v>
      </c>
    </row>
    <row r="450" spans="1:21" x14ac:dyDescent="0.2">
      <c r="A450" s="3" t="str">
        <f>HYPERLINK("http://www.ofsted.gov.uk/inspection-reports/find-inspection-report/provider/ELS/132264 ","Ofsted School Webpage")</f>
        <v>Ofsted School Webpage</v>
      </c>
      <c r="B450" s="85">
        <v>132264</v>
      </c>
      <c r="C450" s="85">
        <v>3132079</v>
      </c>
      <c r="D450" s="85" t="s">
        <v>1451</v>
      </c>
      <c r="E450" s="85" t="s">
        <v>81</v>
      </c>
      <c r="F450" s="85" t="s">
        <v>254</v>
      </c>
      <c r="G450" s="2">
        <v>37135</v>
      </c>
      <c r="H450" s="85" t="s">
        <v>255</v>
      </c>
      <c r="I450" s="85" t="s">
        <v>256</v>
      </c>
      <c r="J450" s="85" t="s">
        <v>257</v>
      </c>
      <c r="K450" s="85" t="s">
        <v>257</v>
      </c>
      <c r="L450" s="85" t="s">
        <v>258</v>
      </c>
      <c r="M450" s="85" t="s">
        <v>107</v>
      </c>
      <c r="N450" s="85" t="s">
        <v>107</v>
      </c>
      <c r="O450" s="85" t="s">
        <v>114</v>
      </c>
      <c r="P450" s="85" t="s">
        <v>393</v>
      </c>
      <c r="Q450" s="85" t="s">
        <v>1452</v>
      </c>
      <c r="R450" s="85">
        <v>4</v>
      </c>
      <c r="S450" s="85">
        <v>534</v>
      </c>
      <c r="T450" s="2">
        <v>44124</v>
      </c>
      <c r="U450" s="2">
        <v>44157</v>
      </c>
    </row>
    <row r="451" spans="1:21" x14ac:dyDescent="0.2">
      <c r="A451" s="3" t="str">
        <f>HYPERLINK("http://www.ofsted.gov.uk/inspection-reports/find-inspection-report/provider/ELS/103313 ","Ofsted School Webpage")</f>
        <v>Ofsted School Webpage</v>
      </c>
      <c r="B451" s="85">
        <v>103313</v>
      </c>
      <c r="C451" s="85">
        <v>3302284</v>
      </c>
      <c r="D451" s="85" t="s">
        <v>1453</v>
      </c>
      <c r="E451" s="85" t="s">
        <v>81</v>
      </c>
      <c r="F451" s="85" t="s">
        <v>254</v>
      </c>
      <c r="G451" s="85" t="s">
        <v>262</v>
      </c>
      <c r="H451" s="85" t="s">
        <v>255</v>
      </c>
      <c r="I451" s="85" t="s">
        <v>255</v>
      </c>
      <c r="J451" s="85" t="s">
        <v>257</v>
      </c>
      <c r="K451" s="85" t="s">
        <v>257</v>
      </c>
      <c r="L451" s="85" t="s">
        <v>258</v>
      </c>
      <c r="M451" s="85" t="s">
        <v>203</v>
      </c>
      <c r="N451" s="85" t="s">
        <v>203</v>
      </c>
      <c r="O451" s="85" t="s">
        <v>209</v>
      </c>
      <c r="P451" s="85" t="s">
        <v>1454</v>
      </c>
      <c r="Q451" s="85" t="s">
        <v>1455</v>
      </c>
      <c r="R451" s="85">
        <v>5</v>
      </c>
      <c r="S451" s="85">
        <v>211</v>
      </c>
      <c r="T451" s="2">
        <v>44124</v>
      </c>
      <c r="U451" s="2">
        <v>44151</v>
      </c>
    </row>
    <row r="452" spans="1:21" x14ac:dyDescent="0.2">
      <c r="A452" s="3" t="str">
        <f>HYPERLINK("http://www.ofsted.gov.uk/inspection-reports/find-inspection-report/provider/ELS/131209 ","Ofsted School Webpage")</f>
        <v>Ofsted School Webpage</v>
      </c>
      <c r="B452" s="85">
        <v>131209</v>
      </c>
      <c r="C452" s="85">
        <v>8812082</v>
      </c>
      <c r="D452" s="85" t="s">
        <v>1456</v>
      </c>
      <c r="E452" s="85" t="s">
        <v>81</v>
      </c>
      <c r="F452" s="85" t="s">
        <v>254</v>
      </c>
      <c r="G452" s="2">
        <v>35674</v>
      </c>
      <c r="H452" s="85" t="s">
        <v>255</v>
      </c>
      <c r="I452" s="85" t="s">
        <v>256</v>
      </c>
      <c r="J452" s="85" t="s">
        <v>257</v>
      </c>
      <c r="K452" s="85" t="s">
        <v>257</v>
      </c>
      <c r="L452" s="85" t="s">
        <v>258</v>
      </c>
      <c r="M452" s="85" t="s">
        <v>95</v>
      </c>
      <c r="N452" s="85" t="s">
        <v>95</v>
      </c>
      <c r="O452" s="85" t="s">
        <v>104</v>
      </c>
      <c r="P452" s="85" t="s">
        <v>844</v>
      </c>
      <c r="Q452" s="85" t="s">
        <v>1457</v>
      </c>
      <c r="R452" s="85">
        <v>2</v>
      </c>
      <c r="S452" s="85">
        <v>496</v>
      </c>
      <c r="T452" s="2">
        <v>44124</v>
      </c>
      <c r="U452" s="2">
        <v>44152</v>
      </c>
    </row>
    <row r="453" spans="1:21" x14ac:dyDescent="0.2">
      <c r="A453" s="3" t="str">
        <f>HYPERLINK("http://www.ofsted.gov.uk/inspection-reports/find-inspection-report/provider/ELS/125819 ","Ofsted School Webpage")</f>
        <v>Ofsted School Webpage</v>
      </c>
      <c r="B453" s="85">
        <v>125819</v>
      </c>
      <c r="C453" s="85">
        <v>9382009</v>
      </c>
      <c r="D453" s="85" t="s">
        <v>1458</v>
      </c>
      <c r="E453" s="85" t="s">
        <v>81</v>
      </c>
      <c r="F453" s="85" t="s">
        <v>254</v>
      </c>
      <c r="G453" s="85" t="s">
        <v>262</v>
      </c>
      <c r="H453" s="85" t="s">
        <v>255</v>
      </c>
      <c r="I453" s="85" t="s">
        <v>256</v>
      </c>
      <c r="J453" s="85" t="s">
        <v>257</v>
      </c>
      <c r="K453" s="85" t="s">
        <v>257</v>
      </c>
      <c r="L453" s="85" t="s">
        <v>258</v>
      </c>
      <c r="M453" s="85" t="s">
        <v>169</v>
      </c>
      <c r="N453" s="85" t="s">
        <v>169</v>
      </c>
      <c r="O453" s="85" t="s">
        <v>177</v>
      </c>
      <c r="P453" s="85" t="s">
        <v>1459</v>
      </c>
      <c r="Q453" s="85" t="s">
        <v>1460</v>
      </c>
      <c r="R453" s="85">
        <v>1</v>
      </c>
      <c r="S453" s="85">
        <v>207</v>
      </c>
      <c r="T453" s="2">
        <v>44124</v>
      </c>
      <c r="U453" s="2">
        <v>44157</v>
      </c>
    </row>
    <row r="454" spans="1:21" x14ac:dyDescent="0.2">
      <c r="A454" s="3" t="str">
        <f>HYPERLINK("http://www.ofsted.gov.uk/inspection-reports/find-inspection-report/provider/ELS/118377 ","Ofsted School Webpage")</f>
        <v>Ofsted School Webpage</v>
      </c>
      <c r="B454" s="85">
        <v>118377</v>
      </c>
      <c r="C454" s="85">
        <v>8862285</v>
      </c>
      <c r="D454" s="85" t="s">
        <v>1461</v>
      </c>
      <c r="E454" s="85" t="s">
        <v>81</v>
      </c>
      <c r="F454" s="85" t="s">
        <v>382</v>
      </c>
      <c r="G454" s="85" t="s">
        <v>262</v>
      </c>
      <c r="H454" s="85" t="s">
        <v>255</v>
      </c>
      <c r="I454" s="85" t="s">
        <v>256</v>
      </c>
      <c r="J454" s="85" t="s">
        <v>257</v>
      </c>
      <c r="K454" s="85" t="s">
        <v>257</v>
      </c>
      <c r="L454" s="85" t="s">
        <v>258</v>
      </c>
      <c r="M454" s="85" t="s">
        <v>169</v>
      </c>
      <c r="N454" s="85" t="s">
        <v>169</v>
      </c>
      <c r="O454" s="85" t="s">
        <v>171</v>
      </c>
      <c r="P454" s="85" t="s">
        <v>719</v>
      </c>
      <c r="Q454" s="85" t="s">
        <v>1462</v>
      </c>
      <c r="R454" s="85">
        <v>2</v>
      </c>
      <c r="S454" s="85">
        <v>194</v>
      </c>
      <c r="T454" s="2">
        <v>44124</v>
      </c>
      <c r="U454" s="2">
        <v>44157</v>
      </c>
    </row>
    <row r="455" spans="1:21" x14ac:dyDescent="0.2">
      <c r="A455" s="3" t="str">
        <f>HYPERLINK("http://www.ofsted.gov.uk/inspection-reports/find-inspection-report/provider/ELS/122258 ","Ofsted School Webpage")</f>
        <v>Ofsted School Webpage</v>
      </c>
      <c r="B455" s="85">
        <v>122258</v>
      </c>
      <c r="C455" s="85">
        <v>9292407</v>
      </c>
      <c r="D455" s="85" t="s">
        <v>1463</v>
      </c>
      <c r="E455" s="85" t="s">
        <v>81</v>
      </c>
      <c r="F455" s="85" t="s">
        <v>254</v>
      </c>
      <c r="G455" s="85" t="s">
        <v>262</v>
      </c>
      <c r="H455" s="85" t="s">
        <v>255</v>
      </c>
      <c r="I455" s="85" t="s">
        <v>256</v>
      </c>
      <c r="J455" s="85" t="s">
        <v>257</v>
      </c>
      <c r="K455" s="85" t="s">
        <v>257</v>
      </c>
      <c r="L455" s="85" t="s">
        <v>258</v>
      </c>
      <c r="M455" s="85" t="s">
        <v>236</v>
      </c>
      <c r="N455" s="85" t="s">
        <v>135</v>
      </c>
      <c r="O455" s="85" t="s">
        <v>138</v>
      </c>
      <c r="P455" s="85" t="s">
        <v>1464</v>
      </c>
      <c r="Q455" s="85" t="s">
        <v>1465</v>
      </c>
      <c r="R455" s="85">
        <v>5</v>
      </c>
      <c r="S455" s="85">
        <v>247</v>
      </c>
      <c r="T455" s="2">
        <v>44124</v>
      </c>
      <c r="U455" s="2">
        <v>44161</v>
      </c>
    </row>
    <row r="456" spans="1:21" x14ac:dyDescent="0.2">
      <c r="A456" s="3" t="str">
        <f>HYPERLINK("http://www.ofsted.gov.uk/inspection-reports/find-inspection-report/provider/ELS/135162 ","Ofsted School Webpage")</f>
        <v>Ofsted School Webpage</v>
      </c>
      <c r="B456" s="85">
        <v>135162</v>
      </c>
      <c r="C456" s="85">
        <v>3833930</v>
      </c>
      <c r="D456" s="85" t="s">
        <v>1466</v>
      </c>
      <c r="E456" s="85" t="s">
        <v>81</v>
      </c>
      <c r="F456" s="85" t="s">
        <v>254</v>
      </c>
      <c r="G456" s="2">
        <v>39326</v>
      </c>
      <c r="H456" s="85" t="s">
        <v>255</v>
      </c>
      <c r="I456" s="85" t="s">
        <v>256</v>
      </c>
      <c r="J456" s="85" t="s">
        <v>257</v>
      </c>
      <c r="K456" s="85" t="s">
        <v>257</v>
      </c>
      <c r="L456" s="85" t="s">
        <v>258</v>
      </c>
      <c r="M456" s="85" t="s">
        <v>236</v>
      </c>
      <c r="N456" s="85" t="s">
        <v>218</v>
      </c>
      <c r="O456" s="85" t="s">
        <v>221</v>
      </c>
      <c r="P456" s="85" t="s">
        <v>1467</v>
      </c>
      <c r="Q456" s="85" t="s">
        <v>1468</v>
      </c>
      <c r="R456" s="85">
        <v>5</v>
      </c>
      <c r="S456" s="85">
        <v>376</v>
      </c>
      <c r="T456" s="2">
        <v>44124</v>
      </c>
      <c r="U456" s="2">
        <v>44165</v>
      </c>
    </row>
    <row r="457" spans="1:21" x14ac:dyDescent="0.2">
      <c r="A457" s="3" t="str">
        <f>HYPERLINK("http://www.ofsted.gov.uk/inspection-reports/find-inspection-report/provider/ELS/111237 ","Ofsted School Webpage")</f>
        <v>Ofsted School Webpage</v>
      </c>
      <c r="B457" s="85">
        <v>111237</v>
      </c>
      <c r="C457" s="85">
        <v>8952720</v>
      </c>
      <c r="D457" s="85" t="s">
        <v>1469</v>
      </c>
      <c r="E457" s="85" t="s">
        <v>81</v>
      </c>
      <c r="F457" s="85" t="s">
        <v>254</v>
      </c>
      <c r="G457" s="85" t="s">
        <v>262</v>
      </c>
      <c r="H457" s="85" t="s">
        <v>255</v>
      </c>
      <c r="I457" s="85" t="s">
        <v>256</v>
      </c>
      <c r="J457" s="85" t="s">
        <v>257</v>
      </c>
      <c r="K457" s="85" t="s">
        <v>257</v>
      </c>
      <c r="L457" s="85" t="s">
        <v>258</v>
      </c>
      <c r="M457" s="85" t="s">
        <v>148</v>
      </c>
      <c r="N457" s="85" t="s">
        <v>148</v>
      </c>
      <c r="O457" s="85" t="s">
        <v>160</v>
      </c>
      <c r="P457" s="85" t="s">
        <v>1470</v>
      </c>
      <c r="Q457" s="85" t="s">
        <v>1471</v>
      </c>
      <c r="R457" s="85">
        <v>3</v>
      </c>
      <c r="S457" s="85">
        <v>255</v>
      </c>
      <c r="T457" s="2">
        <v>44124</v>
      </c>
      <c r="U457" s="2">
        <v>44158</v>
      </c>
    </row>
    <row r="458" spans="1:21" x14ac:dyDescent="0.2">
      <c r="A458" s="3" t="str">
        <f>HYPERLINK("http://www.ofsted.gov.uk/inspection-reports/find-inspection-report/provider/ELS/135215 ","Ofsted School Webpage")</f>
        <v>Ofsted School Webpage</v>
      </c>
      <c r="B458" s="85">
        <v>135215</v>
      </c>
      <c r="C458" s="85">
        <v>3333408</v>
      </c>
      <c r="D458" s="85" t="s">
        <v>1472</v>
      </c>
      <c r="E458" s="85" t="s">
        <v>81</v>
      </c>
      <c r="F458" s="85" t="s">
        <v>254</v>
      </c>
      <c r="G458" s="2">
        <v>39326</v>
      </c>
      <c r="H458" s="85" t="s">
        <v>255</v>
      </c>
      <c r="I458" s="85" t="s">
        <v>256</v>
      </c>
      <c r="J458" s="85" t="s">
        <v>257</v>
      </c>
      <c r="K458" s="85" t="s">
        <v>257</v>
      </c>
      <c r="L458" s="85" t="s">
        <v>258</v>
      </c>
      <c r="M458" s="85" t="s">
        <v>203</v>
      </c>
      <c r="N458" s="85" t="s">
        <v>203</v>
      </c>
      <c r="O458" s="85" t="s">
        <v>205</v>
      </c>
      <c r="P458" s="85" t="s">
        <v>956</v>
      </c>
      <c r="Q458" s="85" t="s">
        <v>1473</v>
      </c>
      <c r="R458" s="85">
        <v>5</v>
      </c>
      <c r="S458" s="85">
        <v>682</v>
      </c>
      <c r="T458" s="2">
        <v>44124</v>
      </c>
      <c r="U458" s="2">
        <v>44158</v>
      </c>
    </row>
    <row r="459" spans="1:21" x14ac:dyDescent="0.2">
      <c r="A459" s="3" t="str">
        <f>HYPERLINK("http://www.ofsted.gov.uk/inspection-reports/find-inspection-report/provider/ELS/132028 ","Ofsted School Webpage")</f>
        <v>Ofsted School Webpage</v>
      </c>
      <c r="B459" s="85">
        <v>132028</v>
      </c>
      <c r="C459" s="85">
        <v>8462002</v>
      </c>
      <c r="D459" s="85" t="s">
        <v>1474</v>
      </c>
      <c r="E459" s="85" t="s">
        <v>81</v>
      </c>
      <c r="F459" s="85" t="s">
        <v>254</v>
      </c>
      <c r="G459" s="2">
        <v>36556</v>
      </c>
      <c r="H459" s="85" t="s">
        <v>255</v>
      </c>
      <c r="I459" s="85" t="s">
        <v>256</v>
      </c>
      <c r="J459" s="85" t="s">
        <v>257</v>
      </c>
      <c r="K459" s="85" t="s">
        <v>257</v>
      </c>
      <c r="L459" s="85" t="s">
        <v>258</v>
      </c>
      <c r="M459" s="85" t="s">
        <v>169</v>
      </c>
      <c r="N459" s="85" t="s">
        <v>169</v>
      </c>
      <c r="O459" s="85" t="s">
        <v>181</v>
      </c>
      <c r="P459" s="85" t="s">
        <v>1475</v>
      </c>
      <c r="Q459" s="85" t="s">
        <v>1476</v>
      </c>
      <c r="R459" s="85">
        <v>5</v>
      </c>
      <c r="S459" s="85">
        <v>226</v>
      </c>
      <c r="T459" s="2">
        <v>44124</v>
      </c>
      <c r="U459" s="2">
        <v>44158</v>
      </c>
    </row>
    <row r="460" spans="1:21" x14ac:dyDescent="0.2">
      <c r="A460" s="3" t="str">
        <f>HYPERLINK("http://www.ofsted.gov.uk/inspection-reports/find-inspection-report/provider/ELS/101316 ","Ofsted School Webpage")</f>
        <v>Ofsted School Webpage</v>
      </c>
      <c r="B460" s="85">
        <v>101316</v>
      </c>
      <c r="C460" s="85">
        <v>3023302</v>
      </c>
      <c r="D460" s="85" t="s">
        <v>1477</v>
      </c>
      <c r="E460" s="85" t="s">
        <v>81</v>
      </c>
      <c r="F460" s="85" t="s">
        <v>333</v>
      </c>
      <c r="G460" s="85" t="s">
        <v>262</v>
      </c>
      <c r="H460" s="85" t="s">
        <v>255</v>
      </c>
      <c r="I460" s="85" t="s">
        <v>256</v>
      </c>
      <c r="J460" s="85" t="s">
        <v>342</v>
      </c>
      <c r="K460" s="85" t="s">
        <v>257</v>
      </c>
      <c r="L460" s="85" t="s">
        <v>335</v>
      </c>
      <c r="M460" s="85" t="s">
        <v>107</v>
      </c>
      <c r="N460" s="85" t="s">
        <v>107</v>
      </c>
      <c r="O460" s="85" t="s">
        <v>121</v>
      </c>
      <c r="P460" s="85" t="s">
        <v>1090</v>
      </c>
      <c r="Q460" s="85" t="s">
        <v>1478</v>
      </c>
      <c r="R460" s="85">
        <v>2</v>
      </c>
      <c r="S460" s="85">
        <v>234</v>
      </c>
      <c r="T460" s="2">
        <v>44124</v>
      </c>
      <c r="U460" s="2">
        <v>44159</v>
      </c>
    </row>
    <row r="461" spans="1:21" x14ac:dyDescent="0.2">
      <c r="A461" s="3" t="str">
        <f>HYPERLINK("http://www.ofsted.gov.uk/inspection-reports/find-inspection-report/provider/ELS/114255 ","Ofsted School Webpage")</f>
        <v>Ofsted School Webpage</v>
      </c>
      <c r="B461" s="85">
        <v>114255</v>
      </c>
      <c r="C461" s="85">
        <v>8403413</v>
      </c>
      <c r="D461" s="85" t="s">
        <v>1479</v>
      </c>
      <c r="E461" s="85" t="s">
        <v>81</v>
      </c>
      <c r="F461" s="85" t="s">
        <v>333</v>
      </c>
      <c r="G461" s="85" t="s">
        <v>262</v>
      </c>
      <c r="H461" s="85" t="s">
        <v>255</v>
      </c>
      <c r="I461" s="85" t="s">
        <v>256</v>
      </c>
      <c r="J461" s="85" t="s">
        <v>334</v>
      </c>
      <c r="K461" s="85" t="s">
        <v>257</v>
      </c>
      <c r="L461" s="85" t="s">
        <v>335</v>
      </c>
      <c r="M461" s="85" t="s">
        <v>236</v>
      </c>
      <c r="N461" s="85" t="s">
        <v>135</v>
      </c>
      <c r="O461" s="85" t="s">
        <v>143</v>
      </c>
      <c r="P461" s="85" t="s">
        <v>1480</v>
      </c>
      <c r="Q461" s="85" t="s">
        <v>1481</v>
      </c>
      <c r="R461" s="85">
        <v>3</v>
      </c>
      <c r="S461" s="85">
        <v>179</v>
      </c>
      <c r="T461" s="2">
        <v>44124</v>
      </c>
      <c r="U461" s="2">
        <v>44164</v>
      </c>
    </row>
    <row r="462" spans="1:21" x14ac:dyDescent="0.2">
      <c r="A462" s="3" t="str">
        <f>HYPERLINK("http://www.ofsted.gov.uk/inspection-reports/find-inspection-report/provider/ELS/111086 ","Ofsted School Webpage")</f>
        <v>Ofsted School Webpage</v>
      </c>
      <c r="B462" s="85">
        <v>111086</v>
      </c>
      <c r="C462" s="85">
        <v>8962239</v>
      </c>
      <c r="D462" s="85" t="s">
        <v>1482</v>
      </c>
      <c r="E462" s="85" t="s">
        <v>81</v>
      </c>
      <c r="F462" s="85" t="s">
        <v>254</v>
      </c>
      <c r="G462" s="85" t="s">
        <v>262</v>
      </c>
      <c r="H462" s="85" t="s">
        <v>255</v>
      </c>
      <c r="I462" s="85" t="s">
        <v>256</v>
      </c>
      <c r="J462" s="85" t="s">
        <v>257</v>
      </c>
      <c r="K462" s="85" t="s">
        <v>257</v>
      </c>
      <c r="L462" s="85" t="s">
        <v>258</v>
      </c>
      <c r="M462" s="85" t="s">
        <v>148</v>
      </c>
      <c r="N462" s="85" t="s">
        <v>148</v>
      </c>
      <c r="O462" s="85" t="s">
        <v>155</v>
      </c>
      <c r="P462" s="85" t="s">
        <v>339</v>
      </c>
      <c r="Q462" s="85" t="s">
        <v>1483</v>
      </c>
      <c r="R462" s="85">
        <v>5</v>
      </c>
      <c r="S462" s="85">
        <v>119</v>
      </c>
      <c r="T462" s="2">
        <v>44124</v>
      </c>
      <c r="U462" s="2">
        <v>44154</v>
      </c>
    </row>
    <row r="463" spans="1:21" x14ac:dyDescent="0.2">
      <c r="A463" s="3" t="str">
        <f>HYPERLINK("http://www.ofsted.gov.uk/inspection-reports/find-inspection-report/provider/ELS/126006 ","Ofsted School Webpage")</f>
        <v>Ofsted School Webpage</v>
      </c>
      <c r="B463" s="85">
        <v>126006</v>
      </c>
      <c r="C463" s="85">
        <v>9383051</v>
      </c>
      <c r="D463" s="85" t="s">
        <v>1484</v>
      </c>
      <c r="E463" s="85" t="s">
        <v>81</v>
      </c>
      <c r="F463" s="85" t="s">
        <v>360</v>
      </c>
      <c r="G463" s="85" t="s">
        <v>262</v>
      </c>
      <c r="H463" s="85" t="s">
        <v>255</v>
      </c>
      <c r="I463" s="85" t="s">
        <v>256</v>
      </c>
      <c r="J463" s="85" t="s">
        <v>342</v>
      </c>
      <c r="K463" s="85" t="s">
        <v>257</v>
      </c>
      <c r="L463" s="85" t="s">
        <v>335</v>
      </c>
      <c r="M463" s="85" t="s">
        <v>169</v>
      </c>
      <c r="N463" s="85" t="s">
        <v>169</v>
      </c>
      <c r="O463" s="85" t="s">
        <v>177</v>
      </c>
      <c r="P463" s="85" t="s">
        <v>1485</v>
      </c>
      <c r="Q463" s="85" t="s">
        <v>1486</v>
      </c>
      <c r="R463" s="85">
        <v>1</v>
      </c>
      <c r="S463" s="85">
        <v>133</v>
      </c>
      <c r="T463" s="2">
        <v>44124</v>
      </c>
      <c r="U463" s="2">
        <v>44158</v>
      </c>
    </row>
    <row r="464" spans="1:21" x14ac:dyDescent="0.2">
      <c r="A464" s="3" t="str">
        <f>HYPERLINK("http://www.ofsted.gov.uk/inspection-reports/find-inspection-report/provider/ELS/109949 ","Ofsted School Webpage")</f>
        <v>Ofsted School Webpage</v>
      </c>
      <c r="B464" s="85">
        <v>109949</v>
      </c>
      <c r="C464" s="85">
        <v>8693006</v>
      </c>
      <c r="D464" s="85" t="s">
        <v>1487</v>
      </c>
      <c r="E464" s="85" t="s">
        <v>81</v>
      </c>
      <c r="F464" s="85" t="s">
        <v>360</v>
      </c>
      <c r="G464" s="85" t="s">
        <v>262</v>
      </c>
      <c r="H464" s="85" t="s">
        <v>255</v>
      </c>
      <c r="I464" s="85" t="s">
        <v>256</v>
      </c>
      <c r="J464" s="85" t="s">
        <v>342</v>
      </c>
      <c r="K464" s="85" t="s">
        <v>257</v>
      </c>
      <c r="L464" s="85" t="s">
        <v>335</v>
      </c>
      <c r="M464" s="85" t="s">
        <v>169</v>
      </c>
      <c r="N464" s="85" t="s">
        <v>169</v>
      </c>
      <c r="O464" s="85" t="s">
        <v>176</v>
      </c>
      <c r="P464" s="85" t="s">
        <v>367</v>
      </c>
      <c r="Q464" s="85" t="s">
        <v>1488</v>
      </c>
      <c r="R464" s="85">
        <v>1</v>
      </c>
      <c r="S464" s="85">
        <v>147</v>
      </c>
      <c r="T464" s="2">
        <v>44124</v>
      </c>
      <c r="U464" s="2">
        <v>44151</v>
      </c>
    </row>
    <row r="465" spans="1:21" x14ac:dyDescent="0.2">
      <c r="A465" s="3" t="str">
        <f>HYPERLINK("http://www.ofsted.gov.uk/inspection-reports/find-inspection-report/provider/ELS/113822 ","Ofsted School Webpage")</f>
        <v>Ofsted School Webpage</v>
      </c>
      <c r="B465" s="85">
        <v>113822</v>
      </c>
      <c r="C465" s="85">
        <v>8383381</v>
      </c>
      <c r="D465" s="85" t="s">
        <v>1489</v>
      </c>
      <c r="E465" s="85" t="s">
        <v>81</v>
      </c>
      <c r="F465" s="85" t="s">
        <v>333</v>
      </c>
      <c r="G465" s="2">
        <v>1</v>
      </c>
      <c r="H465" s="85" t="s">
        <v>255</v>
      </c>
      <c r="I465" s="85" t="s">
        <v>256</v>
      </c>
      <c r="J465" s="85" t="s">
        <v>342</v>
      </c>
      <c r="K465" s="85" t="s">
        <v>257</v>
      </c>
      <c r="L465" s="85" t="s">
        <v>335</v>
      </c>
      <c r="M465" s="85" t="s">
        <v>188</v>
      </c>
      <c r="N465" s="85" t="s">
        <v>188</v>
      </c>
      <c r="O465" s="85" t="s">
        <v>190</v>
      </c>
      <c r="P465" s="85" t="s">
        <v>1490</v>
      </c>
      <c r="Q465" s="85" t="s">
        <v>1491</v>
      </c>
      <c r="R465" s="85">
        <v>2</v>
      </c>
      <c r="S465" s="85">
        <v>113</v>
      </c>
      <c r="T465" s="2">
        <v>44124</v>
      </c>
      <c r="U465" s="2">
        <v>44154</v>
      </c>
    </row>
    <row r="466" spans="1:21" x14ac:dyDescent="0.2">
      <c r="A466" s="3" t="str">
        <f>HYPERLINK("http://www.ofsted.gov.uk/inspection-reports/find-inspection-report/provider/ELS/135052 ","Ofsted School Webpage")</f>
        <v>Ofsted School Webpage</v>
      </c>
      <c r="B466" s="85">
        <v>135052</v>
      </c>
      <c r="C466" s="85">
        <v>8852911</v>
      </c>
      <c r="D466" s="85" t="s">
        <v>1492</v>
      </c>
      <c r="E466" s="85" t="s">
        <v>81</v>
      </c>
      <c r="F466" s="85" t="s">
        <v>254</v>
      </c>
      <c r="G466" s="2">
        <v>39326</v>
      </c>
      <c r="H466" s="85" t="s">
        <v>255</v>
      </c>
      <c r="I466" s="85" t="s">
        <v>256</v>
      </c>
      <c r="J466" s="85" t="s">
        <v>257</v>
      </c>
      <c r="K466" s="85" t="s">
        <v>257</v>
      </c>
      <c r="L466" s="85" t="s">
        <v>258</v>
      </c>
      <c r="M466" s="85" t="s">
        <v>203</v>
      </c>
      <c r="N466" s="85" t="s">
        <v>203</v>
      </c>
      <c r="O466" s="85" t="s">
        <v>215</v>
      </c>
      <c r="P466" s="85" t="s">
        <v>1418</v>
      </c>
      <c r="Q466" s="85" t="s">
        <v>1493</v>
      </c>
      <c r="R466" s="85">
        <v>3</v>
      </c>
      <c r="S466" s="85">
        <v>326</v>
      </c>
      <c r="T466" s="2">
        <v>44124</v>
      </c>
      <c r="U466" s="2">
        <v>44150</v>
      </c>
    </row>
    <row r="467" spans="1:21" x14ac:dyDescent="0.2">
      <c r="A467" s="3" t="str">
        <f>HYPERLINK("http://www.ofsted.gov.uk/inspection-reports/find-inspection-report/provider/ELS/112704 ","Ofsted School Webpage")</f>
        <v>Ofsted School Webpage</v>
      </c>
      <c r="B467" s="85">
        <v>112704</v>
      </c>
      <c r="C467" s="85">
        <v>8302371</v>
      </c>
      <c r="D467" s="85" t="s">
        <v>1494</v>
      </c>
      <c r="E467" s="85" t="s">
        <v>81</v>
      </c>
      <c r="F467" s="85" t="s">
        <v>254</v>
      </c>
      <c r="G467" s="85" t="s">
        <v>262</v>
      </c>
      <c r="H467" s="85" t="s">
        <v>255</v>
      </c>
      <c r="I467" s="85" t="s">
        <v>256</v>
      </c>
      <c r="J467" s="85" t="s">
        <v>257</v>
      </c>
      <c r="K467" s="85" t="s">
        <v>257</v>
      </c>
      <c r="L467" s="85" t="s">
        <v>258</v>
      </c>
      <c r="M467" s="85" t="s">
        <v>85</v>
      </c>
      <c r="N467" s="85" t="s">
        <v>85</v>
      </c>
      <c r="O467" s="85" t="s">
        <v>86</v>
      </c>
      <c r="P467" s="85" t="s">
        <v>1495</v>
      </c>
      <c r="Q467" s="85" t="s">
        <v>1496</v>
      </c>
      <c r="R467" s="85">
        <v>3</v>
      </c>
      <c r="S467" s="85">
        <v>209</v>
      </c>
      <c r="T467" s="2">
        <v>44124</v>
      </c>
      <c r="U467" s="2">
        <v>44160</v>
      </c>
    </row>
    <row r="468" spans="1:21" x14ac:dyDescent="0.2">
      <c r="A468" s="3" t="str">
        <f>HYPERLINK("http://www.ofsted.gov.uk/inspection-reports/find-inspection-report/provider/ELS/116466 ","Ofsted School Webpage")</f>
        <v>Ofsted School Webpage</v>
      </c>
      <c r="B468" s="85">
        <v>116466</v>
      </c>
      <c r="C468" s="85">
        <v>8504307</v>
      </c>
      <c r="D468" s="85" t="s">
        <v>1497</v>
      </c>
      <c r="E468" s="85" t="s">
        <v>82</v>
      </c>
      <c r="F468" s="85" t="s">
        <v>254</v>
      </c>
      <c r="G468" s="85" t="s">
        <v>262</v>
      </c>
      <c r="H468" s="85" t="s">
        <v>275</v>
      </c>
      <c r="I468" s="85" t="s">
        <v>256</v>
      </c>
      <c r="J468" s="85" t="s">
        <v>257</v>
      </c>
      <c r="K468" s="85" t="s">
        <v>257</v>
      </c>
      <c r="L468" s="85" t="s">
        <v>258</v>
      </c>
      <c r="M468" s="85" t="s">
        <v>169</v>
      </c>
      <c r="N468" s="85" t="s">
        <v>169</v>
      </c>
      <c r="O468" s="85" t="s">
        <v>170</v>
      </c>
      <c r="P468" s="85" t="s">
        <v>1498</v>
      </c>
      <c r="Q468" s="85" t="s">
        <v>1499</v>
      </c>
      <c r="R468" s="85">
        <v>1</v>
      </c>
      <c r="S468" s="85">
        <v>812</v>
      </c>
      <c r="T468" s="2">
        <v>44124</v>
      </c>
      <c r="U468" s="2">
        <v>44157</v>
      </c>
    </row>
    <row r="469" spans="1:21" x14ac:dyDescent="0.2">
      <c r="A469" s="3" t="str">
        <f>HYPERLINK("http://www.ofsted.gov.uk/inspection-reports/find-inspection-report/provider/ELS/109324 ","Ofsted School Webpage")</f>
        <v>Ofsted School Webpage</v>
      </c>
      <c r="B469" s="85">
        <v>109324</v>
      </c>
      <c r="C469" s="85">
        <v>8034502</v>
      </c>
      <c r="D469" s="85" t="s">
        <v>1500</v>
      </c>
      <c r="E469" s="85" t="s">
        <v>82</v>
      </c>
      <c r="F469" s="85" t="s">
        <v>382</v>
      </c>
      <c r="G469" s="85" t="s">
        <v>262</v>
      </c>
      <c r="H469" s="85" t="s">
        <v>275</v>
      </c>
      <c r="I469" s="85" t="s">
        <v>276</v>
      </c>
      <c r="J469" s="85" t="s">
        <v>405</v>
      </c>
      <c r="K469" s="85" t="s">
        <v>257</v>
      </c>
      <c r="L469" s="85" t="s">
        <v>258</v>
      </c>
      <c r="M469" s="85" t="s">
        <v>188</v>
      </c>
      <c r="N469" s="85" t="s">
        <v>188</v>
      </c>
      <c r="O469" s="85" t="s">
        <v>193</v>
      </c>
      <c r="P469" s="85" t="s">
        <v>1501</v>
      </c>
      <c r="Q469" s="85" t="s">
        <v>1502</v>
      </c>
      <c r="R469" s="85">
        <v>1</v>
      </c>
      <c r="S469" s="85">
        <v>734</v>
      </c>
      <c r="T469" s="2">
        <v>44124</v>
      </c>
      <c r="U469" s="2">
        <v>44152</v>
      </c>
    </row>
    <row r="470" spans="1:21" x14ac:dyDescent="0.2">
      <c r="A470" s="3" t="str">
        <f>HYPERLINK("http://www.ofsted.gov.uk/inspection-reports/find-inspection-report/provider/ELS/111253 ","Ofsted School Webpage")</f>
        <v>Ofsted School Webpage</v>
      </c>
      <c r="B470" s="85">
        <v>111253</v>
      </c>
      <c r="C470" s="85">
        <v>8953114</v>
      </c>
      <c r="D470" s="85" t="s">
        <v>1503</v>
      </c>
      <c r="E470" s="85" t="s">
        <v>81</v>
      </c>
      <c r="F470" s="85" t="s">
        <v>360</v>
      </c>
      <c r="G470" s="85" t="s">
        <v>262</v>
      </c>
      <c r="H470" s="85" t="s">
        <v>255</v>
      </c>
      <c r="I470" s="85" t="s">
        <v>256</v>
      </c>
      <c r="J470" s="85" t="s">
        <v>342</v>
      </c>
      <c r="K470" s="85" t="s">
        <v>257</v>
      </c>
      <c r="L470" s="85" t="s">
        <v>335</v>
      </c>
      <c r="M470" s="85" t="s">
        <v>148</v>
      </c>
      <c r="N470" s="85" t="s">
        <v>148</v>
      </c>
      <c r="O470" s="85" t="s">
        <v>160</v>
      </c>
      <c r="P470" s="85" t="s">
        <v>1439</v>
      </c>
      <c r="Q470" s="85" t="s">
        <v>1504</v>
      </c>
      <c r="R470" s="85">
        <v>1</v>
      </c>
      <c r="S470" s="85">
        <v>34</v>
      </c>
      <c r="T470" s="2">
        <v>44124</v>
      </c>
      <c r="U470" s="2">
        <v>44161</v>
      </c>
    </row>
    <row r="471" spans="1:21" x14ac:dyDescent="0.2">
      <c r="A471" s="3" t="str">
        <f>HYPERLINK("http://www.ofsted.gov.uk/inspection-reports/find-inspection-report/provider/ELS/113656 ","Ofsted School Webpage")</f>
        <v>Ofsted School Webpage</v>
      </c>
      <c r="B471" s="85">
        <v>113656</v>
      </c>
      <c r="C471" s="85">
        <v>8787087</v>
      </c>
      <c r="D471" s="85" t="s">
        <v>1505</v>
      </c>
      <c r="E471" s="85" t="s">
        <v>83</v>
      </c>
      <c r="F471" s="85" t="s">
        <v>583</v>
      </c>
      <c r="G471" s="85" t="s">
        <v>262</v>
      </c>
      <c r="H471" s="85" t="s">
        <v>255</v>
      </c>
      <c r="I471" s="85" t="s">
        <v>276</v>
      </c>
      <c r="J471" s="85" t="s">
        <v>257</v>
      </c>
      <c r="K471" s="85" t="s">
        <v>257</v>
      </c>
      <c r="L471" s="85" t="s">
        <v>258</v>
      </c>
      <c r="M471" s="85" t="s">
        <v>188</v>
      </c>
      <c r="N471" s="85" t="s">
        <v>188</v>
      </c>
      <c r="O471" s="85" t="s">
        <v>197</v>
      </c>
      <c r="P471" s="85" t="s">
        <v>978</v>
      </c>
      <c r="Q471" s="85" t="s">
        <v>1506</v>
      </c>
      <c r="R471" s="85">
        <v>3</v>
      </c>
      <c r="S471" s="85">
        <v>178</v>
      </c>
      <c r="T471" s="2">
        <v>44124</v>
      </c>
      <c r="U471" s="2">
        <v>44157</v>
      </c>
    </row>
    <row r="472" spans="1:21" x14ac:dyDescent="0.2">
      <c r="A472" s="3" t="str">
        <f>HYPERLINK("http://www.ofsted.gov.uk/inspection-reports/find-inspection-report/provider/ELS/122382 ","Ofsted School Webpage")</f>
        <v>Ofsted School Webpage</v>
      </c>
      <c r="B472" s="85">
        <v>122382</v>
      </c>
      <c r="C472" s="85">
        <v>9297003</v>
      </c>
      <c r="D472" s="85" t="s">
        <v>1507</v>
      </c>
      <c r="E472" s="85" t="s">
        <v>83</v>
      </c>
      <c r="F472" s="85" t="s">
        <v>389</v>
      </c>
      <c r="G472" s="85" t="s">
        <v>262</v>
      </c>
      <c r="H472" s="85" t="s">
        <v>255</v>
      </c>
      <c r="I472" s="85" t="s">
        <v>276</v>
      </c>
      <c r="J472" s="85" t="s">
        <v>257</v>
      </c>
      <c r="K472" s="85" t="s">
        <v>257</v>
      </c>
      <c r="L472" s="85" t="s">
        <v>258</v>
      </c>
      <c r="M472" s="85" t="s">
        <v>236</v>
      </c>
      <c r="N472" s="85" t="s">
        <v>135</v>
      </c>
      <c r="O472" s="85" t="s">
        <v>138</v>
      </c>
      <c r="P472" s="85" t="s">
        <v>1508</v>
      </c>
      <c r="Q472" s="85" t="s">
        <v>1509</v>
      </c>
      <c r="R472" s="85">
        <v>4</v>
      </c>
      <c r="S472" s="85">
        <v>187</v>
      </c>
      <c r="T472" s="2">
        <v>44124</v>
      </c>
      <c r="U472" s="2">
        <v>44157</v>
      </c>
    </row>
    <row r="473" spans="1:21" x14ac:dyDescent="0.2">
      <c r="A473" s="3" t="str">
        <f>HYPERLINK("http://www.ofsted.gov.uk/inspection-reports/find-inspection-report/provider/ELS/137852 ","Ofsted School Webpage")</f>
        <v>Ofsted School Webpage</v>
      </c>
      <c r="B473" s="85">
        <v>137852</v>
      </c>
      <c r="C473" s="85">
        <v>3904605</v>
      </c>
      <c r="D473" s="85" t="s">
        <v>1510</v>
      </c>
      <c r="E473" s="85" t="s">
        <v>82</v>
      </c>
      <c r="F473" s="85" t="s">
        <v>400</v>
      </c>
      <c r="G473" s="2">
        <v>40940</v>
      </c>
      <c r="H473" s="85" t="s">
        <v>275</v>
      </c>
      <c r="I473" s="85" t="s">
        <v>276</v>
      </c>
      <c r="J473" s="85" t="s">
        <v>334</v>
      </c>
      <c r="K473" s="85" t="s">
        <v>257</v>
      </c>
      <c r="L473" s="85" t="s">
        <v>335</v>
      </c>
      <c r="M473" s="85" t="s">
        <v>236</v>
      </c>
      <c r="N473" s="85" t="s">
        <v>135</v>
      </c>
      <c r="O473" s="85" t="s">
        <v>146</v>
      </c>
      <c r="P473" s="85" t="s">
        <v>146</v>
      </c>
      <c r="Q473" s="85" t="s">
        <v>1511</v>
      </c>
      <c r="R473" s="85">
        <v>4</v>
      </c>
      <c r="S473" s="85">
        <v>1494</v>
      </c>
      <c r="T473" s="2">
        <v>44124</v>
      </c>
      <c r="U473" s="2">
        <v>44165</v>
      </c>
    </row>
    <row r="474" spans="1:21" x14ac:dyDescent="0.2">
      <c r="A474" s="3" t="str">
        <f>HYPERLINK("http://www.ofsted.gov.uk/inspection-reports/find-inspection-report/provider/ELS/140647 ","Ofsted School Webpage")</f>
        <v>Ofsted School Webpage</v>
      </c>
      <c r="B474" s="85">
        <v>140647</v>
      </c>
      <c r="C474" s="85">
        <v>8953805</v>
      </c>
      <c r="D474" s="85" t="s">
        <v>1512</v>
      </c>
      <c r="E474" s="85" t="s">
        <v>81</v>
      </c>
      <c r="F474" s="85" t="s">
        <v>400</v>
      </c>
      <c r="G474" s="2">
        <v>41699</v>
      </c>
      <c r="H474" s="85" t="s">
        <v>255</v>
      </c>
      <c r="I474" s="85" t="s">
        <v>256</v>
      </c>
      <c r="J474" s="85" t="s">
        <v>257</v>
      </c>
      <c r="K474" s="85" t="s">
        <v>257</v>
      </c>
      <c r="L474" s="85" t="s">
        <v>258</v>
      </c>
      <c r="M474" s="85" t="s">
        <v>148</v>
      </c>
      <c r="N474" s="85" t="s">
        <v>148</v>
      </c>
      <c r="O474" s="85" t="s">
        <v>160</v>
      </c>
      <c r="P474" s="85" t="s">
        <v>905</v>
      </c>
      <c r="Q474" s="85" t="s">
        <v>1513</v>
      </c>
      <c r="R474" s="85">
        <v>4</v>
      </c>
      <c r="S474" s="85">
        <v>443</v>
      </c>
      <c r="T474" s="2">
        <v>44124</v>
      </c>
      <c r="U474" s="2">
        <v>44168</v>
      </c>
    </row>
    <row r="475" spans="1:21" x14ac:dyDescent="0.2">
      <c r="A475" s="3" t="str">
        <f>HYPERLINK("http://www.ofsted.gov.uk/inspection-reports/find-inspection-report/provider/ELS/138844 ","Ofsted School Webpage")</f>
        <v>Ofsted School Webpage</v>
      </c>
      <c r="B475" s="85">
        <v>138844</v>
      </c>
      <c r="C475" s="85">
        <v>8235408</v>
      </c>
      <c r="D475" s="85" t="s">
        <v>1514</v>
      </c>
      <c r="E475" s="85" t="s">
        <v>82</v>
      </c>
      <c r="F475" s="85" t="s">
        <v>400</v>
      </c>
      <c r="G475" s="2">
        <v>41183</v>
      </c>
      <c r="H475" s="85" t="s">
        <v>255</v>
      </c>
      <c r="I475" s="85" t="s">
        <v>256</v>
      </c>
      <c r="J475" s="85" t="s">
        <v>342</v>
      </c>
      <c r="K475" s="85" t="s">
        <v>257</v>
      </c>
      <c r="L475" s="85" t="s">
        <v>335</v>
      </c>
      <c r="M475" s="85" t="s">
        <v>95</v>
      </c>
      <c r="N475" s="85" t="s">
        <v>95</v>
      </c>
      <c r="O475" s="85" t="s">
        <v>105</v>
      </c>
      <c r="P475" s="85" t="s">
        <v>1215</v>
      </c>
      <c r="Q475" s="85" t="s">
        <v>1515</v>
      </c>
      <c r="R475" s="85">
        <v>1</v>
      </c>
      <c r="S475" s="85">
        <v>684</v>
      </c>
      <c r="T475" s="2">
        <v>44124</v>
      </c>
      <c r="U475" s="2">
        <v>44152</v>
      </c>
    </row>
    <row r="476" spans="1:21" x14ac:dyDescent="0.2">
      <c r="A476" s="3" t="str">
        <f>HYPERLINK("http://www.ofsted.gov.uk/inspection-reports/find-inspection-report/provider/ELS/144893 ","Ofsted School Webpage")</f>
        <v>Ofsted School Webpage</v>
      </c>
      <c r="B476" s="85">
        <v>144893</v>
      </c>
      <c r="C476" s="85">
        <v>3055950</v>
      </c>
      <c r="D476" s="85" t="s">
        <v>1516</v>
      </c>
      <c r="E476" s="85" t="s">
        <v>83</v>
      </c>
      <c r="F476" s="85" t="s">
        <v>1064</v>
      </c>
      <c r="G476" s="2">
        <v>42979</v>
      </c>
      <c r="H476" s="85" t="s">
        <v>255</v>
      </c>
      <c r="I476" s="85" t="s">
        <v>276</v>
      </c>
      <c r="J476" s="85" t="s">
        <v>257</v>
      </c>
      <c r="K476" s="85" t="s">
        <v>257</v>
      </c>
      <c r="L476" s="85" t="s">
        <v>258</v>
      </c>
      <c r="M476" s="85" t="s">
        <v>107</v>
      </c>
      <c r="N476" s="85" t="s">
        <v>107</v>
      </c>
      <c r="O476" s="85" t="s">
        <v>124</v>
      </c>
      <c r="P476" s="85" t="s">
        <v>878</v>
      </c>
      <c r="Q476" s="85" t="s">
        <v>1517</v>
      </c>
      <c r="R476" s="85">
        <v>4</v>
      </c>
      <c r="S476" s="85">
        <v>224</v>
      </c>
      <c r="T476" s="2">
        <v>44124</v>
      </c>
      <c r="U476" s="2">
        <v>44160</v>
      </c>
    </row>
    <row r="477" spans="1:21" x14ac:dyDescent="0.2">
      <c r="A477" s="3" t="str">
        <f>HYPERLINK("http://www.ofsted.gov.uk/inspection-reports/find-inspection-report/provider/ELS/144864 ","Ofsted School Webpage")</f>
        <v>Ofsted School Webpage</v>
      </c>
      <c r="B477" s="85">
        <v>144864</v>
      </c>
      <c r="C477" s="85">
        <v>8012099</v>
      </c>
      <c r="D477" s="85" t="s">
        <v>1518</v>
      </c>
      <c r="E477" s="85" t="s">
        <v>81</v>
      </c>
      <c r="F477" s="85" t="s">
        <v>400</v>
      </c>
      <c r="G477" s="2">
        <v>42948</v>
      </c>
      <c r="H477" s="85" t="s">
        <v>255</v>
      </c>
      <c r="I477" s="85" t="s">
        <v>256</v>
      </c>
      <c r="J477" s="85" t="s">
        <v>257</v>
      </c>
      <c r="K477" s="85" t="s">
        <v>257</v>
      </c>
      <c r="L477" s="85" t="s">
        <v>258</v>
      </c>
      <c r="M477" s="85" t="s">
        <v>188</v>
      </c>
      <c r="N477" s="85" t="s">
        <v>188</v>
      </c>
      <c r="O477" s="85" t="s">
        <v>189</v>
      </c>
      <c r="P477" s="85" t="s">
        <v>406</v>
      </c>
      <c r="Q477" s="85" t="s">
        <v>1519</v>
      </c>
      <c r="R477" s="85">
        <v>4</v>
      </c>
      <c r="S477" s="85">
        <v>456</v>
      </c>
      <c r="T477" s="2">
        <v>44124</v>
      </c>
      <c r="U477" s="2">
        <v>44157</v>
      </c>
    </row>
    <row r="478" spans="1:21" x14ac:dyDescent="0.2">
      <c r="A478" s="3" t="str">
        <f>HYPERLINK("http://www.ofsted.gov.uk/inspection-reports/find-inspection-report/provider/ELS/140149 ","Ofsted School Webpage")</f>
        <v>Ofsted School Webpage</v>
      </c>
      <c r="B478" s="85">
        <v>140149</v>
      </c>
      <c r="C478" s="85">
        <v>8614711</v>
      </c>
      <c r="D478" s="85" t="s">
        <v>1520</v>
      </c>
      <c r="E478" s="85" t="s">
        <v>82</v>
      </c>
      <c r="F478" s="85" t="s">
        <v>400</v>
      </c>
      <c r="G478" s="2">
        <v>41518</v>
      </c>
      <c r="H478" s="85" t="s">
        <v>275</v>
      </c>
      <c r="I478" s="85" t="s">
        <v>276</v>
      </c>
      <c r="J478" s="85" t="s">
        <v>334</v>
      </c>
      <c r="K478" s="85" t="s">
        <v>257</v>
      </c>
      <c r="L478" s="85" t="s">
        <v>335</v>
      </c>
      <c r="M478" s="85" t="s">
        <v>203</v>
      </c>
      <c r="N478" s="85" t="s">
        <v>203</v>
      </c>
      <c r="O478" s="85" t="s">
        <v>211</v>
      </c>
      <c r="P478" s="85" t="s">
        <v>1521</v>
      </c>
      <c r="Q478" s="85" t="s">
        <v>1522</v>
      </c>
      <c r="R478" s="85">
        <v>5</v>
      </c>
      <c r="S478" s="85">
        <v>1102</v>
      </c>
      <c r="T478" s="2">
        <v>44124</v>
      </c>
      <c r="U478" s="2">
        <v>44158</v>
      </c>
    </row>
    <row r="479" spans="1:21" x14ac:dyDescent="0.2">
      <c r="A479" s="3" t="str">
        <f>HYPERLINK("http://www.ofsted.gov.uk/inspection-reports/find-inspection-report/provider/ELS/139032 ","Ofsted School Webpage")</f>
        <v>Ofsted School Webpage</v>
      </c>
      <c r="B479" s="85">
        <v>139032</v>
      </c>
      <c r="C479" s="85">
        <v>8013408</v>
      </c>
      <c r="D479" s="85" t="s">
        <v>1523</v>
      </c>
      <c r="E479" s="85" t="s">
        <v>81</v>
      </c>
      <c r="F479" s="85" t="s">
        <v>400</v>
      </c>
      <c r="G479" s="2">
        <v>41244</v>
      </c>
      <c r="H479" s="85" t="s">
        <v>255</v>
      </c>
      <c r="I479" s="85" t="s">
        <v>256</v>
      </c>
      <c r="J479" s="85" t="s">
        <v>334</v>
      </c>
      <c r="K479" s="85" t="s">
        <v>257</v>
      </c>
      <c r="L479" s="85" t="s">
        <v>335</v>
      </c>
      <c r="M479" s="85" t="s">
        <v>188</v>
      </c>
      <c r="N479" s="85" t="s">
        <v>188</v>
      </c>
      <c r="O479" s="85" t="s">
        <v>189</v>
      </c>
      <c r="P479" s="85" t="s">
        <v>1154</v>
      </c>
      <c r="Q479" s="85" t="s">
        <v>1524</v>
      </c>
      <c r="R479" s="85">
        <v>5</v>
      </c>
      <c r="S479" s="85">
        <v>163</v>
      </c>
      <c r="T479" s="2">
        <v>44124</v>
      </c>
      <c r="U479" s="2">
        <v>44152</v>
      </c>
    </row>
    <row r="480" spans="1:21" x14ac:dyDescent="0.2">
      <c r="A480" s="3" t="str">
        <f>HYPERLINK("http://www.ofsted.gov.uk/inspection-reports/find-inspection-report/provider/ELS/138034 ","Ofsted School Webpage")</f>
        <v>Ofsted School Webpage</v>
      </c>
      <c r="B480" s="85">
        <v>138034</v>
      </c>
      <c r="C480" s="85">
        <v>8862232</v>
      </c>
      <c r="D480" s="85" t="s">
        <v>1525</v>
      </c>
      <c r="E480" s="85" t="s">
        <v>81</v>
      </c>
      <c r="F480" s="85" t="s">
        <v>400</v>
      </c>
      <c r="G480" s="2">
        <v>41000</v>
      </c>
      <c r="H480" s="85" t="s">
        <v>255</v>
      </c>
      <c r="I480" s="85" t="s">
        <v>256</v>
      </c>
      <c r="J480" s="85" t="s">
        <v>257</v>
      </c>
      <c r="K480" s="85" t="s">
        <v>257</v>
      </c>
      <c r="L480" s="85" t="s">
        <v>258</v>
      </c>
      <c r="M480" s="85" t="s">
        <v>169</v>
      </c>
      <c r="N480" s="85" t="s">
        <v>169</v>
      </c>
      <c r="O480" s="85" t="s">
        <v>171</v>
      </c>
      <c r="P480" s="85" t="s">
        <v>1119</v>
      </c>
      <c r="Q480" s="85" t="s">
        <v>1526</v>
      </c>
      <c r="R480" s="85">
        <v>3</v>
      </c>
      <c r="S480" s="85">
        <v>188</v>
      </c>
      <c r="T480" s="2">
        <v>44124</v>
      </c>
      <c r="U480" s="2">
        <v>44159</v>
      </c>
    </row>
    <row r="481" spans="1:21" x14ac:dyDescent="0.2">
      <c r="A481" s="3" t="str">
        <f>HYPERLINK("http://www.ofsted.gov.uk/inspection-reports/find-inspection-report/provider/ELS/137680 ","Ofsted School Webpage")</f>
        <v>Ofsted School Webpage</v>
      </c>
      <c r="B481" s="85">
        <v>137680</v>
      </c>
      <c r="C481" s="85">
        <v>9255205</v>
      </c>
      <c r="D481" s="85" t="s">
        <v>1527</v>
      </c>
      <c r="E481" s="85" t="s">
        <v>81</v>
      </c>
      <c r="F481" s="85" t="s">
        <v>400</v>
      </c>
      <c r="G481" s="2">
        <v>40878</v>
      </c>
      <c r="H481" s="85" t="s">
        <v>275</v>
      </c>
      <c r="I481" s="85" t="s">
        <v>255</v>
      </c>
      <c r="J481" s="85" t="s">
        <v>405</v>
      </c>
      <c r="K481" s="85" t="s">
        <v>257</v>
      </c>
      <c r="L481" s="85" t="s">
        <v>258</v>
      </c>
      <c r="M481" s="85" t="s">
        <v>85</v>
      </c>
      <c r="N481" s="85" t="s">
        <v>85</v>
      </c>
      <c r="O481" s="85" t="s">
        <v>89</v>
      </c>
      <c r="P481" s="85" t="s">
        <v>1398</v>
      </c>
      <c r="Q481" s="85" t="s">
        <v>1528</v>
      </c>
      <c r="R481" s="85">
        <v>1</v>
      </c>
      <c r="S481" s="85">
        <v>651</v>
      </c>
      <c r="T481" s="2">
        <v>44124</v>
      </c>
      <c r="U481" s="2">
        <v>44151</v>
      </c>
    </row>
    <row r="482" spans="1:21" x14ac:dyDescent="0.2">
      <c r="A482" s="3" t="str">
        <f>HYPERLINK("http://www.ofsted.gov.uk/inspection-reports/find-inspection-report/provider/ELS/142950 ","Ofsted School Webpage")</f>
        <v>Ofsted School Webpage</v>
      </c>
      <c r="B482" s="85">
        <v>142950</v>
      </c>
      <c r="C482" s="85">
        <v>3802127</v>
      </c>
      <c r="D482" s="85" t="s">
        <v>1529</v>
      </c>
      <c r="E482" s="85" t="s">
        <v>81</v>
      </c>
      <c r="F482" s="85" t="s">
        <v>400</v>
      </c>
      <c r="G482" s="2">
        <v>42552</v>
      </c>
      <c r="H482" s="85" t="s">
        <v>255</v>
      </c>
      <c r="I482" s="85" t="s">
        <v>256</v>
      </c>
      <c r="J482" s="85" t="s">
        <v>257</v>
      </c>
      <c r="K482" s="85" t="s">
        <v>257</v>
      </c>
      <c r="L482" s="85" t="s">
        <v>258</v>
      </c>
      <c r="M482" s="85" t="s">
        <v>236</v>
      </c>
      <c r="N482" s="85" t="s">
        <v>218</v>
      </c>
      <c r="O482" s="85" t="s">
        <v>227</v>
      </c>
      <c r="P482" s="85" t="s">
        <v>1530</v>
      </c>
      <c r="Q482" s="85" t="s">
        <v>1531</v>
      </c>
      <c r="R482" s="85">
        <v>2</v>
      </c>
      <c r="S482" s="85">
        <v>208</v>
      </c>
      <c r="T482" s="2">
        <v>44124</v>
      </c>
      <c r="U482" s="2">
        <v>44158</v>
      </c>
    </row>
    <row r="483" spans="1:21" x14ac:dyDescent="0.2">
      <c r="A483" s="3" t="str">
        <f>HYPERLINK("http://www.ofsted.gov.uk/inspection-reports/find-inspection-report/provider/ELS/135531 ","Ofsted School Webpage")</f>
        <v>Ofsted School Webpage</v>
      </c>
      <c r="B483" s="85">
        <v>135531</v>
      </c>
      <c r="C483" s="85">
        <v>2076905</v>
      </c>
      <c r="D483" s="85" t="s">
        <v>1532</v>
      </c>
      <c r="E483" s="85" t="s">
        <v>82</v>
      </c>
      <c r="F483" s="85" t="s">
        <v>404</v>
      </c>
      <c r="G483" s="2">
        <v>40057</v>
      </c>
      <c r="H483" s="85" t="s">
        <v>275</v>
      </c>
      <c r="I483" s="85" t="s">
        <v>276</v>
      </c>
      <c r="J483" s="85" t="s">
        <v>342</v>
      </c>
      <c r="K483" s="85" t="s">
        <v>405</v>
      </c>
      <c r="L483" s="85" t="s">
        <v>335</v>
      </c>
      <c r="M483" s="85" t="s">
        <v>107</v>
      </c>
      <c r="N483" s="85" t="s">
        <v>107</v>
      </c>
      <c r="O483" s="85" t="s">
        <v>110</v>
      </c>
      <c r="P483" s="85" t="s">
        <v>827</v>
      </c>
      <c r="Q483" s="85" t="s">
        <v>1533</v>
      </c>
      <c r="R483" s="85">
        <v>4</v>
      </c>
      <c r="S483" s="85">
        <v>1137</v>
      </c>
      <c r="T483" s="2">
        <v>44124</v>
      </c>
      <c r="U483" s="2">
        <v>44160</v>
      </c>
    </row>
    <row r="484" spans="1:21" x14ac:dyDescent="0.2">
      <c r="A484" s="3" t="str">
        <f>HYPERLINK("http://www.ofsted.gov.uk/inspection-reports/find-inspection-report/provider/ELS/137251 ","Ofsted School Webpage")</f>
        <v>Ofsted School Webpage</v>
      </c>
      <c r="B484" s="85">
        <v>137251</v>
      </c>
      <c r="C484" s="85">
        <v>9095407</v>
      </c>
      <c r="D484" s="85" t="s">
        <v>1534</v>
      </c>
      <c r="E484" s="85" t="s">
        <v>82</v>
      </c>
      <c r="F484" s="85" t="s">
        <v>400</v>
      </c>
      <c r="G484" s="2">
        <v>40756</v>
      </c>
      <c r="H484" s="85" t="s">
        <v>275</v>
      </c>
      <c r="I484" s="85" t="s">
        <v>276</v>
      </c>
      <c r="J484" s="85" t="s">
        <v>405</v>
      </c>
      <c r="K484" s="85" t="s">
        <v>257</v>
      </c>
      <c r="L484" s="85" t="s">
        <v>258</v>
      </c>
      <c r="M484" s="85" t="s">
        <v>148</v>
      </c>
      <c r="N484" s="85" t="s">
        <v>148</v>
      </c>
      <c r="O484" s="85" t="s">
        <v>156</v>
      </c>
      <c r="P484" s="85" t="s">
        <v>674</v>
      </c>
      <c r="Q484" s="85" t="s">
        <v>1535</v>
      </c>
      <c r="R484" s="85">
        <v>1</v>
      </c>
      <c r="S484" s="85">
        <v>375</v>
      </c>
      <c r="T484" s="2">
        <v>44124</v>
      </c>
      <c r="U484" s="2">
        <v>44165</v>
      </c>
    </row>
    <row r="485" spans="1:21" x14ac:dyDescent="0.2">
      <c r="A485" s="3" t="str">
        <f>HYPERLINK("http://www.ofsted.gov.uk/inspection-reports/find-inspection-report/provider/ELS/141734 ","Ofsted School Webpage")</f>
        <v>Ofsted School Webpage</v>
      </c>
      <c r="B485" s="85">
        <v>141734</v>
      </c>
      <c r="C485" s="85">
        <v>3202005</v>
      </c>
      <c r="D485" s="85" t="s">
        <v>1536</v>
      </c>
      <c r="E485" s="85" t="s">
        <v>81</v>
      </c>
      <c r="F485" s="85" t="s">
        <v>400</v>
      </c>
      <c r="G485" s="2">
        <v>42036</v>
      </c>
      <c r="H485" s="85" t="s">
        <v>255</v>
      </c>
      <c r="I485" s="85" t="s">
        <v>256</v>
      </c>
      <c r="J485" s="85" t="s">
        <v>257</v>
      </c>
      <c r="K485" s="85" t="s">
        <v>257</v>
      </c>
      <c r="L485" s="85" t="s">
        <v>258</v>
      </c>
      <c r="M485" s="85" t="s">
        <v>107</v>
      </c>
      <c r="N485" s="85" t="s">
        <v>107</v>
      </c>
      <c r="O485" s="85" t="s">
        <v>128</v>
      </c>
      <c r="P485" s="85" t="s">
        <v>1537</v>
      </c>
      <c r="Q485" s="85" t="s">
        <v>1538</v>
      </c>
      <c r="R485" s="85">
        <v>4</v>
      </c>
      <c r="S485" s="85">
        <v>713</v>
      </c>
      <c r="T485" s="2">
        <v>44124</v>
      </c>
      <c r="U485" s="2">
        <v>44158</v>
      </c>
    </row>
    <row r="486" spans="1:21" x14ac:dyDescent="0.2">
      <c r="A486" s="3" t="str">
        <f>HYPERLINK("http://www.ofsted.gov.uk/inspection-reports/find-inspection-report/provider/ELS/136571 ","Ofsted School Webpage")</f>
        <v>Ofsted School Webpage</v>
      </c>
      <c r="B486" s="85">
        <v>136571</v>
      </c>
      <c r="C486" s="85">
        <v>8864172</v>
      </c>
      <c r="D486" s="85" t="s">
        <v>1539</v>
      </c>
      <c r="E486" s="85" t="s">
        <v>82</v>
      </c>
      <c r="F486" s="85" t="s">
        <v>400</v>
      </c>
      <c r="G486" s="2">
        <v>40634</v>
      </c>
      <c r="H486" s="85" t="s">
        <v>275</v>
      </c>
      <c r="I486" s="85" t="s">
        <v>276</v>
      </c>
      <c r="J486" s="85" t="s">
        <v>257</v>
      </c>
      <c r="K486" s="85" t="s">
        <v>257</v>
      </c>
      <c r="L486" s="85" t="s">
        <v>258</v>
      </c>
      <c r="M486" s="85" t="s">
        <v>169</v>
      </c>
      <c r="N486" s="85" t="s">
        <v>169</v>
      </c>
      <c r="O486" s="85" t="s">
        <v>171</v>
      </c>
      <c r="P486" s="85" t="s">
        <v>1218</v>
      </c>
      <c r="Q486" s="85" t="s">
        <v>1540</v>
      </c>
      <c r="R486" s="85">
        <v>5</v>
      </c>
      <c r="S486" s="85">
        <v>658</v>
      </c>
      <c r="T486" s="2">
        <v>44124</v>
      </c>
      <c r="U486" s="2">
        <v>44152</v>
      </c>
    </row>
    <row r="487" spans="1:21" x14ac:dyDescent="0.2">
      <c r="A487" s="3" t="str">
        <f>HYPERLINK("http://www.ofsted.gov.uk/inspection-reports/find-inspection-report/provider/ELS/135886 ","Ofsted School Webpage")</f>
        <v>Ofsted School Webpage</v>
      </c>
      <c r="B487" s="85">
        <v>135886</v>
      </c>
      <c r="C487" s="85">
        <v>9296906</v>
      </c>
      <c r="D487" s="85" t="s">
        <v>1541</v>
      </c>
      <c r="E487" s="85" t="s">
        <v>82</v>
      </c>
      <c r="F487" s="85" t="s">
        <v>404</v>
      </c>
      <c r="G487" s="2">
        <v>40057</v>
      </c>
      <c r="H487" s="85" t="s">
        <v>275</v>
      </c>
      <c r="I487" s="85" t="s">
        <v>276</v>
      </c>
      <c r="J487" s="85" t="s">
        <v>342</v>
      </c>
      <c r="K487" s="85" t="s">
        <v>405</v>
      </c>
      <c r="L487" s="85" t="s">
        <v>335</v>
      </c>
      <c r="M487" s="85" t="s">
        <v>236</v>
      </c>
      <c r="N487" s="85" t="s">
        <v>135</v>
      </c>
      <c r="O487" s="85" t="s">
        <v>138</v>
      </c>
      <c r="P487" s="85" t="s">
        <v>1508</v>
      </c>
      <c r="Q487" s="85" t="s">
        <v>1542</v>
      </c>
      <c r="R487" s="85">
        <v>5</v>
      </c>
      <c r="S487" s="85">
        <v>949</v>
      </c>
      <c r="T487" s="2">
        <v>44124</v>
      </c>
      <c r="U487" s="2">
        <v>44160</v>
      </c>
    </row>
    <row r="488" spans="1:21" x14ac:dyDescent="0.2">
      <c r="A488" s="3" t="str">
        <f>HYPERLINK("http://www.ofsted.gov.uk/inspection-reports/find-inspection-report/provider/ELS/141801 ","Ofsted School Webpage")</f>
        <v>Ofsted School Webpage</v>
      </c>
      <c r="B488" s="85">
        <v>141801</v>
      </c>
      <c r="C488" s="85">
        <v>9332177</v>
      </c>
      <c r="D488" s="85" t="s">
        <v>1543</v>
      </c>
      <c r="E488" s="85" t="s">
        <v>81</v>
      </c>
      <c r="F488" s="85" t="s">
        <v>400</v>
      </c>
      <c r="G488" s="2">
        <v>42064</v>
      </c>
      <c r="H488" s="85" t="s">
        <v>255</v>
      </c>
      <c r="I488" s="85" t="s">
        <v>256</v>
      </c>
      <c r="J488" s="85" t="s">
        <v>257</v>
      </c>
      <c r="K488" s="85" t="s">
        <v>257</v>
      </c>
      <c r="L488" s="85" t="s">
        <v>258</v>
      </c>
      <c r="M488" s="85" t="s">
        <v>188</v>
      </c>
      <c r="N488" s="85" t="s">
        <v>188</v>
      </c>
      <c r="O488" s="85" t="s">
        <v>195</v>
      </c>
      <c r="P488" s="85" t="s">
        <v>409</v>
      </c>
      <c r="Q488" s="85" t="s">
        <v>1544</v>
      </c>
      <c r="R488" s="85">
        <v>2</v>
      </c>
      <c r="S488" s="85">
        <v>65</v>
      </c>
      <c r="T488" s="2">
        <v>44124</v>
      </c>
      <c r="U488" s="2">
        <v>44157</v>
      </c>
    </row>
    <row r="489" spans="1:21" x14ac:dyDescent="0.2">
      <c r="A489" s="3" t="str">
        <f>HYPERLINK("http://www.ofsted.gov.uk/inspection-reports/find-inspection-report/provider/ELS/141353 ","Ofsted School Webpage")</f>
        <v>Ofsted School Webpage</v>
      </c>
      <c r="B489" s="85">
        <v>141353</v>
      </c>
      <c r="C489" s="85">
        <v>8782044</v>
      </c>
      <c r="D489" s="85" t="s">
        <v>1545</v>
      </c>
      <c r="E489" s="85" t="s">
        <v>81</v>
      </c>
      <c r="F489" s="85" t="s">
        <v>404</v>
      </c>
      <c r="G489" s="2">
        <v>41974</v>
      </c>
      <c r="H489" s="85" t="s">
        <v>255</v>
      </c>
      <c r="I489" s="85" t="s">
        <v>256</v>
      </c>
      <c r="J489" s="85" t="s">
        <v>257</v>
      </c>
      <c r="K489" s="85" t="s">
        <v>405</v>
      </c>
      <c r="L489" s="85" t="s">
        <v>258</v>
      </c>
      <c r="M489" s="85" t="s">
        <v>188</v>
      </c>
      <c r="N489" s="85" t="s">
        <v>188</v>
      </c>
      <c r="O489" s="85" t="s">
        <v>197</v>
      </c>
      <c r="P489" s="85" t="s">
        <v>978</v>
      </c>
      <c r="Q489" s="85" t="s">
        <v>1546</v>
      </c>
      <c r="R489" s="85">
        <v>2</v>
      </c>
      <c r="S489" s="85">
        <v>317</v>
      </c>
      <c r="T489" s="2">
        <v>44124</v>
      </c>
      <c r="U489" s="2">
        <v>44152</v>
      </c>
    </row>
    <row r="490" spans="1:21" x14ac:dyDescent="0.2">
      <c r="A490" s="3" t="str">
        <f>HYPERLINK("http://www.ofsted.gov.uk/inspection-reports/find-inspection-report/provider/ELS/138793 ","Ofsted School Webpage")</f>
        <v>Ofsted School Webpage</v>
      </c>
      <c r="B490" s="85">
        <v>138793</v>
      </c>
      <c r="C490" s="85">
        <v>9262027</v>
      </c>
      <c r="D490" s="85" t="s">
        <v>1547</v>
      </c>
      <c r="E490" s="85" t="s">
        <v>81</v>
      </c>
      <c r="F490" s="85" t="s">
        <v>404</v>
      </c>
      <c r="G490" s="2">
        <v>41153</v>
      </c>
      <c r="H490" s="85" t="s">
        <v>255</v>
      </c>
      <c r="I490" s="85" t="s">
        <v>255</v>
      </c>
      <c r="J490" s="85" t="s">
        <v>257</v>
      </c>
      <c r="K490" s="85" t="s">
        <v>405</v>
      </c>
      <c r="L490" s="85" t="s">
        <v>258</v>
      </c>
      <c r="M490" s="85" t="s">
        <v>95</v>
      </c>
      <c r="N490" s="85" t="s">
        <v>95</v>
      </c>
      <c r="O490" s="85" t="s">
        <v>103</v>
      </c>
      <c r="P490" s="85" t="s">
        <v>1410</v>
      </c>
      <c r="Q490" s="85" t="s">
        <v>1548</v>
      </c>
      <c r="R490" s="85">
        <v>5</v>
      </c>
      <c r="S490" s="85">
        <v>400</v>
      </c>
      <c r="T490" s="2">
        <v>44124</v>
      </c>
      <c r="U490" s="2">
        <v>44158</v>
      </c>
    </row>
    <row r="491" spans="1:21" x14ac:dyDescent="0.2">
      <c r="A491" s="3" t="str">
        <f>HYPERLINK("http://www.ofsted.gov.uk/inspection-reports/find-inspection-report/provider/ELS/139803 ","Ofsted School Webpage")</f>
        <v>Ofsted School Webpage</v>
      </c>
      <c r="B491" s="85">
        <v>139803</v>
      </c>
      <c r="C491" s="85">
        <v>9352001</v>
      </c>
      <c r="D491" s="85" t="s">
        <v>1549</v>
      </c>
      <c r="E491" s="85" t="s">
        <v>81</v>
      </c>
      <c r="F491" s="85" t="s">
        <v>404</v>
      </c>
      <c r="G491" s="2">
        <v>41487</v>
      </c>
      <c r="H491" s="85" t="s">
        <v>255</v>
      </c>
      <c r="I491" s="85" t="s">
        <v>256</v>
      </c>
      <c r="J491" s="85" t="s">
        <v>257</v>
      </c>
      <c r="K491" s="85" t="s">
        <v>405</v>
      </c>
      <c r="L491" s="85" t="s">
        <v>258</v>
      </c>
      <c r="M491" s="85" t="s">
        <v>95</v>
      </c>
      <c r="N491" s="85" t="s">
        <v>95</v>
      </c>
      <c r="O491" s="85" t="s">
        <v>99</v>
      </c>
      <c r="P491" s="85" t="s">
        <v>320</v>
      </c>
      <c r="Q491" s="85" t="s">
        <v>1550</v>
      </c>
      <c r="R491" s="85">
        <v>4</v>
      </c>
      <c r="S491" s="85">
        <v>608</v>
      </c>
      <c r="T491" s="2">
        <v>44124</v>
      </c>
      <c r="U491" s="2">
        <v>44159</v>
      </c>
    </row>
    <row r="492" spans="1:21" x14ac:dyDescent="0.2">
      <c r="A492" s="3" t="str">
        <f>HYPERLINK("http://www.ofsted.gov.uk/inspection-reports/find-inspection-report/provider/ELS/136278 ","Ofsted School Webpage")</f>
        <v>Ofsted School Webpage</v>
      </c>
      <c r="B492" s="85">
        <v>136278</v>
      </c>
      <c r="C492" s="85">
        <v>8955401</v>
      </c>
      <c r="D492" s="85" t="s">
        <v>1551</v>
      </c>
      <c r="E492" s="85" t="s">
        <v>82</v>
      </c>
      <c r="F492" s="85" t="s">
        <v>400</v>
      </c>
      <c r="G492" s="2">
        <v>40422</v>
      </c>
      <c r="H492" s="85" t="s">
        <v>275</v>
      </c>
      <c r="I492" s="85" t="s">
        <v>276</v>
      </c>
      <c r="J492" s="85" t="s">
        <v>405</v>
      </c>
      <c r="K492" s="85" t="s">
        <v>257</v>
      </c>
      <c r="L492" s="85" t="s">
        <v>258</v>
      </c>
      <c r="M492" s="85" t="s">
        <v>148</v>
      </c>
      <c r="N492" s="85" t="s">
        <v>148</v>
      </c>
      <c r="O492" s="85" t="s">
        <v>160</v>
      </c>
      <c r="P492" s="85" t="s">
        <v>1439</v>
      </c>
      <c r="Q492" s="85" t="s">
        <v>1552</v>
      </c>
      <c r="R492" s="85">
        <v>1</v>
      </c>
      <c r="S492" s="85">
        <v>1529</v>
      </c>
      <c r="T492" s="2">
        <v>44125</v>
      </c>
      <c r="U492" s="2">
        <v>44167</v>
      </c>
    </row>
    <row r="493" spans="1:21" x14ac:dyDescent="0.2">
      <c r="A493" s="3" t="str">
        <f>HYPERLINK("http://www.ofsted.gov.uk/inspection-reports/find-inspection-report/provider/ELS/120572 ","Ofsted School Webpage")</f>
        <v>Ofsted School Webpage</v>
      </c>
      <c r="B493" s="85">
        <v>120572</v>
      </c>
      <c r="C493" s="85">
        <v>9253124</v>
      </c>
      <c r="D493" s="85" t="s">
        <v>1553</v>
      </c>
      <c r="E493" s="85" t="s">
        <v>81</v>
      </c>
      <c r="F493" s="85" t="s">
        <v>360</v>
      </c>
      <c r="G493" s="85" t="s">
        <v>262</v>
      </c>
      <c r="H493" s="85" t="s">
        <v>255</v>
      </c>
      <c r="I493" s="85" t="s">
        <v>256</v>
      </c>
      <c r="J493" s="85" t="s">
        <v>342</v>
      </c>
      <c r="K493" s="85" t="s">
        <v>257</v>
      </c>
      <c r="L493" s="85" t="s">
        <v>335</v>
      </c>
      <c r="M493" s="85" t="s">
        <v>85</v>
      </c>
      <c r="N493" s="85" t="s">
        <v>85</v>
      </c>
      <c r="O493" s="85" t="s">
        <v>89</v>
      </c>
      <c r="P493" s="85" t="s">
        <v>1011</v>
      </c>
      <c r="Q493" s="85" t="s">
        <v>1554</v>
      </c>
      <c r="R493" s="85">
        <v>3</v>
      </c>
      <c r="S493" s="85">
        <v>59</v>
      </c>
      <c r="T493" s="2">
        <v>44125</v>
      </c>
      <c r="U493" s="2">
        <v>44160</v>
      </c>
    </row>
    <row r="494" spans="1:21" x14ac:dyDescent="0.2">
      <c r="A494" s="3" t="str">
        <f>HYPERLINK("http://www.ofsted.gov.uk/inspection-reports/find-inspection-report/provider/ELS/111424 ","Ofsted School Webpage")</f>
        <v>Ofsted School Webpage</v>
      </c>
      <c r="B494" s="85">
        <v>111424</v>
      </c>
      <c r="C494" s="85">
        <v>8964158</v>
      </c>
      <c r="D494" s="85" t="s">
        <v>1555</v>
      </c>
      <c r="E494" s="85" t="s">
        <v>82</v>
      </c>
      <c r="F494" s="85" t="s">
        <v>382</v>
      </c>
      <c r="G494" s="85" t="s">
        <v>262</v>
      </c>
      <c r="H494" s="85" t="s">
        <v>275</v>
      </c>
      <c r="I494" s="85" t="s">
        <v>276</v>
      </c>
      <c r="J494" s="85" t="s">
        <v>405</v>
      </c>
      <c r="K494" s="85" t="s">
        <v>257</v>
      </c>
      <c r="L494" s="85" t="s">
        <v>258</v>
      </c>
      <c r="M494" s="85" t="s">
        <v>148</v>
      </c>
      <c r="N494" s="85" t="s">
        <v>148</v>
      </c>
      <c r="O494" s="85" t="s">
        <v>155</v>
      </c>
      <c r="P494" s="85" t="s">
        <v>1182</v>
      </c>
      <c r="Q494" s="85" t="s">
        <v>1556</v>
      </c>
      <c r="R494" s="85">
        <v>1</v>
      </c>
      <c r="S494" s="85">
        <v>1306</v>
      </c>
      <c r="T494" s="2">
        <v>44125</v>
      </c>
      <c r="U494" s="2">
        <v>44159</v>
      </c>
    </row>
    <row r="495" spans="1:21" x14ac:dyDescent="0.2">
      <c r="A495" s="3" t="str">
        <f>HYPERLINK("http://www.ofsted.gov.uk/inspection-reports/find-inspection-report/provider/ELS/100724 ","Ofsted School Webpage")</f>
        <v>Ofsted School Webpage</v>
      </c>
      <c r="B495" s="85">
        <v>100724</v>
      </c>
      <c r="C495" s="85">
        <v>2093374</v>
      </c>
      <c r="D495" s="85" t="s">
        <v>1557</v>
      </c>
      <c r="E495" s="85" t="s">
        <v>81</v>
      </c>
      <c r="F495" s="85" t="s">
        <v>333</v>
      </c>
      <c r="G495" s="85" t="s">
        <v>262</v>
      </c>
      <c r="H495" s="85" t="s">
        <v>255</v>
      </c>
      <c r="I495" s="85" t="s">
        <v>256</v>
      </c>
      <c r="J495" s="85" t="s">
        <v>342</v>
      </c>
      <c r="K495" s="85" t="s">
        <v>257</v>
      </c>
      <c r="L495" s="85" t="s">
        <v>335</v>
      </c>
      <c r="M495" s="85" t="s">
        <v>107</v>
      </c>
      <c r="N495" s="85" t="s">
        <v>107</v>
      </c>
      <c r="O495" s="85" t="s">
        <v>120</v>
      </c>
      <c r="P495" s="85" t="s">
        <v>1558</v>
      </c>
      <c r="Q495" s="85" t="s">
        <v>1559</v>
      </c>
      <c r="R495" s="85">
        <v>4</v>
      </c>
      <c r="S495" s="85">
        <v>232</v>
      </c>
      <c r="T495" s="2">
        <v>44125</v>
      </c>
      <c r="U495" s="2">
        <v>44150</v>
      </c>
    </row>
    <row r="496" spans="1:21" x14ac:dyDescent="0.2">
      <c r="A496" s="3" t="str">
        <f>HYPERLINK("http://www.ofsted.gov.uk/inspection-reports/find-inspection-report/provider/ELS/112322 ","Ofsted School Webpage")</f>
        <v>Ofsted School Webpage</v>
      </c>
      <c r="B496" s="85">
        <v>112322</v>
      </c>
      <c r="C496" s="85">
        <v>9093365</v>
      </c>
      <c r="D496" s="85" t="s">
        <v>1560</v>
      </c>
      <c r="E496" s="85" t="s">
        <v>81</v>
      </c>
      <c r="F496" s="85" t="s">
        <v>333</v>
      </c>
      <c r="G496" s="85" t="s">
        <v>262</v>
      </c>
      <c r="H496" s="85" t="s">
        <v>255</v>
      </c>
      <c r="I496" s="85" t="s">
        <v>256</v>
      </c>
      <c r="J496" s="85" t="s">
        <v>342</v>
      </c>
      <c r="K496" s="85" t="s">
        <v>257</v>
      </c>
      <c r="L496" s="85" t="s">
        <v>335</v>
      </c>
      <c r="M496" s="85" t="s">
        <v>148</v>
      </c>
      <c r="N496" s="85" t="s">
        <v>148</v>
      </c>
      <c r="O496" s="85" t="s">
        <v>156</v>
      </c>
      <c r="P496" s="85" t="s">
        <v>1561</v>
      </c>
      <c r="Q496" s="85" t="s">
        <v>1562</v>
      </c>
      <c r="R496" s="85">
        <v>3</v>
      </c>
      <c r="S496" s="85">
        <v>193</v>
      </c>
      <c r="T496" s="2">
        <v>44125</v>
      </c>
      <c r="U496" s="2">
        <v>44158</v>
      </c>
    </row>
    <row r="497" spans="1:21" x14ac:dyDescent="0.2">
      <c r="A497" s="3" t="str">
        <f>HYPERLINK("http://www.ofsted.gov.uk/inspection-reports/find-inspection-report/provider/ELS/100437 ","Ofsted School Webpage")</f>
        <v>Ofsted School Webpage</v>
      </c>
      <c r="B497" s="85">
        <v>100437</v>
      </c>
      <c r="C497" s="85">
        <v>2063384</v>
      </c>
      <c r="D497" s="85" t="s">
        <v>1563</v>
      </c>
      <c r="E497" s="85" t="s">
        <v>81</v>
      </c>
      <c r="F497" s="85" t="s">
        <v>333</v>
      </c>
      <c r="G497" s="85" t="s">
        <v>262</v>
      </c>
      <c r="H497" s="85" t="s">
        <v>255</v>
      </c>
      <c r="I497" s="85" t="s">
        <v>256</v>
      </c>
      <c r="J497" s="85" t="s">
        <v>334</v>
      </c>
      <c r="K497" s="85" t="s">
        <v>257</v>
      </c>
      <c r="L497" s="85" t="s">
        <v>335</v>
      </c>
      <c r="M497" s="85" t="s">
        <v>107</v>
      </c>
      <c r="N497" s="85" t="s">
        <v>107</v>
      </c>
      <c r="O497" s="85" t="s">
        <v>118</v>
      </c>
      <c r="P497" s="85" t="s">
        <v>577</v>
      </c>
      <c r="Q497" s="85" t="s">
        <v>1564</v>
      </c>
      <c r="R497" s="85">
        <v>5</v>
      </c>
      <c r="S497" s="85">
        <v>472</v>
      </c>
      <c r="T497" s="2">
        <v>44125</v>
      </c>
      <c r="U497" s="2">
        <v>44159</v>
      </c>
    </row>
    <row r="498" spans="1:21" x14ac:dyDescent="0.2">
      <c r="A498" s="3" t="str">
        <f>HYPERLINK("http://www.ofsted.gov.uk/inspection-reports/find-inspection-report/provider/ELS/111351 ","Ofsted School Webpage")</f>
        <v>Ofsted School Webpage</v>
      </c>
      <c r="B498" s="85">
        <v>111351</v>
      </c>
      <c r="C498" s="85">
        <v>8963552</v>
      </c>
      <c r="D498" s="85" t="s">
        <v>1565</v>
      </c>
      <c r="E498" s="85" t="s">
        <v>81</v>
      </c>
      <c r="F498" s="85" t="s">
        <v>333</v>
      </c>
      <c r="G498" s="85" t="s">
        <v>262</v>
      </c>
      <c r="H498" s="85" t="s">
        <v>255</v>
      </c>
      <c r="I498" s="85" t="s">
        <v>256</v>
      </c>
      <c r="J498" s="85" t="s">
        <v>342</v>
      </c>
      <c r="K498" s="85" t="s">
        <v>257</v>
      </c>
      <c r="L498" s="85" t="s">
        <v>335</v>
      </c>
      <c r="M498" s="85" t="s">
        <v>148</v>
      </c>
      <c r="N498" s="85" t="s">
        <v>148</v>
      </c>
      <c r="O498" s="85" t="s">
        <v>155</v>
      </c>
      <c r="P498" s="85" t="s">
        <v>339</v>
      </c>
      <c r="Q498" s="85" t="s">
        <v>1566</v>
      </c>
      <c r="R498" s="85">
        <v>4</v>
      </c>
      <c r="S498" s="85">
        <v>178</v>
      </c>
      <c r="T498" s="2">
        <v>44125</v>
      </c>
      <c r="U498" s="2">
        <v>44165</v>
      </c>
    </row>
    <row r="499" spans="1:21" x14ac:dyDescent="0.2">
      <c r="A499" s="3" t="str">
        <f>HYPERLINK("http://www.ofsted.gov.uk/inspection-reports/find-inspection-report/provider/ELS/112316 ","Ofsted School Webpage")</f>
        <v>Ofsted School Webpage</v>
      </c>
      <c r="B499" s="85">
        <v>112316</v>
      </c>
      <c r="C499" s="85">
        <v>9093357</v>
      </c>
      <c r="D499" s="85" t="s">
        <v>1567</v>
      </c>
      <c r="E499" s="85" t="s">
        <v>81</v>
      </c>
      <c r="F499" s="85" t="s">
        <v>333</v>
      </c>
      <c r="G499" s="85" t="s">
        <v>262</v>
      </c>
      <c r="H499" s="85" t="s">
        <v>255</v>
      </c>
      <c r="I499" s="85" t="s">
        <v>256</v>
      </c>
      <c r="J499" s="85" t="s">
        <v>342</v>
      </c>
      <c r="K499" s="85" t="s">
        <v>257</v>
      </c>
      <c r="L499" s="85" t="s">
        <v>335</v>
      </c>
      <c r="M499" s="85" t="s">
        <v>148</v>
      </c>
      <c r="N499" s="85" t="s">
        <v>148</v>
      </c>
      <c r="O499" s="85" t="s">
        <v>156</v>
      </c>
      <c r="P499" s="85" t="s">
        <v>1561</v>
      </c>
      <c r="Q499" s="85" t="s">
        <v>1568</v>
      </c>
      <c r="R499" s="85">
        <v>1</v>
      </c>
      <c r="S499" s="85">
        <v>76</v>
      </c>
      <c r="T499" s="2">
        <v>44125</v>
      </c>
      <c r="U499" s="2">
        <v>44165</v>
      </c>
    </row>
    <row r="500" spans="1:21" x14ac:dyDescent="0.2">
      <c r="A500" s="3" t="str">
        <f>HYPERLINK("http://www.ofsted.gov.uk/inspection-reports/find-inspection-report/provider/ELS/104074 ","Ofsted School Webpage")</f>
        <v>Ofsted School Webpage</v>
      </c>
      <c r="B500" s="85">
        <v>104074</v>
      </c>
      <c r="C500" s="85">
        <v>3342082</v>
      </c>
      <c r="D500" s="85" t="s">
        <v>1569</v>
      </c>
      <c r="E500" s="85" t="s">
        <v>81</v>
      </c>
      <c r="F500" s="85" t="s">
        <v>254</v>
      </c>
      <c r="G500" s="85" t="s">
        <v>262</v>
      </c>
      <c r="H500" s="85" t="s">
        <v>255</v>
      </c>
      <c r="I500" s="85" t="s">
        <v>256</v>
      </c>
      <c r="J500" s="85" t="s">
        <v>257</v>
      </c>
      <c r="K500" s="85" t="s">
        <v>257</v>
      </c>
      <c r="L500" s="85" t="s">
        <v>258</v>
      </c>
      <c r="M500" s="85" t="s">
        <v>203</v>
      </c>
      <c r="N500" s="85" t="s">
        <v>203</v>
      </c>
      <c r="O500" s="85" t="s">
        <v>213</v>
      </c>
      <c r="P500" s="85" t="s">
        <v>1295</v>
      </c>
      <c r="Q500" s="85" t="s">
        <v>1570</v>
      </c>
      <c r="R500" s="85">
        <v>1</v>
      </c>
      <c r="S500" s="85">
        <v>255</v>
      </c>
      <c r="T500" s="2">
        <v>44125</v>
      </c>
      <c r="U500" s="2">
        <v>44154</v>
      </c>
    </row>
    <row r="501" spans="1:21" x14ac:dyDescent="0.2">
      <c r="A501" s="3" t="str">
        <f>HYPERLINK("http://www.ofsted.gov.uk/inspection-reports/find-inspection-report/provider/ELS/121942 ","Ofsted School Webpage")</f>
        <v>Ofsted School Webpage</v>
      </c>
      <c r="B501" s="85">
        <v>121942</v>
      </c>
      <c r="C501" s="85">
        <v>9282206</v>
      </c>
      <c r="D501" s="85" t="s">
        <v>1571</v>
      </c>
      <c r="E501" s="85" t="s">
        <v>81</v>
      </c>
      <c r="F501" s="85" t="s">
        <v>254</v>
      </c>
      <c r="G501" s="85" t="s">
        <v>262</v>
      </c>
      <c r="H501" s="85" t="s">
        <v>255</v>
      </c>
      <c r="I501" s="85" t="s">
        <v>256</v>
      </c>
      <c r="J501" s="85" t="s">
        <v>257</v>
      </c>
      <c r="K501" s="85" t="s">
        <v>257</v>
      </c>
      <c r="L501" s="85" t="s">
        <v>258</v>
      </c>
      <c r="M501" s="85" t="s">
        <v>85</v>
      </c>
      <c r="N501" s="85" t="s">
        <v>85</v>
      </c>
      <c r="O501" s="85" t="s">
        <v>92</v>
      </c>
      <c r="P501" s="85" t="s">
        <v>1355</v>
      </c>
      <c r="Q501" s="85" t="s">
        <v>1572</v>
      </c>
      <c r="R501" s="85">
        <v>3</v>
      </c>
      <c r="S501" s="85">
        <v>453</v>
      </c>
      <c r="T501" s="2">
        <v>44125</v>
      </c>
      <c r="U501" s="2">
        <v>44151</v>
      </c>
    </row>
    <row r="502" spans="1:21" x14ac:dyDescent="0.2">
      <c r="A502" s="3" t="str">
        <f>HYPERLINK("http://www.ofsted.gov.uk/inspection-reports/find-inspection-report/provider/ELS/103044 ","Ofsted School Webpage")</f>
        <v>Ofsted School Webpage</v>
      </c>
      <c r="B502" s="85">
        <v>103044</v>
      </c>
      <c r="C502" s="85">
        <v>3202017</v>
      </c>
      <c r="D502" s="85" t="s">
        <v>1573</v>
      </c>
      <c r="E502" s="85" t="s">
        <v>81</v>
      </c>
      <c r="F502" s="85" t="s">
        <v>254</v>
      </c>
      <c r="G502" s="85" t="s">
        <v>262</v>
      </c>
      <c r="H502" s="85" t="s">
        <v>255</v>
      </c>
      <c r="I502" s="85" t="s">
        <v>256</v>
      </c>
      <c r="J502" s="85" t="s">
        <v>257</v>
      </c>
      <c r="K502" s="85" t="s">
        <v>257</v>
      </c>
      <c r="L502" s="85" t="s">
        <v>258</v>
      </c>
      <c r="M502" s="85" t="s">
        <v>107</v>
      </c>
      <c r="N502" s="85" t="s">
        <v>107</v>
      </c>
      <c r="O502" s="85" t="s">
        <v>128</v>
      </c>
      <c r="P502" s="85" t="s">
        <v>1574</v>
      </c>
      <c r="Q502" s="85" t="s">
        <v>1575</v>
      </c>
      <c r="R502" s="85">
        <v>4</v>
      </c>
      <c r="S502" s="85">
        <v>578</v>
      </c>
      <c r="T502" s="2">
        <v>44125</v>
      </c>
      <c r="U502" s="2">
        <v>44167</v>
      </c>
    </row>
    <row r="503" spans="1:21" x14ac:dyDescent="0.2">
      <c r="A503" s="3" t="str">
        <f>HYPERLINK("http://www.ofsted.gov.uk/inspection-reports/find-inspection-report/provider/ELS/100013 ","Ofsted School Webpage")</f>
        <v>Ofsted School Webpage</v>
      </c>
      <c r="B503" s="85">
        <v>100013</v>
      </c>
      <c r="C503" s="85">
        <v>2022184</v>
      </c>
      <c r="D503" s="85" t="s">
        <v>1576</v>
      </c>
      <c r="E503" s="85" t="s">
        <v>81</v>
      </c>
      <c r="F503" s="85" t="s">
        <v>254</v>
      </c>
      <c r="G503" s="85" t="s">
        <v>262</v>
      </c>
      <c r="H503" s="85" t="s">
        <v>255</v>
      </c>
      <c r="I503" s="85" t="s">
        <v>256</v>
      </c>
      <c r="J503" s="85" t="s">
        <v>257</v>
      </c>
      <c r="K503" s="85" t="s">
        <v>257</v>
      </c>
      <c r="L503" s="85" t="s">
        <v>258</v>
      </c>
      <c r="M503" s="85" t="s">
        <v>107</v>
      </c>
      <c r="N503" s="85" t="s">
        <v>107</v>
      </c>
      <c r="O503" s="85" t="s">
        <v>112</v>
      </c>
      <c r="P503" s="85" t="s">
        <v>1343</v>
      </c>
      <c r="Q503" s="85" t="s">
        <v>1577</v>
      </c>
      <c r="R503" s="85">
        <v>5</v>
      </c>
      <c r="S503" s="85">
        <v>197</v>
      </c>
      <c r="T503" s="2">
        <v>44125</v>
      </c>
      <c r="U503" s="2">
        <v>44166</v>
      </c>
    </row>
    <row r="504" spans="1:21" x14ac:dyDescent="0.2">
      <c r="A504" s="3" t="str">
        <f>HYPERLINK("http://www.ofsted.gov.uk/inspection-reports/find-inspection-report/provider/ELS/109896 ","Ofsted School Webpage")</f>
        <v>Ofsted School Webpage</v>
      </c>
      <c r="B504" s="85">
        <v>109896</v>
      </c>
      <c r="C504" s="85">
        <v>8692174</v>
      </c>
      <c r="D504" s="85" t="s">
        <v>1578</v>
      </c>
      <c r="E504" s="85" t="s">
        <v>81</v>
      </c>
      <c r="F504" s="85" t="s">
        <v>254</v>
      </c>
      <c r="G504" s="85" t="s">
        <v>262</v>
      </c>
      <c r="H504" s="85" t="s">
        <v>255</v>
      </c>
      <c r="I504" s="85" t="s">
        <v>256</v>
      </c>
      <c r="J504" s="85" t="s">
        <v>257</v>
      </c>
      <c r="K504" s="85" t="s">
        <v>257</v>
      </c>
      <c r="L504" s="85" t="s">
        <v>258</v>
      </c>
      <c r="M504" s="85" t="s">
        <v>169</v>
      </c>
      <c r="N504" s="85" t="s">
        <v>169</v>
      </c>
      <c r="O504" s="85" t="s">
        <v>176</v>
      </c>
      <c r="P504" s="85" t="s">
        <v>631</v>
      </c>
      <c r="Q504" s="85" t="s">
        <v>1579</v>
      </c>
      <c r="R504" s="85">
        <v>1</v>
      </c>
      <c r="S504" s="85">
        <v>214</v>
      </c>
      <c r="T504" s="2">
        <v>44126</v>
      </c>
      <c r="U504" s="2">
        <v>44161</v>
      </c>
    </row>
    <row r="505" spans="1:21" x14ac:dyDescent="0.2">
      <c r="A505" s="3" t="str">
        <f>HYPERLINK("http://www.ofsted.gov.uk/inspection-reports/find-inspection-report/provider/ELS/103208 ","Ofsted School Webpage")</f>
        <v>Ofsted School Webpage</v>
      </c>
      <c r="B505" s="85">
        <v>103208</v>
      </c>
      <c r="C505" s="85">
        <v>3302091</v>
      </c>
      <c r="D505" s="85" t="s">
        <v>1580</v>
      </c>
      <c r="E505" s="85" t="s">
        <v>81</v>
      </c>
      <c r="F505" s="85" t="s">
        <v>254</v>
      </c>
      <c r="G505" s="85" t="s">
        <v>262</v>
      </c>
      <c r="H505" s="85" t="s">
        <v>255</v>
      </c>
      <c r="I505" s="85" t="s">
        <v>255</v>
      </c>
      <c r="J505" s="85" t="s">
        <v>257</v>
      </c>
      <c r="K505" s="85" t="s">
        <v>257</v>
      </c>
      <c r="L505" s="85" t="s">
        <v>258</v>
      </c>
      <c r="M505" s="85" t="s">
        <v>203</v>
      </c>
      <c r="N505" s="85" t="s">
        <v>203</v>
      </c>
      <c r="O505" s="85" t="s">
        <v>209</v>
      </c>
      <c r="P505" s="85" t="s">
        <v>303</v>
      </c>
      <c r="Q505" s="85" t="s">
        <v>1581</v>
      </c>
      <c r="R505" s="85">
        <v>5</v>
      </c>
      <c r="S505" s="85">
        <v>198</v>
      </c>
      <c r="T505" s="2">
        <v>44126</v>
      </c>
      <c r="U505" s="2">
        <v>44154</v>
      </c>
    </row>
    <row r="506" spans="1:21" x14ac:dyDescent="0.2">
      <c r="A506" s="3" t="str">
        <f>HYPERLINK("http://www.ofsted.gov.uk/inspection-reports/find-inspection-report/provider/ELS/107240 ","Ofsted School Webpage")</f>
        <v>Ofsted School Webpage</v>
      </c>
      <c r="B506" s="85">
        <v>107240</v>
      </c>
      <c r="C506" s="85">
        <v>3802087</v>
      </c>
      <c r="D506" s="85" t="s">
        <v>1582</v>
      </c>
      <c r="E506" s="85" t="s">
        <v>81</v>
      </c>
      <c r="F506" s="85" t="s">
        <v>254</v>
      </c>
      <c r="G506" s="85" t="s">
        <v>262</v>
      </c>
      <c r="H506" s="85" t="s">
        <v>255</v>
      </c>
      <c r="I506" s="85" t="s">
        <v>256</v>
      </c>
      <c r="J506" s="85" t="s">
        <v>257</v>
      </c>
      <c r="K506" s="85" t="s">
        <v>257</v>
      </c>
      <c r="L506" s="85" t="s">
        <v>258</v>
      </c>
      <c r="M506" s="85" t="s">
        <v>236</v>
      </c>
      <c r="N506" s="85" t="s">
        <v>218</v>
      </c>
      <c r="O506" s="85" t="s">
        <v>227</v>
      </c>
      <c r="P506" s="85" t="s">
        <v>1093</v>
      </c>
      <c r="Q506" s="85" t="s">
        <v>1583</v>
      </c>
      <c r="R506" s="85">
        <v>5</v>
      </c>
      <c r="S506" s="85">
        <v>387</v>
      </c>
      <c r="T506" s="2">
        <v>44126</v>
      </c>
      <c r="U506" s="2">
        <v>44153</v>
      </c>
    </row>
    <row r="507" spans="1:21" x14ac:dyDescent="0.2">
      <c r="A507" s="3" t="str">
        <f>HYPERLINK("http://www.ofsted.gov.uk/inspection-reports/find-inspection-report/provider/ELS/132161 ","Ofsted School Webpage")</f>
        <v>Ofsted School Webpage</v>
      </c>
      <c r="B507" s="85">
        <v>132161</v>
      </c>
      <c r="C507" s="85">
        <v>8013437</v>
      </c>
      <c r="D507" s="85" t="s">
        <v>1584</v>
      </c>
      <c r="E507" s="85" t="s">
        <v>81</v>
      </c>
      <c r="F507" s="85" t="s">
        <v>254</v>
      </c>
      <c r="G507" s="2">
        <v>38961</v>
      </c>
      <c r="H507" s="85" t="s">
        <v>255</v>
      </c>
      <c r="I507" s="85" t="s">
        <v>256</v>
      </c>
      <c r="J507" s="85" t="s">
        <v>257</v>
      </c>
      <c r="K507" s="85" t="s">
        <v>257</v>
      </c>
      <c r="L507" s="85" t="s">
        <v>258</v>
      </c>
      <c r="M507" s="85" t="s">
        <v>188</v>
      </c>
      <c r="N507" s="85" t="s">
        <v>188</v>
      </c>
      <c r="O507" s="85" t="s">
        <v>189</v>
      </c>
      <c r="P507" s="85" t="s">
        <v>406</v>
      </c>
      <c r="Q507" s="85" t="s">
        <v>1585</v>
      </c>
      <c r="R507" s="85">
        <v>3</v>
      </c>
      <c r="S507" s="85">
        <v>628</v>
      </c>
      <c r="T507" s="2">
        <v>44126</v>
      </c>
      <c r="U507" s="2">
        <v>44159</v>
      </c>
    </row>
    <row r="508" spans="1:21" x14ac:dyDescent="0.2">
      <c r="A508" s="3" t="str">
        <f>HYPERLINK("http://www.ofsted.gov.uk/inspection-reports/find-inspection-report/provider/ELS/124572 ","Ofsted School Webpage")</f>
        <v>Ofsted School Webpage</v>
      </c>
      <c r="B508" s="85">
        <v>124572</v>
      </c>
      <c r="C508" s="85">
        <v>9352066</v>
      </c>
      <c r="D508" s="85" t="s">
        <v>1586</v>
      </c>
      <c r="E508" s="85" t="s">
        <v>81</v>
      </c>
      <c r="F508" s="85" t="s">
        <v>254</v>
      </c>
      <c r="G508" s="85" t="s">
        <v>262</v>
      </c>
      <c r="H508" s="85" t="s">
        <v>255</v>
      </c>
      <c r="I508" s="85" t="s">
        <v>256</v>
      </c>
      <c r="J508" s="85" t="s">
        <v>257</v>
      </c>
      <c r="K508" s="85" t="s">
        <v>257</v>
      </c>
      <c r="L508" s="85" t="s">
        <v>258</v>
      </c>
      <c r="M508" s="85" t="s">
        <v>95</v>
      </c>
      <c r="N508" s="85" t="s">
        <v>95</v>
      </c>
      <c r="O508" s="85" t="s">
        <v>99</v>
      </c>
      <c r="P508" s="85" t="s">
        <v>650</v>
      </c>
      <c r="Q508" s="85" t="s">
        <v>1587</v>
      </c>
      <c r="R508" s="85">
        <v>2</v>
      </c>
      <c r="S508" s="85">
        <v>97</v>
      </c>
      <c r="T508" s="2">
        <v>44126</v>
      </c>
      <c r="U508" s="2">
        <v>44160</v>
      </c>
    </row>
    <row r="509" spans="1:21" x14ac:dyDescent="0.2">
      <c r="A509" s="3" t="str">
        <f>HYPERLINK("http://www.ofsted.gov.uk/inspection-reports/find-inspection-report/provider/ELS/115600 ","Ofsted School Webpage")</f>
        <v>Ofsted School Webpage</v>
      </c>
      <c r="B509" s="85">
        <v>115600</v>
      </c>
      <c r="C509" s="85">
        <v>9162171</v>
      </c>
      <c r="D509" s="85" t="s">
        <v>1588</v>
      </c>
      <c r="E509" s="85" t="s">
        <v>81</v>
      </c>
      <c r="F509" s="85" t="s">
        <v>254</v>
      </c>
      <c r="G509" s="85" t="s">
        <v>262</v>
      </c>
      <c r="H509" s="85" t="s">
        <v>255</v>
      </c>
      <c r="I509" s="85" t="s">
        <v>256</v>
      </c>
      <c r="J509" s="85" t="s">
        <v>257</v>
      </c>
      <c r="K509" s="85" t="s">
        <v>257</v>
      </c>
      <c r="L509" s="85" t="s">
        <v>258</v>
      </c>
      <c r="M509" s="85" t="s">
        <v>188</v>
      </c>
      <c r="N509" s="85" t="s">
        <v>188</v>
      </c>
      <c r="O509" s="85" t="s">
        <v>194</v>
      </c>
      <c r="P509" s="85" t="s">
        <v>764</v>
      </c>
      <c r="Q509" s="85" t="s">
        <v>1589</v>
      </c>
      <c r="R509" s="85">
        <v>3</v>
      </c>
      <c r="S509" s="85">
        <v>410</v>
      </c>
      <c r="T509" s="2">
        <v>44126</v>
      </c>
      <c r="U509" s="2">
        <v>44157</v>
      </c>
    </row>
    <row r="510" spans="1:21" x14ac:dyDescent="0.2">
      <c r="A510" s="3" t="str">
        <f>HYPERLINK("http://www.ofsted.gov.uk/inspection-reports/find-inspection-report/provider/ELS/117084 ","Ofsted School Webpage")</f>
        <v>Ofsted School Webpage</v>
      </c>
      <c r="B510" s="85">
        <v>117084</v>
      </c>
      <c r="C510" s="85">
        <v>9192002</v>
      </c>
      <c r="D510" s="85" t="s">
        <v>1590</v>
      </c>
      <c r="E510" s="85" t="s">
        <v>81</v>
      </c>
      <c r="F510" s="85" t="s">
        <v>254</v>
      </c>
      <c r="G510" s="85" t="s">
        <v>262</v>
      </c>
      <c r="H510" s="85" t="s">
        <v>255</v>
      </c>
      <c r="I510" s="85" t="s">
        <v>256</v>
      </c>
      <c r="J510" s="85" t="s">
        <v>257</v>
      </c>
      <c r="K510" s="85" t="s">
        <v>257</v>
      </c>
      <c r="L510" s="85" t="s">
        <v>258</v>
      </c>
      <c r="M510" s="85" t="s">
        <v>95</v>
      </c>
      <c r="N510" s="85" t="s">
        <v>95</v>
      </c>
      <c r="O510" s="85" t="s">
        <v>102</v>
      </c>
      <c r="P510" s="85" t="s">
        <v>758</v>
      </c>
      <c r="Q510" s="85" t="s">
        <v>1591</v>
      </c>
      <c r="R510" s="85">
        <v>1</v>
      </c>
      <c r="S510" s="85">
        <v>230</v>
      </c>
      <c r="T510" s="2">
        <v>44126</v>
      </c>
      <c r="U510" s="2">
        <v>44152</v>
      </c>
    </row>
    <row r="511" spans="1:21" x14ac:dyDescent="0.2">
      <c r="A511" s="3" t="str">
        <f>HYPERLINK("http://www.ofsted.gov.uk/inspection-reports/find-inspection-report/provider/ELS/117518 ","Ofsted School Webpage")</f>
        <v>Ofsted School Webpage</v>
      </c>
      <c r="B511" s="85">
        <v>117518</v>
      </c>
      <c r="C511" s="85">
        <v>9194066</v>
      </c>
      <c r="D511" s="85" t="s">
        <v>1592</v>
      </c>
      <c r="E511" s="85" t="s">
        <v>82</v>
      </c>
      <c r="F511" s="85" t="s">
        <v>382</v>
      </c>
      <c r="G511" s="85" t="s">
        <v>262</v>
      </c>
      <c r="H511" s="85" t="s">
        <v>275</v>
      </c>
      <c r="I511" s="85" t="s">
        <v>276</v>
      </c>
      <c r="J511" s="85" t="s">
        <v>257</v>
      </c>
      <c r="K511" s="85" t="s">
        <v>257</v>
      </c>
      <c r="L511" s="85" t="s">
        <v>258</v>
      </c>
      <c r="M511" s="85" t="s">
        <v>95</v>
      </c>
      <c r="N511" s="85" t="s">
        <v>95</v>
      </c>
      <c r="O511" s="85" t="s">
        <v>102</v>
      </c>
      <c r="P511" s="85" t="s">
        <v>967</v>
      </c>
      <c r="Q511" s="85" t="s">
        <v>1593</v>
      </c>
      <c r="R511" s="85">
        <v>3</v>
      </c>
      <c r="S511" s="85">
        <v>1045</v>
      </c>
      <c r="T511" s="2">
        <v>44126</v>
      </c>
      <c r="U511" s="2">
        <v>44152</v>
      </c>
    </row>
    <row r="512" spans="1:21" x14ac:dyDescent="0.2">
      <c r="A512" s="3" t="str">
        <f>HYPERLINK("http://www.ofsted.gov.uk/inspection-reports/find-inspection-report/provider/ELS/122223 ","Ofsted School Webpage")</f>
        <v>Ofsted School Webpage</v>
      </c>
      <c r="B512" s="85">
        <v>122223</v>
      </c>
      <c r="C512" s="85">
        <v>9292228</v>
      </c>
      <c r="D512" s="85" t="s">
        <v>1594</v>
      </c>
      <c r="E512" s="85" t="s">
        <v>81</v>
      </c>
      <c r="F512" s="85" t="s">
        <v>254</v>
      </c>
      <c r="G512" s="85" t="s">
        <v>262</v>
      </c>
      <c r="H512" s="85" t="s">
        <v>255</v>
      </c>
      <c r="I512" s="85" t="s">
        <v>256</v>
      </c>
      <c r="J512" s="85" t="s">
        <v>257</v>
      </c>
      <c r="K512" s="85" t="s">
        <v>257</v>
      </c>
      <c r="L512" s="85" t="s">
        <v>258</v>
      </c>
      <c r="M512" s="85" t="s">
        <v>236</v>
      </c>
      <c r="N512" s="85" t="s">
        <v>135</v>
      </c>
      <c r="O512" s="85" t="s">
        <v>138</v>
      </c>
      <c r="P512" s="85" t="s">
        <v>1464</v>
      </c>
      <c r="Q512" s="85" t="s">
        <v>1595</v>
      </c>
      <c r="R512" s="85">
        <v>4</v>
      </c>
      <c r="S512" s="85">
        <v>218</v>
      </c>
      <c r="T512" s="2">
        <v>44126</v>
      </c>
      <c r="U512" s="2">
        <v>44160</v>
      </c>
    </row>
    <row r="513" spans="1:21" x14ac:dyDescent="0.2">
      <c r="A513" s="3" t="str">
        <f>HYPERLINK("http://www.ofsted.gov.uk/inspection-reports/find-inspection-report/provider/ELS/131433 ","Ofsted School Webpage")</f>
        <v>Ofsted School Webpage</v>
      </c>
      <c r="B513" s="85">
        <v>131433</v>
      </c>
      <c r="C513" s="85">
        <v>3352245</v>
      </c>
      <c r="D513" s="85" t="s">
        <v>1596</v>
      </c>
      <c r="E513" s="85" t="s">
        <v>81</v>
      </c>
      <c r="F513" s="85" t="s">
        <v>254</v>
      </c>
      <c r="G513" s="2">
        <v>36039</v>
      </c>
      <c r="H513" s="85" t="s">
        <v>255</v>
      </c>
      <c r="I513" s="85" t="s">
        <v>256</v>
      </c>
      <c r="J513" s="85" t="s">
        <v>257</v>
      </c>
      <c r="K513" s="85" t="s">
        <v>257</v>
      </c>
      <c r="L513" s="85" t="s">
        <v>258</v>
      </c>
      <c r="M513" s="85" t="s">
        <v>203</v>
      </c>
      <c r="N513" s="85" t="s">
        <v>203</v>
      </c>
      <c r="O513" s="85" t="s">
        <v>207</v>
      </c>
      <c r="P513" s="85" t="s">
        <v>1597</v>
      </c>
      <c r="Q513" s="85" t="s">
        <v>1598</v>
      </c>
      <c r="R513" s="85">
        <v>4</v>
      </c>
      <c r="S513" s="85">
        <v>609</v>
      </c>
      <c r="T513" s="2">
        <v>44126</v>
      </c>
      <c r="U513" s="2">
        <v>44158</v>
      </c>
    </row>
    <row r="514" spans="1:21" x14ac:dyDescent="0.2">
      <c r="A514" s="3" t="str">
        <f>HYPERLINK("http://www.ofsted.gov.uk/inspection-reports/find-inspection-report/provider/ELS/130949 ","Ofsted School Webpage")</f>
        <v>Ofsted School Webpage</v>
      </c>
      <c r="B514" s="85">
        <v>130949</v>
      </c>
      <c r="C514" s="85">
        <v>8672254</v>
      </c>
      <c r="D514" s="85" t="s">
        <v>1599</v>
      </c>
      <c r="E514" s="85" t="s">
        <v>81</v>
      </c>
      <c r="F514" s="85" t="s">
        <v>254</v>
      </c>
      <c r="G514" s="2">
        <v>35309</v>
      </c>
      <c r="H514" s="85" t="s">
        <v>255</v>
      </c>
      <c r="I514" s="85" t="s">
        <v>256</v>
      </c>
      <c r="J514" s="85" t="s">
        <v>257</v>
      </c>
      <c r="K514" s="85" t="s">
        <v>257</v>
      </c>
      <c r="L514" s="85" t="s">
        <v>258</v>
      </c>
      <c r="M514" s="85" t="s">
        <v>169</v>
      </c>
      <c r="N514" s="85" t="s">
        <v>169</v>
      </c>
      <c r="O514" s="85" t="s">
        <v>174</v>
      </c>
      <c r="P514" s="85" t="s">
        <v>294</v>
      </c>
      <c r="Q514" s="85" t="s">
        <v>1600</v>
      </c>
      <c r="R514" s="85">
        <v>2</v>
      </c>
      <c r="S514" s="85">
        <v>583</v>
      </c>
      <c r="T514" s="2">
        <v>44126</v>
      </c>
      <c r="U514" s="2">
        <v>44164</v>
      </c>
    </row>
    <row r="515" spans="1:21" x14ac:dyDescent="0.2">
      <c r="A515" s="3" t="str">
        <f>HYPERLINK("http://www.ofsted.gov.uk/inspection-reports/find-inspection-report/provider/ELS/116778 ","Ofsted School Webpage")</f>
        <v>Ofsted School Webpage</v>
      </c>
      <c r="B515" s="85">
        <v>116778</v>
      </c>
      <c r="C515" s="85">
        <v>8852916</v>
      </c>
      <c r="D515" s="85" t="s">
        <v>1601</v>
      </c>
      <c r="E515" s="85" t="s">
        <v>81</v>
      </c>
      <c r="F515" s="85" t="s">
        <v>254</v>
      </c>
      <c r="G515" s="85" t="s">
        <v>262</v>
      </c>
      <c r="H515" s="85" t="s">
        <v>255</v>
      </c>
      <c r="I515" s="85" t="s">
        <v>256</v>
      </c>
      <c r="J515" s="85" t="s">
        <v>257</v>
      </c>
      <c r="K515" s="85" t="s">
        <v>257</v>
      </c>
      <c r="L515" s="85" t="s">
        <v>258</v>
      </c>
      <c r="M515" s="85" t="s">
        <v>203</v>
      </c>
      <c r="N515" s="85" t="s">
        <v>203</v>
      </c>
      <c r="O515" s="85" t="s">
        <v>215</v>
      </c>
      <c r="P515" s="85" t="s">
        <v>1602</v>
      </c>
      <c r="Q515" s="85" t="s">
        <v>1603</v>
      </c>
      <c r="R515" s="85">
        <v>3</v>
      </c>
      <c r="S515" s="85">
        <v>443</v>
      </c>
      <c r="T515" s="2">
        <v>44126</v>
      </c>
      <c r="U515" s="2">
        <v>44157</v>
      </c>
    </row>
    <row r="516" spans="1:21" x14ac:dyDescent="0.2">
      <c r="A516" s="3" t="str">
        <f>HYPERLINK("http://www.ofsted.gov.uk/inspection-reports/find-inspection-report/provider/ELS/135820 ","Ofsted School Webpage")</f>
        <v>Ofsted School Webpage</v>
      </c>
      <c r="B516" s="85">
        <v>135820</v>
      </c>
      <c r="C516" s="85">
        <v>8955205</v>
      </c>
      <c r="D516" s="85" t="s">
        <v>1604</v>
      </c>
      <c r="E516" s="85" t="s">
        <v>81</v>
      </c>
      <c r="F516" s="85" t="s">
        <v>333</v>
      </c>
      <c r="G516" s="2">
        <v>40057</v>
      </c>
      <c r="H516" s="85" t="s">
        <v>255</v>
      </c>
      <c r="I516" s="85" t="s">
        <v>256</v>
      </c>
      <c r="J516" s="85" t="s">
        <v>1605</v>
      </c>
      <c r="K516" s="85" t="s">
        <v>257</v>
      </c>
      <c r="L516" s="85" t="s">
        <v>335</v>
      </c>
      <c r="M516" s="85" t="s">
        <v>148</v>
      </c>
      <c r="N516" s="85" t="s">
        <v>148</v>
      </c>
      <c r="O516" s="85" t="s">
        <v>160</v>
      </c>
      <c r="P516" s="85" t="s">
        <v>1439</v>
      </c>
      <c r="Q516" s="85" t="s">
        <v>1606</v>
      </c>
      <c r="R516" s="85">
        <v>4</v>
      </c>
      <c r="S516" s="85">
        <v>113</v>
      </c>
      <c r="T516" s="2">
        <v>44126</v>
      </c>
      <c r="U516" s="2">
        <v>44165</v>
      </c>
    </row>
    <row r="517" spans="1:21" x14ac:dyDescent="0.2">
      <c r="A517" s="3" t="str">
        <f>HYPERLINK("http://www.ofsted.gov.uk/inspection-reports/find-inspection-report/provider/ELS/100943 ","Ofsted School Webpage")</f>
        <v>Ofsted School Webpage</v>
      </c>
      <c r="B517" s="85">
        <v>100943</v>
      </c>
      <c r="C517" s="85">
        <v>2112921</v>
      </c>
      <c r="D517" s="85" t="s">
        <v>1607</v>
      </c>
      <c r="E517" s="85" t="s">
        <v>81</v>
      </c>
      <c r="F517" s="85" t="s">
        <v>254</v>
      </c>
      <c r="G517" s="85" t="s">
        <v>262</v>
      </c>
      <c r="H517" s="85" t="s">
        <v>255</v>
      </c>
      <c r="I517" s="85" t="s">
        <v>256</v>
      </c>
      <c r="J517" s="85" t="s">
        <v>257</v>
      </c>
      <c r="K517" s="85" t="s">
        <v>257</v>
      </c>
      <c r="L517" s="85" t="s">
        <v>258</v>
      </c>
      <c r="M517" s="85" t="s">
        <v>107</v>
      </c>
      <c r="N517" s="85" t="s">
        <v>107</v>
      </c>
      <c r="O517" s="85" t="s">
        <v>126</v>
      </c>
      <c r="P517" s="85" t="s">
        <v>1174</v>
      </c>
      <c r="Q517" s="85" t="s">
        <v>1608</v>
      </c>
      <c r="R517" s="85">
        <v>5</v>
      </c>
      <c r="S517" s="85">
        <v>159</v>
      </c>
      <c r="T517" s="2">
        <v>44126</v>
      </c>
      <c r="U517" s="2">
        <v>44158</v>
      </c>
    </row>
    <row r="518" spans="1:21" x14ac:dyDescent="0.2">
      <c r="A518" s="3" t="str">
        <f>HYPERLINK("http://www.ofsted.gov.uk/inspection-reports/find-inspection-report/provider/ELS/114469 ","Ofsted School Webpage")</f>
        <v>Ofsted School Webpage</v>
      </c>
      <c r="B518" s="85">
        <v>114469</v>
      </c>
      <c r="C518" s="85">
        <v>8452145</v>
      </c>
      <c r="D518" s="85" t="s">
        <v>1609</v>
      </c>
      <c r="E518" s="85" t="s">
        <v>81</v>
      </c>
      <c r="F518" s="85" t="s">
        <v>254</v>
      </c>
      <c r="G518" s="85" t="s">
        <v>262</v>
      </c>
      <c r="H518" s="85" t="s">
        <v>255</v>
      </c>
      <c r="I518" s="85" t="s">
        <v>256</v>
      </c>
      <c r="J518" s="85" t="s">
        <v>257</v>
      </c>
      <c r="K518" s="85" t="s">
        <v>257</v>
      </c>
      <c r="L518" s="85" t="s">
        <v>258</v>
      </c>
      <c r="M518" s="85" t="s">
        <v>169</v>
      </c>
      <c r="N518" s="85" t="s">
        <v>169</v>
      </c>
      <c r="O518" s="85" t="s">
        <v>180</v>
      </c>
      <c r="P518" s="85" t="s">
        <v>784</v>
      </c>
      <c r="Q518" s="85" t="s">
        <v>1610</v>
      </c>
      <c r="R518" s="85">
        <v>3</v>
      </c>
      <c r="S518" s="85">
        <v>357</v>
      </c>
      <c r="T518" s="2">
        <v>44126</v>
      </c>
      <c r="U518" s="2">
        <v>44164</v>
      </c>
    </row>
    <row r="519" spans="1:21" x14ac:dyDescent="0.2">
      <c r="A519" s="3" t="str">
        <f>HYPERLINK("http://www.ofsted.gov.uk/inspection-reports/find-inspection-report/provider/ELS/130270 ","Ofsted School Webpage")</f>
        <v>Ofsted School Webpage</v>
      </c>
      <c r="B519" s="85">
        <v>130270</v>
      </c>
      <c r="C519" s="85">
        <v>8962725</v>
      </c>
      <c r="D519" s="85" t="s">
        <v>1611</v>
      </c>
      <c r="E519" s="85" t="s">
        <v>81</v>
      </c>
      <c r="F519" s="85" t="s">
        <v>254</v>
      </c>
      <c r="G519" s="2">
        <v>34943</v>
      </c>
      <c r="H519" s="85" t="s">
        <v>255</v>
      </c>
      <c r="I519" s="85" t="s">
        <v>256</v>
      </c>
      <c r="J519" s="85" t="s">
        <v>257</v>
      </c>
      <c r="K519" s="85" t="s">
        <v>257</v>
      </c>
      <c r="L519" s="85" t="s">
        <v>258</v>
      </c>
      <c r="M519" s="85" t="s">
        <v>148</v>
      </c>
      <c r="N519" s="85" t="s">
        <v>148</v>
      </c>
      <c r="O519" s="85" t="s">
        <v>155</v>
      </c>
      <c r="P519" s="85" t="s">
        <v>339</v>
      </c>
      <c r="Q519" s="85" t="s">
        <v>1612</v>
      </c>
      <c r="R519" s="85">
        <v>5</v>
      </c>
      <c r="S519" s="85">
        <v>290</v>
      </c>
      <c r="T519" s="2">
        <v>44126</v>
      </c>
      <c r="U519" s="2">
        <v>44153</v>
      </c>
    </row>
    <row r="520" spans="1:21" x14ac:dyDescent="0.2">
      <c r="A520" s="3" t="str">
        <f>HYPERLINK("http://www.ofsted.gov.uk/inspection-reports/find-inspection-report/provider/ELS/115960 ","Ofsted School Webpage")</f>
        <v>Ofsted School Webpage</v>
      </c>
      <c r="B520" s="85">
        <v>115960</v>
      </c>
      <c r="C520" s="85">
        <v>8502203</v>
      </c>
      <c r="D520" s="85" t="s">
        <v>1613</v>
      </c>
      <c r="E520" s="85" t="s">
        <v>81</v>
      </c>
      <c r="F520" s="85" t="s">
        <v>254</v>
      </c>
      <c r="G520" s="85" t="s">
        <v>262</v>
      </c>
      <c r="H520" s="85" t="s">
        <v>255</v>
      </c>
      <c r="I520" s="85" t="s">
        <v>256</v>
      </c>
      <c r="J520" s="85" t="s">
        <v>257</v>
      </c>
      <c r="K520" s="85" t="s">
        <v>257</v>
      </c>
      <c r="L520" s="85" t="s">
        <v>258</v>
      </c>
      <c r="M520" s="85" t="s">
        <v>169</v>
      </c>
      <c r="N520" s="85" t="s">
        <v>169</v>
      </c>
      <c r="O520" s="85" t="s">
        <v>170</v>
      </c>
      <c r="P520" s="85" t="s">
        <v>747</v>
      </c>
      <c r="Q520" s="85" t="s">
        <v>1614</v>
      </c>
      <c r="R520" s="85">
        <v>1</v>
      </c>
      <c r="S520" s="85">
        <v>142</v>
      </c>
      <c r="T520" s="2">
        <v>44126</v>
      </c>
      <c r="U520" s="2">
        <v>44160</v>
      </c>
    </row>
    <row r="521" spans="1:21" x14ac:dyDescent="0.2">
      <c r="A521" s="3" t="str">
        <f>HYPERLINK("http://www.ofsted.gov.uk/inspection-reports/find-inspection-report/provider/ELS/114188 ","Ofsted School Webpage")</f>
        <v>Ofsted School Webpage</v>
      </c>
      <c r="B521" s="85">
        <v>114188</v>
      </c>
      <c r="C521" s="85">
        <v>8402705</v>
      </c>
      <c r="D521" s="85" t="s">
        <v>1615</v>
      </c>
      <c r="E521" s="85" t="s">
        <v>81</v>
      </c>
      <c r="F521" s="85" t="s">
        <v>254</v>
      </c>
      <c r="G521" s="85" t="s">
        <v>262</v>
      </c>
      <c r="H521" s="85" t="s">
        <v>255</v>
      </c>
      <c r="I521" s="85" t="s">
        <v>256</v>
      </c>
      <c r="J521" s="85" t="s">
        <v>257</v>
      </c>
      <c r="K521" s="85" t="s">
        <v>257</v>
      </c>
      <c r="L521" s="85" t="s">
        <v>258</v>
      </c>
      <c r="M521" s="85" t="s">
        <v>236</v>
      </c>
      <c r="N521" s="85" t="s">
        <v>135</v>
      </c>
      <c r="O521" s="85" t="s">
        <v>143</v>
      </c>
      <c r="P521" s="85" t="s">
        <v>663</v>
      </c>
      <c r="Q521" s="85" t="s">
        <v>1616</v>
      </c>
      <c r="R521" s="85">
        <v>5</v>
      </c>
      <c r="S521" s="85">
        <v>132</v>
      </c>
      <c r="T521" s="2">
        <v>44126</v>
      </c>
      <c r="U521" s="2">
        <v>44159</v>
      </c>
    </row>
    <row r="522" spans="1:21" x14ac:dyDescent="0.2">
      <c r="A522" s="3" t="str">
        <f>HYPERLINK("http://www.ofsted.gov.uk/inspection-reports/find-inspection-report/provider/ELS/126043 ","Ofsted School Webpage")</f>
        <v>Ofsted School Webpage</v>
      </c>
      <c r="B522" s="85">
        <v>126043</v>
      </c>
      <c r="C522" s="85">
        <v>9383335</v>
      </c>
      <c r="D522" s="85" t="s">
        <v>1617</v>
      </c>
      <c r="E522" s="85" t="s">
        <v>81</v>
      </c>
      <c r="F522" s="85" t="s">
        <v>333</v>
      </c>
      <c r="G522" s="85" t="s">
        <v>262</v>
      </c>
      <c r="H522" s="85" t="s">
        <v>255</v>
      </c>
      <c r="I522" s="85" t="s">
        <v>256</v>
      </c>
      <c r="J522" s="85" t="s">
        <v>342</v>
      </c>
      <c r="K522" s="85" t="s">
        <v>257</v>
      </c>
      <c r="L522" s="85" t="s">
        <v>335</v>
      </c>
      <c r="M522" s="85" t="s">
        <v>169</v>
      </c>
      <c r="N522" s="85" t="s">
        <v>169</v>
      </c>
      <c r="O522" s="85" t="s">
        <v>177</v>
      </c>
      <c r="P522" s="85" t="s">
        <v>468</v>
      </c>
      <c r="Q522" s="85" t="s">
        <v>1618</v>
      </c>
      <c r="R522" s="85">
        <v>4</v>
      </c>
      <c r="S522" s="85">
        <v>398</v>
      </c>
      <c r="T522" s="2">
        <v>44126</v>
      </c>
      <c r="U522" s="2">
        <v>44166</v>
      </c>
    </row>
    <row r="523" spans="1:21" x14ac:dyDescent="0.2">
      <c r="A523" s="3" t="str">
        <f>HYPERLINK("http://www.ofsted.gov.uk/inspection-reports/find-inspection-report/provider/ELS/109145 ","Ofsted School Webpage")</f>
        <v>Ofsted School Webpage</v>
      </c>
      <c r="B523" s="85">
        <v>109145</v>
      </c>
      <c r="C523" s="85">
        <v>8013013</v>
      </c>
      <c r="D523" s="85" t="s">
        <v>1619</v>
      </c>
      <c r="E523" s="85" t="s">
        <v>81</v>
      </c>
      <c r="F523" s="85" t="s">
        <v>360</v>
      </c>
      <c r="G523" s="85" t="s">
        <v>262</v>
      </c>
      <c r="H523" s="85" t="s">
        <v>255</v>
      </c>
      <c r="I523" s="85" t="s">
        <v>256</v>
      </c>
      <c r="J523" s="85" t="s">
        <v>342</v>
      </c>
      <c r="K523" s="85" t="s">
        <v>257</v>
      </c>
      <c r="L523" s="85" t="s">
        <v>335</v>
      </c>
      <c r="M523" s="85" t="s">
        <v>188</v>
      </c>
      <c r="N523" s="85" t="s">
        <v>188</v>
      </c>
      <c r="O523" s="85" t="s">
        <v>189</v>
      </c>
      <c r="P523" s="85" t="s">
        <v>1154</v>
      </c>
      <c r="Q523" s="85" t="s">
        <v>1620</v>
      </c>
      <c r="R523" s="85">
        <v>5</v>
      </c>
      <c r="S523" s="85">
        <v>58</v>
      </c>
      <c r="T523" s="2">
        <v>44126</v>
      </c>
      <c r="U523" s="2">
        <v>44158</v>
      </c>
    </row>
    <row r="524" spans="1:21" x14ac:dyDescent="0.2">
      <c r="A524" s="3" t="str">
        <f>HYPERLINK("http://www.ofsted.gov.uk/inspection-reports/find-inspection-report/provider/ELS/123796 ","Ofsted School Webpage")</f>
        <v>Ofsted School Webpage</v>
      </c>
      <c r="B524" s="85">
        <v>123796</v>
      </c>
      <c r="C524" s="85">
        <v>9333181</v>
      </c>
      <c r="D524" s="85" t="s">
        <v>1621</v>
      </c>
      <c r="E524" s="85" t="s">
        <v>81</v>
      </c>
      <c r="F524" s="85" t="s">
        <v>360</v>
      </c>
      <c r="G524" s="85" t="s">
        <v>262</v>
      </c>
      <c r="H524" s="85" t="s">
        <v>255</v>
      </c>
      <c r="I524" s="85" t="s">
        <v>256</v>
      </c>
      <c r="J524" s="85" t="s">
        <v>342</v>
      </c>
      <c r="K524" s="85" t="s">
        <v>257</v>
      </c>
      <c r="L524" s="85" t="s">
        <v>335</v>
      </c>
      <c r="M524" s="85" t="s">
        <v>188</v>
      </c>
      <c r="N524" s="85" t="s">
        <v>188</v>
      </c>
      <c r="O524" s="85" t="s">
        <v>195</v>
      </c>
      <c r="P524" s="85" t="s">
        <v>509</v>
      </c>
      <c r="Q524" s="85" t="s">
        <v>1622</v>
      </c>
      <c r="R524" s="85">
        <v>2</v>
      </c>
      <c r="S524" s="85">
        <v>42</v>
      </c>
      <c r="T524" s="2">
        <v>44126</v>
      </c>
      <c r="U524" s="2">
        <v>44151</v>
      </c>
    </row>
    <row r="525" spans="1:21" x14ac:dyDescent="0.2">
      <c r="A525" s="3" t="str">
        <f>HYPERLINK("http://www.ofsted.gov.uk/inspection-reports/find-inspection-report/provider/ELS/111281 ","Ofsted School Webpage")</f>
        <v>Ofsted School Webpage</v>
      </c>
      <c r="B525" s="85">
        <v>111281</v>
      </c>
      <c r="C525" s="85">
        <v>8963163</v>
      </c>
      <c r="D525" s="85" t="s">
        <v>1623</v>
      </c>
      <c r="E525" s="85" t="s">
        <v>81</v>
      </c>
      <c r="F525" s="85" t="s">
        <v>360</v>
      </c>
      <c r="G525" s="85" t="s">
        <v>262</v>
      </c>
      <c r="H525" s="85" t="s">
        <v>255</v>
      </c>
      <c r="I525" s="85" t="s">
        <v>256</v>
      </c>
      <c r="J525" s="85" t="s">
        <v>342</v>
      </c>
      <c r="K525" s="85" t="s">
        <v>257</v>
      </c>
      <c r="L525" s="85" t="s">
        <v>335</v>
      </c>
      <c r="M525" s="85" t="s">
        <v>148</v>
      </c>
      <c r="N525" s="85" t="s">
        <v>148</v>
      </c>
      <c r="O525" s="85" t="s">
        <v>155</v>
      </c>
      <c r="P525" s="85" t="s">
        <v>1182</v>
      </c>
      <c r="Q525" s="85" t="s">
        <v>1624</v>
      </c>
      <c r="R525" s="85">
        <v>2</v>
      </c>
      <c r="S525" s="85">
        <v>124</v>
      </c>
      <c r="T525" s="2">
        <v>44126</v>
      </c>
      <c r="U525" s="2">
        <v>44165</v>
      </c>
    </row>
    <row r="526" spans="1:21" x14ac:dyDescent="0.2">
      <c r="A526" s="3" t="str">
        <f>HYPERLINK("http://www.ofsted.gov.uk/inspection-reports/find-inspection-report/provider/ELS/111311 ","Ofsted School Webpage")</f>
        <v>Ofsted School Webpage</v>
      </c>
      <c r="B526" s="85">
        <v>111311</v>
      </c>
      <c r="C526" s="85">
        <v>8963415</v>
      </c>
      <c r="D526" s="85" t="s">
        <v>1625</v>
      </c>
      <c r="E526" s="85" t="s">
        <v>81</v>
      </c>
      <c r="F526" s="85" t="s">
        <v>333</v>
      </c>
      <c r="G526" s="85" t="s">
        <v>262</v>
      </c>
      <c r="H526" s="85" t="s">
        <v>255</v>
      </c>
      <c r="I526" s="85" t="s">
        <v>256</v>
      </c>
      <c r="J526" s="85" t="s">
        <v>334</v>
      </c>
      <c r="K526" s="85" t="s">
        <v>257</v>
      </c>
      <c r="L526" s="85" t="s">
        <v>335</v>
      </c>
      <c r="M526" s="85" t="s">
        <v>148</v>
      </c>
      <c r="N526" s="85" t="s">
        <v>148</v>
      </c>
      <c r="O526" s="85" t="s">
        <v>155</v>
      </c>
      <c r="P526" s="85" t="s">
        <v>593</v>
      </c>
      <c r="Q526" s="85" t="s">
        <v>1626</v>
      </c>
      <c r="R526" s="85">
        <v>5</v>
      </c>
      <c r="S526" s="85">
        <v>167</v>
      </c>
      <c r="T526" s="2">
        <v>44126</v>
      </c>
      <c r="U526" s="2">
        <v>44157</v>
      </c>
    </row>
    <row r="527" spans="1:21" x14ac:dyDescent="0.2">
      <c r="A527" s="3" t="str">
        <f>HYPERLINK("http://www.ofsted.gov.uk/inspection-reports/find-inspection-report/provider/ELS/100349 ","Ofsted School Webpage")</f>
        <v>Ofsted School Webpage</v>
      </c>
      <c r="B527" s="85">
        <v>100349</v>
      </c>
      <c r="C527" s="85">
        <v>2053463</v>
      </c>
      <c r="D527" s="85" t="s">
        <v>1627</v>
      </c>
      <c r="E527" s="85" t="s">
        <v>81</v>
      </c>
      <c r="F527" s="85" t="s">
        <v>333</v>
      </c>
      <c r="G527" s="85" t="s">
        <v>262</v>
      </c>
      <c r="H527" s="85" t="s">
        <v>255</v>
      </c>
      <c r="I527" s="85" t="s">
        <v>256</v>
      </c>
      <c r="J527" s="85" t="s">
        <v>342</v>
      </c>
      <c r="K527" s="85" t="s">
        <v>257</v>
      </c>
      <c r="L527" s="85" t="s">
        <v>335</v>
      </c>
      <c r="M527" s="85" t="s">
        <v>107</v>
      </c>
      <c r="N527" s="85" t="s">
        <v>107</v>
      </c>
      <c r="O527" s="85" t="s">
        <v>122</v>
      </c>
      <c r="P527" s="85" t="s">
        <v>827</v>
      </c>
      <c r="Q527" s="85" t="s">
        <v>1628</v>
      </c>
      <c r="R527" s="85">
        <v>3</v>
      </c>
      <c r="S527" s="85">
        <v>379</v>
      </c>
      <c r="T527" s="2">
        <v>44126</v>
      </c>
      <c r="U527" s="2">
        <v>44158</v>
      </c>
    </row>
    <row r="528" spans="1:21" x14ac:dyDescent="0.2">
      <c r="A528" s="3" t="str">
        <f>HYPERLINK("http://www.ofsted.gov.uk/inspection-reports/find-inspection-report/provider/ELS/125976 ","Ofsted School Webpage")</f>
        <v>Ofsted School Webpage</v>
      </c>
      <c r="B528" s="85">
        <v>125976</v>
      </c>
      <c r="C528" s="85">
        <v>9383006</v>
      </c>
      <c r="D528" s="85" t="s">
        <v>1629</v>
      </c>
      <c r="E528" s="85" t="s">
        <v>81</v>
      </c>
      <c r="F528" s="85" t="s">
        <v>360</v>
      </c>
      <c r="G528" s="85" t="s">
        <v>262</v>
      </c>
      <c r="H528" s="85" t="s">
        <v>255</v>
      </c>
      <c r="I528" s="85" t="s">
        <v>256</v>
      </c>
      <c r="J528" s="85" t="s">
        <v>342</v>
      </c>
      <c r="K528" s="85" t="s">
        <v>257</v>
      </c>
      <c r="L528" s="85" t="s">
        <v>335</v>
      </c>
      <c r="M528" s="85" t="s">
        <v>169</v>
      </c>
      <c r="N528" s="85" t="s">
        <v>169</v>
      </c>
      <c r="O528" s="85" t="s">
        <v>177</v>
      </c>
      <c r="P528" s="85" t="s">
        <v>1459</v>
      </c>
      <c r="Q528" s="85" t="s">
        <v>1630</v>
      </c>
      <c r="R528" s="85">
        <v>2</v>
      </c>
      <c r="S528" s="85">
        <v>204</v>
      </c>
      <c r="T528" s="2">
        <v>44126</v>
      </c>
      <c r="U528" s="2">
        <v>44158</v>
      </c>
    </row>
    <row r="529" spans="1:21" x14ac:dyDescent="0.2">
      <c r="A529" s="3" t="str">
        <f>HYPERLINK("http://www.ofsted.gov.uk/inspection-reports/find-inspection-report/provider/ELS/139299 ","Ofsted School Webpage")</f>
        <v>Ofsted School Webpage</v>
      </c>
      <c r="B529" s="85">
        <v>139299</v>
      </c>
      <c r="C529" s="85">
        <v>8792691</v>
      </c>
      <c r="D529" s="85" t="s">
        <v>1631</v>
      </c>
      <c r="E529" s="85" t="s">
        <v>81</v>
      </c>
      <c r="F529" s="85" t="s">
        <v>400</v>
      </c>
      <c r="G529" s="2">
        <v>41334</v>
      </c>
      <c r="H529" s="85" t="s">
        <v>255</v>
      </c>
      <c r="I529" s="85" t="s">
        <v>256</v>
      </c>
      <c r="J529" s="85" t="s">
        <v>257</v>
      </c>
      <c r="K529" s="85" t="s">
        <v>257</v>
      </c>
      <c r="L529" s="85" t="s">
        <v>258</v>
      </c>
      <c r="M529" s="85" t="s">
        <v>188</v>
      </c>
      <c r="N529" s="85" t="s">
        <v>188</v>
      </c>
      <c r="O529" s="85" t="s">
        <v>191</v>
      </c>
      <c r="P529" s="85" t="s">
        <v>326</v>
      </c>
      <c r="Q529" s="85" t="s">
        <v>1632</v>
      </c>
      <c r="R529" s="85">
        <v>2</v>
      </c>
      <c r="S529" s="85">
        <v>218</v>
      </c>
      <c r="T529" s="2">
        <v>44126</v>
      </c>
      <c r="U529" s="2">
        <v>44159</v>
      </c>
    </row>
    <row r="530" spans="1:21" x14ac:dyDescent="0.2">
      <c r="A530" s="3" t="str">
        <f>HYPERLINK("http://www.ofsted.gov.uk/inspection-reports/find-inspection-report/provider/ELS/135942 ","Ofsted School Webpage")</f>
        <v>Ofsted School Webpage</v>
      </c>
      <c r="B530" s="85">
        <v>135942</v>
      </c>
      <c r="C530" s="85">
        <v>3716906</v>
      </c>
      <c r="D530" s="85" t="s">
        <v>1633</v>
      </c>
      <c r="E530" s="85" t="s">
        <v>82</v>
      </c>
      <c r="F530" s="85" t="s">
        <v>404</v>
      </c>
      <c r="G530" s="2">
        <v>40057</v>
      </c>
      <c r="H530" s="85" t="s">
        <v>275</v>
      </c>
      <c r="I530" s="85" t="s">
        <v>256</v>
      </c>
      <c r="J530" s="85" t="s">
        <v>257</v>
      </c>
      <c r="K530" s="85" t="s">
        <v>257</v>
      </c>
      <c r="L530" s="85" t="s">
        <v>258</v>
      </c>
      <c r="M530" s="85" t="s">
        <v>236</v>
      </c>
      <c r="N530" s="85" t="s">
        <v>218</v>
      </c>
      <c r="O530" s="85" t="s">
        <v>225</v>
      </c>
      <c r="P530" s="85" t="s">
        <v>534</v>
      </c>
      <c r="Q530" s="85" t="s">
        <v>1634</v>
      </c>
      <c r="R530" s="85">
        <v>5</v>
      </c>
      <c r="S530" s="85">
        <v>742</v>
      </c>
      <c r="T530" s="2">
        <v>44126</v>
      </c>
      <c r="U530" s="2">
        <v>44161</v>
      </c>
    </row>
    <row r="531" spans="1:21" x14ac:dyDescent="0.2">
      <c r="A531" s="3" t="str">
        <f>HYPERLINK("http://www.ofsted.gov.uk/inspection-reports/find-inspection-report/provider/ELS/141245 ","Ofsted School Webpage")</f>
        <v>Ofsted School Webpage</v>
      </c>
      <c r="B531" s="85">
        <v>141245</v>
      </c>
      <c r="C531" s="85">
        <v>3364001</v>
      </c>
      <c r="D531" s="85" t="s">
        <v>1635</v>
      </c>
      <c r="E531" s="85" t="s">
        <v>82</v>
      </c>
      <c r="F531" s="85" t="s">
        <v>404</v>
      </c>
      <c r="G531" s="2">
        <v>42005</v>
      </c>
      <c r="H531" s="85" t="s">
        <v>275</v>
      </c>
      <c r="I531" s="85" t="s">
        <v>276</v>
      </c>
      <c r="J531" s="85" t="s">
        <v>257</v>
      </c>
      <c r="K531" s="85" t="s">
        <v>405</v>
      </c>
      <c r="L531" s="85" t="s">
        <v>258</v>
      </c>
      <c r="M531" s="85" t="s">
        <v>203</v>
      </c>
      <c r="N531" s="85" t="s">
        <v>203</v>
      </c>
      <c r="O531" s="85" t="s">
        <v>208</v>
      </c>
      <c r="P531" s="85" t="s">
        <v>647</v>
      </c>
      <c r="Q531" s="85" t="s">
        <v>1636</v>
      </c>
      <c r="R531" s="85">
        <v>5</v>
      </c>
      <c r="S531" s="85">
        <v>821</v>
      </c>
      <c r="T531" s="2">
        <v>44126</v>
      </c>
      <c r="U531" s="2">
        <v>44160</v>
      </c>
    </row>
    <row r="532" spans="1:21" x14ac:dyDescent="0.2">
      <c r="A532" s="3" t="str">
        <f>HYPERLINK("http://www.ofsted.gov.uk/inspection-reports/find-inspection-report/provider/ELS/139612 ","Ofsted School Webpage")</f>
        <v>Ofsted School Webpage</v>
      </c>
      <c r="B532" s="85">
        <v>139612</v>
      </c>
      <c r="C532" s="85">
        <v>8212230</v>
      </c>
      <c r="D532" s="85" t="s">
        <v>1637</v>
      </c>
      <c r="E532" s="85" t="s">
        <v>81</v>
      </c>
      <c r="F532" s="85" t="s">
        <v>400</v>
      </c>
      <c r="G532" s="2">
        <v>41395</v>
      </c>
      <c r="H532" s="85" t="s">
        <v>255</v>
      </c>
      <c r="I532" s="85" t="s">
        <v>256</v>
      </c>
      <c r="J532" s="85" t="s">
        <v>257</v>
      </c>
      <c r="K532" s="85" t="s">
        <v>257</v>
      </c>
      <c r="L532" s="85" t="s">
        <v>258</v>
      </c>
      <c r="M532" s="85" t="s">
        <v>95</v>
      </c>
      <c r="N532" s="85" t="s">
        <v>95</v>
      </c>
      <c r="O532" s="85" t="s">
        <v>101</v>
      </c>
      <c r="P532" s="85" t="s">
        <v>1212</v>
      </c>
      <c r="Q532" s="85" t="s">
        <v>1638</v>
      </c>
      <c r="R532" s="85">
        <v>3</v>
      </c>
      <c r="S532" s="85">
        <v>300</v>
      </c>
      <c r="T532" s="2">
        <v>44126</v>
      </c>
      <c r="U532" s="2">
        <v>44152</v>
      </c>
    </row>
    <row r="533" spans="1:21" x14ac:dyDescent="0.2">
      <c r="A533" s="3" t="str">
        <f>HYPERLINK("http://www.ofsted.gov.uk/inspection-reports/find-inspection-report/provider/ELS/140756 ","Ofsted School Webpage")</f>
        <v>Ofsted School Webpage</v>
      </c>
      <c r="B533" s="85">
        <v>140756</v>
      </c>
      <c r="C533" s="85">
        <v>8383405</v>
      </c>
      <c r="D533" s="85" t="s">
        <v>1639</v>
      </c>
      <c r="E533" s="85" t="s">
        <v>81</v>
      </c>
      <c r="F533" s="85" t="s">
        <v>400</v>
      </c>
      <c r="G533" s="2">
        <v>41730</v>
      </c>
      <c r="H533" s="85" t="s">
        <v>255</v>
      </c>
      <c r="I533" s="85" t="s">
        <v>256</v>
      </c>
      <c r="J533" s="85" t="s">
        <v>334</v>
      </c>
      <c r="K533" s="85" t="s">
        <v>257</v>
      </c>
      <c r="L533" s="85" t="s">
        <v>335</v>
      </c>
      <c r="M533" s="85" t="s">
        <v>188</v>
      </c>
      <c r="N533" s="85" t="s">
        <v>188</v>
      </c>
      <c r="O533" s="85" t="s">
        <v>190</v>
      </c>
      <c r="P533" s="85" t="s">
        <v>892</v>
      </c>
      <c r="Q533" s="85" t="s">
        <v>1640</v>
      </c>
      <c r="R533" s="85">
        <v>1</v>
      </c>
      <c r="S533" s="85">
        <v>113</v>
      </c>
      <c r="T533" s="2">
        <v>44126</v>
      </c>
      <c r="U533" s="2">
        <v>44151</v>
      </c>
    </row>
    <row r="534" spans="1:21" x14ac:dyDescent="0.2">
      <c r="A534" s="3" t="str">
        <f>HYPERLINK("http://www.ofsted.gov.uk/inspection-reports/find-inspection-report/provider/ELS/139881 ","Ofsted School Webpage")</f>
        <v>Ofsted School Webpage</v>
      </c>
      <c r="B534" s="85">
        <v>139881</v>
      </c>
      <c r="C534" s="85">
        <v>3723335</v>
      </c>
      <c r="D534" s="85" t="s">
        <v>1641</v>
      </c>
      <c r="E534" s="85" t="s">
        <v>81</v>
      </c>
      <c r="F534" s="85" t="s">
        <v>400</v>
      </c>
      <c r="G534" s="2">
        <v>41456</v>
      </c>
      <c r="H534" s="85" t="s">
        <v>255</v>
      </c>
      <c r="I534" s="85" t="s">
        <v>256</v>
      </c>
      <c r="J534" s="85" t="s">
        <v>334</v>
      </c>
      <c r="K534" s="85" t="s">
        <v>257</v>
      </c>
      <c r="L534" s="85" t="s">
        <v>335</v>
      </c>
      <c r="M534" s="85" t="s">
        <v>236</v>
      </c>
      <c r="N534" s="85" t="s">
        <v>218</v>
      </c>
      <c r="O534" s="85" t="s">
        <v>219</v>
      </c>
      <c r="P534" s="85" t="s">
        <v>263</v>
      </c>
      <c r="Q534" s="85" t="s">
        <v>1642</v>
      </c>
      <c r="R534" s="85">
        <v>5</v>
      </c>
      <c r="S534" s="85">
        <v>198</v>
      </c>
      <c r="T534" s="2">
        <v>44126</v>
      </c>
      <c r="U534" s="2">
        <v>44153</v>
      </c>
    </row>
    <row r="535" spans="1:21" x14ac:dyDescent="0.2">
      <c r="A535" s="3" t="str">
        <f>HYPERLINK("http://www.ofsted.gov.uk/inspection-reports/find-inspection-report/provider/ELS/137284 ","Ofsted School Webpage")</f>
        <v>Ofsted School Webpage</v>
      </c>
      <c r="B535" s="85">
        <v>137284</v>
      </c>
      <c r="C535" s="85">
        <v>8825414</v>
      </c>
      <c r="D535" s="85" t="s">
        <v>1643</v>
      </c>
      <c r="E535" s="85" t="s">
        <v>82</v>
      </c>
      <c r="F535" s="85" t="s">
        <v>400</v>
      </c>
      <c r="G535" s="2">
        <v>40772</v>
      </c>
      <c r="H535" s="85" t="s">
        <v>275</v>
      </c>
      <c r="I535" s="85" t="s">
        <v>256</v>
      </c>
      <c r="J535" s="85" t="s">
        <v>405</v>
      </c>
      <c r="K535" s="85" t="s">
        <v>257</v>
      </c>
      <c r="L535" s="85" t="s">
        <v>258</v>
      </c>
      <c r="M535" s="85" t="s">
        <v>95</v>
      </c>
      <c r="N535" s="85" t="s">
        <v>95</v>
      </c>
      <c r="O535" s="85" t="s">
        <v>106</v>
      </c>
      <c r="P535" s="85" t="s">
        <v>1644</v>
      </c>
      <c r="Q535" s="85" t="s">
        <v>1645</v>
      </c>
      <c r="R535" s="85">
        <v>3</v>
      </c>
      <c r="S535" s="85">
        <v>1032</v>
      </c>
      <c r="T535" s="2">
        <v>44126</v>
      </c>
      <c r="U535" s="2">
        <v>44152</v>
      </c>
    </row>
    <row r="536" spans="1:21" x14ac:dyDescent="0.2">
      <c r="A536" s="3" t="str">
        <f>HYPERLINK("http://www.ofsted.gov.uk/inspection-reports/find-inspection-report/provider/ELS/142393 ","Ofsted School Webpage")</f>
        <v>Ofsted School Webpage</v>
      </c>
      <c r="B536" s="85">
        <v>142393</v>
      </c>
      <c r="C536" s="85">
        <v>8872014</v>
      </c>
      <c r="D536" s="85" t="s">
        <v>1646</v>
      </c>
      <c r="E536" s="85" t="s">
        <v>81</v>
      </c>
      <c r="F536" s="85" t="s">
        <v>404</v>
      </c>
      <c r="G536" s="2">
        <v>42401</v>
      </c>
      <c r="H536" s="85" t="s">
        <v>255</v>
      </c>
      <c r="I536" s="85" t="s">
        <v>256</v>
      </c>
      <c r="J536" s="85" t="s">
        <v>257</v>
      </c>
      <c r="K536" s="85" t="s">
        <v>405</v>
      </c>
      <c r="L536" s="85" t="s">
        <v>258</v>
      </c>
      <c r="M536" s="85" t="s">
        <v>169</v>
      </c>
      <c r="N536" s="85" t="s">
        <v>169</v>
      </c>
      <c r="O536" s="85" t="s">
        <v>172</v>
      </c>
      <c r="P536" s="85" t="s">
        <v>1647</v>
      </c>
      <c r="Q536" s="85" t="s">
        <v>1648</v>
      </c>
      <c r="R536" s="85">
        <v>4</v>
      </c>
      <c r="S536" s="85">
        <v>453</v>
      </c>
      <c r="T536" s="2">
        <v>44126</v>
      </c>
      <c r="U536" s="2">
        <v>44161</v>
      </c>
    </row>
    <row r="537" spans="1:21" x14ac:dyDescent="0.2">
      <c r="A537" s="3" t="str">
        <f>HYPERLINK("http://www.ofsted.gov.uk/inspection-reports/find-inspection-report/provider/ELS/142800 ","Ofsted School Webpage")</f>
        <v>Ofsted School Webpage</v>
      </c>
      <c r="B537" s="85">
        <v>142800</v>
      </c>
      <c r="C537" s="85">
        <v>9332048</v>
      </c>
      <c r="D537" s="85" t="s">
        <v>1649</v>
      </c>
      <c r="E537" s="85" t="s">
        <v>81</v>
      </c>
      <c r="F537" s="85" t="s">
        <v>400</v>
      </c>
      <c r="G537" s="2">
        <v>42491</v>
      </c>
      <c r="H537" s="85" t="s">
        <v>255</v>
      </c>
      <c r="I537" s="85" t="s">
        <v>256</v>
      </c>
      <c r="J537" s="85" t="s">
        <v>257</v>
      </c>
      <c r="K537" s="85" t="s">
        <v>257</v>
      </c>
      <c r="L537" s="85" t="s">
        <v>258</v>
      </c>
      <c r="M537" s="85" t="s">
        <v>188</v>
      </c>
      <c r="N537" s="85" t="s">
        <v>188</v>
      </c>
      <c r="O537" s="85" t="s">
        <v>195</v>
      </c>
      <c r="P537" s="85" t="s">
        <v>409</v>
      </c>
      <c r="Q537" s="85" t="s">
        <v>1650</v>
      </c>
      <c r="R537" s="85">
        <v>3</v>
      </c>
      <c r="S537" s="85">
        <v>332</v>
      </c>
      <c r="T537" s="2">
        <v>44126</v>
      </c>
      <c r="U537" s="2">
        <v>44154</v>
      </c>
    </row>
    <row r="538" spans="1:21" x14ac:dyDescent="0.2">
      <c r="A538" s="3" t="str">
        <f>HYPERLINK("http://www.ofsted.gov.uk/inspection-reports/find-inspection-report/provider/ELS/139631 ","Ofsted School Webpage")</f>
        <v>Ofsted School Webpage</v>
      </c>
      <c r="B538" s="85">
        <v>139631</v>
      </c>
      <c r="C538" s="85">
        <v>3302452</v>
      </c>
      <c r="D538" s="85" t="s">
        <v>1651</v>
      </c>
      <c r="E538" s="85" t="s">
        <v>81</v>
      </c>
      <c r="F538" s="85" t="s">
        <v>400</v>
      </c>
      <c r="G538" s="2">
        <v>41395</v>
      </c>
      <c r="H538" s="85" t="s">
        <v>255</v>
      </c>
      <c r="I538" s="85" t="s">
        <v>256</v>
      </c>
      <c r="J538" s="85" t="s">
        <v>257</v>
      </c>
      <c r="K538" s="85" t="s">
        <v>257</v>
      </c>
      <c r="L538" s="85" t="s">
        <v>258</v>
      </c>
      <c r="M538" s="85" t="s">
        <v>203</v>
      </c>
      <c r="N538" s="85" t="s">
        <v>203</v>
      </c>
      <c r="O538" s="85" t="s">
        <v>209</v>
      </c>
      <c r="P538" s="85" t="s">
        <v>303</v>
      </c>
      <c r="Q538" s="85" t="s">
        <v>1652</v>
      </c>
      <c r="R538" s="85">
        <v>5</v>
      </c>
      <c r="S538" s="85">
        <v>204</v>
      </c>
      <c r="T538" s="2">
        <v>44126</v>
      </c>
      <c r="U538" s="2">
        <v>44154</v>
      </c>
    </row>
    <row r="539" spans="1:21" x14ac:dyDescent="0.2">
      <c r="A539" s="3" t="str">
        <f>HYPERLINK("http://www.ofsted.gov.uk/inspection-reports/find-inspection-report/provider/ELS/140905 ","Ofsted School Webpage")</f>
        <v>Ofsted School Webpage</v>
      </c>
      <c r="B539" s="85">
        <v>140905</v>
      </c>
      <c r="C539" s="85">
        <v>8103400</v>
      </c>
      <c r="D539" s="85" t="s">
        <v>1653</v>
      </c>
      <c r="E539" s="85" t="s">
        <v>81</v>
      </c>
      <c r="F539" s="85" t="s">
        <v>400</v>
      </c>
      <c r="G539" s="2">
        <v>41791</v>
      </c>
      <c r="H539" s="85" t="s">
        <v>255</v>
      </c>
      <c r="I539" s="85" t="s">
        <v>256</v>
      </c>
      <c r="J539" s="85" t="s">
        <v>334</v>
      </c>
      <c r="K539" s="85" t="s">
        <v>257</v>
      </c>
      <c r="L539" s="85" t="s">
        <v>335</v>
      </c>
      <c r="M539" s="85" t="s">
        <v>236</v>
      </c>
      <c r="N539" s="85" t="s">
        <v>218</v>
      </c>
      <c r="O539" s="85" t="s">
        <v>230</v>
      </c>
      <c r="P539" s="85" t="s">
        <v>1654</v>
      </c>
      <c r="Q539" s="85" t="s">
        <v>1655</v>
      </c>
      <c r="R539" s="85">
        <v>4</v>
      </c>
      <c r="S539" s="85">
        <v>324</v>
      </c>
      <c r="T539" s="2">
        <v>44126</v>
      </c>
      <c r="U539" s="2">
        <v>44166</v>
      </c>
    </row>
    <row r="540" spans="1:21" x14ac:dyDescent="0.2">
      <c r="A540" s="3" t="str">
        <f>HYPERLINK("http://www.ofsted.gov.uk/inspection-reports/find-inspection-report/provider/ELS/140919 ","Ofsted School Webpage")</f>
        <v>Ofsted School Webpage</v>
      </c>
      <c r="B540" s="85">
        <v>140919</v>
      </c>
      <c r="C540" s="85">
        <v>8072166</v>
      </c>
      <c r="D540" s="85" t="s">
        <v>1656</v>
      </c>
      <c r="E540" s="85" t="s">
        <v>81</v>
      </c>
      <c r="F540" s="85" t="s">
        <v>400</v>
      </c>
      <c r="G540" s="2">
        <v>41791</v>
      </c>
      <c r="H540" s="85" t="s">
        <v>255</v>
      </c>
      <c r="I540" s="85" t="s">
        <v>256</v>
      </c>
      <c r="J540" s="85" t="s">
        <v>257</v>
      </c>
      <c r="K540" s="85" t="s">
        <v>257</v>
      </c>
      <c r="L540" s="85" t="s">
        <v>258</v>
      </c>
      <c r="M540" s="85" t="s">
        <v>236</v>
      </c>
      <c r="N540" s="85" t="s">
        <v>135</v>
      </c>
      <c r="O540" s="85" t="s">
        <v>141</v>
      </c>
      <c r="P540" s="85" t="s">
        <v>1239</v>
      </c>
      <c r="Q540" s="85" t="s">
        <v>1657</v>
      </c>
      <c r="R540" s="85">
        <v>2</v>
      </c>
      <c r="S540" s="85">
        <v>240</v>
      </c>
      <c r="T540" s="2">
        <v>44126</v>
      </c>
      <c r="U540" s="2">
        <v>44153</v>
      </c>
    </row>
    <row r="541" spans="1:21" x14ac:dyDescent="0.2">
      <c r="A541" s="3" t="str">
        <f>HYPERLINK("http://www.ofsted.gov.uk/inspection-reports/find-inspection-report/provider/ELS/144079 ","Ofsted School Webpage")</f>
        <v>Ofsted School Webpage</v>
      </c>
      <c r="B541" s="85">
        <v>144079</v>
      </c>
      <c r="C541" s="85">
        <v>3322147</v>
      </c>
      <c r="D541" s="85" t="s">
        <v>1658</v>
      </c>
      <c r="E541" s="85" t="s">
        <v>81</v>
      </c>
      <c r="F541" s="85" t="s">
        <v>400</v>
      </c>
      <c r="G541" s="2">
        <v>43040</v>
      </c>
      <c r="H541" s="85" t="s">
        <v>255</v>
      </c>
      <c r="I541" s="85" t="s">
        <v>256</v>
      </c>
      <c r="J541" s="85" t="s">
        <v>257</v>
      </c>
      <c r="K541" s="85" t="s">
        <v>257</v>
      </c>
      <c r="L541" s="85" t="s">
        <v>258</v>
      </c>
      <c r="M541" s="85" t="s">
        <v>203</v>
      </c>
      <c r="N541" s="85" t="s">
        <v>203</v>
      </c>
      <c r="O541" s="85" t="s">
        <v>217</v>
      </c>
      <c r="P541" s="85" t="s">
        <v>1185</v>
      </c>
      <c r="Q541" s="85" t="s">
        <v>1659</v>
      </c>
      <c r="R541" s="85">
        <v>5</v>
      </c>
      <c r="S541" s="85">
        <v>481</v>
      </c>
      <c r="T541" s="2">
        <v>44126</v>
      </c>
      <c r="U541" s="2">
        <v>44160</v>
      </c>
    </row>
    <row r="542" spans="1:21" x14ac:dyDescent="0.2">
      <c r="A542" s="3" t="str">
        <f>HYPERLINK("http://www.ofsted.gov.uk/inspection-reports/find-inspection-report/provider/ELS/144537 ","Ofsted School Webpage")</f>
        <v>Ofsted School Webpage</v>
      </c>
      <c r="B542" s="85">
        <v>144537</v>
      </c>
      <c r="C542" s="85">
        <v>8735205</v>
      </c>
      <c r="D542" s="85" t="s">
        <v>1660</v>
      </c>
      <c r="E542" s="85" t="s">
        <v>81</v>
      </c>
      <c r="F542" s="85" t="s">
        <v>400</v>
      </c>
      <c r="G542" s="2">
        <v>42917</v>
      </c>
      <c r="H542" s="85" t="s">
        <v>255</v>
      </c>
      <c r="I542" s="85" t="s">
        <v>256</v>
      </c>
      <c r="J542" s="85" t="s">
        <v>405</v>
      </c>
      <c r="K542" s="85" t="s">
        <v>257</v>
      </c>
      <c r="L542" s="85" t="s">
        <v>258</v>
      </c>
      <c r="M542" s="85" t="s">
        <v>95</v>
      </c>
      <c r="N542" s="85" t="s">
        <v>95</v>
      </c>
      <c r="O542" s="85" t="s">
        <v>97</v>
      </c>
      <c r="P542" s="85" t="s">
        <v>438</v>
      </c>
      <c r="Q542" s="85" t="s">
        <v>1661</v>
      </c>
      <c r="R542" s="85">
        <v>2</v>
      </c>
      <c r="S542" s="85">
        <v>418</v>
      </c>
      <c r="T542" s="2">
        <v>44126</v>
      </c>
      <c r="U542" s="2">
        <v>44158</v>
      </c>
    </row>
    <row r="543" spans="1:21" x14ac:dyDescent="0.2">
      <c r="A543" s="3" t="str">
        <f>HYPERLINK("http://www.ofsted.gov.uk/inspection-reports/find-inspection-report/provider/ELS/138967 ","Ofsted School Webpage")</f>
        <v>Ofsted School Webpage</v>
      </c>
      <c r="B543" s="85">
        <v>138967</v>
      </c>
      <c r="C543" s="85">
        <v>9281100</v>
      </c>
      <c r="D543" s="85" t="s">
        <v>1662</v>
      </c>
      <c r="E543" s="85" t="s">
        <v>84</v>
      </c>
      <c r="F543" s="85" t="s">
        <v>860</v>
      </c>
      <c r="G543" s="2">
        <v>41214</v>
      </c>
      <c r="H543" s="85" t="s">
        <v>255</v>
      </c>
      <c r="I543" s="85" t="s">
        <v>255</v>
      </c>
      <c r="J543" s="85" t="s">
        <v>257</v>
      </c>
      <c r="K543" s="85" t="s">
        <v>405</v>
      </c>
      <c r="L543" s="85" t="s">
        <v>258</v>
      </c>
      <c r="M543" s="85" t="s">
        <v>85</v>
      </c>
      <c r="N543" s="85" t="s">
        <v>85</v>
      </c>
      <c r="O543" s="85" t="s">
        <v>92</v>
      </c>
      <c r="P543" s="85" t="s">
        <v>1663</v>
      </c>
      <c r="Q543" s="85" t="s">
        <v>1664</v>
      </c>
      <c r="R543" s="85">
        <v>3</v>
      </c>
      <c r="S543" s="85">
        <v>159</v>
      </c>
      <c r="T543" s="2">
        <v>44126</v>
      </c>
      <c r="U543" s="2">
        <v>44154</v>
      </c>
    </row>
    <row r="544" spans="1:21" x14ac:dyDescent="0.2">
      <c r="A544" s="3" t="str">
        <f>HYPERLINK("http://www.ofsted.gov.uk/inspection-reports/find-inspection-report/provider/ELS/137977 ","Ofsted School Webpage")</f>
        <v>Ofsted School Webpage</v>
      </c>
      <c r="B544" s="85">
        <v>137977</v>
      </c>
      <c r="C544" s="85">
        <v>9255212</v>
      </c>
      <c r="D544" s="85" t="s">
        <v>1665</v>
      </c>
      <c r="E544" s="85" t="s">
        <v>81</v>
      </c>
      <c r="F544" s="85" t="s">
        <v>400</v>
      </c>
      <c r="G544" s="2">
        <v>41000</v>
      </c>
      <c r="H544" s="85" t="s">
        <v>255</v>
      </c>
      <c r="I544" s="85" t="s">
        <v>256</v>
      </c>
      <c r="J544" s="85" t="s">
        <v>405</v>
      </c>
      <c r="K544" s="85" t="s">
        <v>257</v>
      </c>
      <c r="L544" s="85" t="s">
        <v>258</v>
      </c>
      <c r="M544" s="85" t="s">
        <v>85</v>
      </c>
      <c r="N544" s="85" t="s">
        <v>85</v>
      </c>
      <c r="O544" s="85" t="s">
        <v>89</v>
      </c>
      <c r="P544" s="85" t="s">
        <v>1666</v>
      </c>
      <c r="Q544" s="85" t="s">
        <v>1667</v>
      </c>
      <c r="R544" s="85">
        <v>2</v>
      </c>
      <c r="S544" s="85">
        <v>275</v>
      </c>
      <c r="T544" s="2">
        <v>44126</v>
      </c>
      <c r="U544" s="2">
        <v>44154</v>
      </c>
    </row>
    <row r="545" spans="1:21" x14ac:dyDescent="0.2">
      <c r="A545" s="3" t="str">
        <f>HYPERLINK("http://www.ofsted.gov.uk/inspection-reports/find-inspection-report/provider/ELS/139887 ","Ofsted School Webpage")</f>
        <v>Ofsted School Webpage</v>
      </c>
      <c r="B545" s="85">
        <v>139887</v>
      </c>
      <c r="C545" s="85">
        <v>8782072</v>
      </c>
      <c r="D545" s="85" t="s">
        <v>1668</v>
      </c>
      <c r="E545" s="85" t="s">
        <v>81</v>
      </c>
      <c r="F545" s="85" t="s">
        <v>400</v>
      </c>
      <c r="G545" s="2">
        <v>41456</v>
      </c>
      <c r="H545" s="85" t="s">
        <v>255</v>
      </c>
      <c r="I545" s="85" t="s">
        <v>256</v>
      </c>
      <c r="J545" s="85" t="s">
        <v>257</v>
      </c>
      <c r="K545" s="85" t="s">
        <v>257</v>
      </c>
      <c r="L545" s="85" t="s">
        <v>258</v>
      </c>
      <c r="M545" s="85" t="s">
        <v>188</v>
      </c>
      <c r="N545" s="85" t="s">
        <v>188</v>
      </c>
      <c r="O545" s="85" t="s">
        <v>197</v>
      </c>
      <c r="P545" s="85" t="s">
        <v>666</v>
      </c>
      <c r="Q545" s="85" t="s">
        <v>1669</v>
      </c>
      <c r="R545" s="85">
        <v>2</v>
      </c>
      <c r="S545" s="85">
        <v>222</v>
      </c>
      <c r="T545" s="2">
        <v>44126</v>
      </c>
      <c r="U545" s="2">
        <v>44152</v>
      </c>
    </row>
    <row r="546" spans="1:21" x14ac:dyDescent="0.2">
      <c r="A546" s="3" t="str">
        <f>HYPERLINK("http://www.ofsted.gov.uk/inspection-reports/find-inspection-report/provider/ELS/143206 ","Ofsted School Webpage")</f>
        <v>Ofsted School Webpage</v>
      </c>
      <c r="B546" s="85">
        <v>143206</v>
      </c>
      <c r="C546" s="85">
        <v>8812014</v>
      </c>
      <c r="D546" s="85" t="s">
        <v>1670</v>
      </c>
      <c r="E546" s="85" t="s">
        <v>81</v>
      </c>
      <c r="F546" s="85" t="s">
        <v>400</v>
      </c>
      <c r="G546" s="2">
        <v>42644</v>
      </c>
      <c r="H546" s="85" t="s">
        <v>255</v>
      </c>
      <c r="I546" s="85" t="s">
        <v>256</v>
      </c>
      <c r="J546" s="85" t="s">
        <v>257</v>
      </c>
      <c r="K546" s="85" t="s">
        <v>257</v>
      </c>
      <c r="L546" s="85" t="s">
        <v>258</v>
      </c>
      <c r="M546" s="85" t="s">
        <v>95</v>
      </c>
      <c r="N546" s="85" t="s">
        <v>95</v>
      </c>
      <c r="O546" s="85" t="s">
        <v>104</v>
      </c>
      <c r="P546" s="85" t="s">
        <v>1348</v>
      </c>
      <c r="Q546" s="85" t="s">
        <v>1671</v>
      </c>
      <c r="R546" s="85">
        <v>5</v>
      </c>
      <c r="S546" s="85">
        <v>627</v>
      </c>
      <c r="T546" s="2">
        <v>44126</v>
      </c>
      <c r="U546" s="2">
        <v>44164</v>
      </c>
    </row>
    <row r="547" spans="1:21" x14ac:dyDescent="0.2">
      <c r="A547" s="3" t="str">
        <f>HYPERLINK("http://www.ofsted.gov.uk/inspection-reports/find-inspection-report/provider/ELS/141067 ","Ofsted School Webpage")</f>
        <v>Ofsted School Webpage</v>
      </c>
      <c r="B547" s="85">
        <v>141067</v>
      </c>
      <c r="C547" s="85">
        <v>8863743</v>
      </c>
      <c r="D547" s="85" t="s">
        <v>1672</v>
      </c>
      <c r="E547" s="85" t="s">
        <v>81</v>
      </c>
      <c r="F547" s="85" t="s">
        <v>400</v>
      </c>
      <c r="G547" s="2">
        <v>41821</v>
      </c>
      <c r="H547" s="85" t="s">
        <v>255</v>
      </c>
      <c r="I547" s="85" t="s">
        <v>256</v>
      </c>
      <c r="J547" s="85" t="s">
        <v>334</v>
      </c>
      <c r="K547" s="85" t="s">
        <v>257</v>
      </c>
      <c r="L547" s="85" t="s">
        <v>335</v>
      </c>
      <c r="M547" s="85" t="s">
        <v>169</v>
      </c>
      <c r="N547" s="85" t="s">
        <v>169</v>
      </c>
      <c r="O547" s="85" t="s">
        <v>171</v>
      </c>
      <c r="P547" s="85" t="s">
        <v>719</v>
      </c>
      <c r="Q547" s="85" t="s">
        <v>1673</v>
      </c>
      <c r="R547" s="85">
        <v>4</v>
      </c>
      <c r="S547" s="85">
        <v>206</v>
      </c>
      <c r="T547" s="2">
        <v>44126</v>
      </c>
      <c r="U547" s="2">
        <v>44153</v>
      </c>
    </row>
    <row r="548" spans="1:21" x14ac:dyDescent="0.2">
      <c r="A548" s="3" t="str">
        <f>HYPERLINK("http://www.ofsted.gov.uk/inspection-reports/find-inspection-report/provider/ELS/136767 ","Ofsted School Webpage")</f>
        <v>Ofsted School Webpage</v>
      </c>
      <c r="B548" s="85">
        <v>136767</v>
      </c>
      <c r="C548" s="85">
        <v>9165400</v>
      </c>
      <c r="D548" s="85" t="s">
        <v>1674</v>
      </c>
      <c r="E548" s="85" t="s">
        <v>82</v>
      </c>
      <c r="F548" s="85" t="s">
        <v>400</v>
      </c>
      <c r="G548" s="2">
        <v>40695</v>
      </c>
      <c r="H548" s="85" t="s">
        <v>1675</v>
      </c>
      <c r="I548" s="85" t="s">
        <v>276</v>
      </c>
      <c r="J548" s="85" t="s">
        <v>405</v>
      </c>
      <c r="K548" s="85" t="s">
        <v>257</v>
      </c>
      <c r="L548" s="85" t="s">
        <v>258</v>
      </c>
      <c r="M548" s="85" t="s">
        <v>188</v>
      </c>
      <c r="N548" s="85" t="s">
        <v>188</v>
      </c>
      <c r="O548" s="85" t="s">
        <v>194</v>
      </c>
      <c r="P548" s="85" t="s">
        <v>764</v>
      </c>
      <c r="Q548" s="85" t="s">
        <v>1676</v>
      </c>
      <c r="R548" s="85">
        <v>2</v>
      </c>
      <c r="S548" s="85">
        <v>816</v>
      </c>
      <c r="T548" s="2">
        <v>44126</v>
      </c>
      <c r="U548" s="2">
        <v>44158</v>
      </c>
    </row>
    <row r="549" spans="1:21" x14ac:dyDescent="0.2">
      <c r="A549" s="3" t="str">
        <f>HYPERLINK("http://www.ofsted.gov.uk/inspection-reports/find-inspection-report/provider/ELS/138833 ","Ofsted School Webpage")</f>
        <v>Ofsted School Webpage</v>
      </c>
      <c r="B549" s="85">
        <v>138833</v>
      </c>
      <c r="C549" s="85">
        <v>8554508</v>
      </c>
      <c r="D549" s="85" t="s">
        <v>1677</v>
      </c>
      <c r="E549" s="85" t="s">
        <v>82</v>
      </c>
      <c r="F549" s="85" t="s">
        <v>400</v>
      </c>
      <c r="G549" s="2">
        <v>41183</v>
      </c>
      <c r="H549" s="85" t="s">
        <v>275</v>
      </c>
      <c r="I549" s="85" t="s">
        <v>276</v>
      </c>
      <c r="J549" s="85" t="s">
        <v>405</v>
      </c>
      <c r="K549" s="85" t="s">
        <v>257</v>
      </c>
      <c r="L549" s="85" t="s">
        <v>258</v>
      </c>
      <c r="M549" s="85" t="s">
        <v>85</v>
      </c>
      <c r="N549" s="85" t="s">
        <v>85</v>
      </c>
      <c r="O549" s="85" t="s">
        <v>93</v>
      </c>
      <c r="P549" s="85" t="s">
        <v>1678</v>
      </c>
      <c r="Q549" s="85" t="s">
        <v>1679</v>
      </c>
      <c r="R549" s="85">
        <v>1</v>
      </c>
      <c r="S549" s="85">
        <v>1762</v>
      </c>
      <c r="T549" s="2">
        <v>44131</v>
      </c>
      <c r="U549" s="2">
        <v>44166</v>
      </c>
    </row>
    <row r="550" spans="1:21" x14ac:dyDescent="0.2">
      <c r="A550" s="3" t="str">
        <f>HYPERLINK("http://www.ofsted.gov.uk/inspection-reports/find-inspection-report/provider/ELS/120124 ","Ofsted School Webpage")</f>
        <v>Ofsted School Webpage</v>
      </c>
      <c r="B550" s="85">
        <v>120124</v>
      </c>
      <c r="C550" s="85">
        <v>8553024</v>
      </c>
      <c r="D550" s="85" t="s">
        <v>1680</v>
      </c>
      <c r="E550" s="85" t="s">
        <v>81</v>
      </c>
      <c r="F550" s="85" t="s">
        <v>360</v>
      </c>
      <c r="G550" s="85" t="s">
        <v>262</v>
      </c>
      <c r="H550" s="85" t="s">
        <v>255</v>
      </c>
      <c r="I550" s="85" t="s">
        <v>256</v>
      </c>
      <c r="J550" s="85" t="s">
        <v>342</v>
      </c>
      <c r="K550" s="85" t="s">
        <v>257</v>
      </c>
      <c r="L550" s="85" t="s">
        <v>335</v>
      </c>
      <c r="M550" s="85" t="s">
        <v>85</v>
      </c>
      <c r="N550" s="85" t="s">
        <v>85</v>
      </c>
      <c r="O550" s="85" t="s">
        <v>93</v>
      </c>
      <c r="P550" s="85" t="s">
        <v>1681</v>
      </c>
      <c r="Q550" s="85" t="s">
        <v>1682</v>
      </c>
      <c r="R550" s="85">
        <v>2</v>
      </c>
      <c r="S550" s="85">
        <v>103</v>
      </c>
      <c r="T550" s="2">
        <v>44133</v>
      </c>
      <c r="U550" s="2">
        <v>44157</v>
      </c>
    </row>
    <row r="551" spans="1:21" x14ac:dyDescent="0.2">
      <c r="A551" s="3" t="str">
        <f>HYPERLINK("http://www.ofsted.gov.uk/inspection-reports/find-inspection-report/provider/ELS/120049 ","Ofsted School Webpage")</f>
        <v>Ofsted School Webpage</v>
      </c>
      <c r="B551" s="85">
        <v>120049</v>
      </c>
      <c r="C551" s="85">
        <v>8552319</v>
      </c>
      <c r="D551" s="85" t="s">
        <v>1683</v>
      </c>
      <c r="E551" s="85" t="s">
        <v>81</v>
      </c>
      <c r="F551" s="85" t="s">
        <v>254</v>
      </c>
      <c r="G551" s="85" t="s">
        <v>262</v>
      </c>
      <c r="H551" s="85" t="s">
        <v>255</v>
      </c>
      <c r="I551" s="85" t="s">
        <v>256</v>
      </c>
      <c r="J551" s="85" t="s">
        <v>257</v>
      </c>
      <c r="K551" s="85" t="s">
        <v>257</v>
      </c>
      <c r="L551" s="85" t="s">
        <v>258</v>
      </c>
      <c r="M551" s="85" t="s">
        <v>85</v>
      </c>
      <c r="N551" s="85" t="s">
        <v>85</v>
      </c>
      <c r="O551" s="85" t="s">
        <v>93</v>
      </c>
      <c r="P551" s="85" t="s">
        <v>1116</v>
      </c>
      <c r="Q551" s="85" t="s">
        <v>1684</v>
      </c>
      <c r="R551" s="85">
        <v>3</v>
      </c>
      <c r="S551" s="85">
        <v>224</v>
      </c>
      <c r="T551" s="2">
        <v>44133</v>
      </c>
      <c r="U551" s="2">
        <v>44160</v>
      </c>
    </row>
    <row r="552" spans="1:21" x14ac:dyDescent="0.2">
      <c r="A552" s="3" t="str">
        <f>HYPERLINK("http://www.ofsted.gov.uk/inspection-reports/find-inspection-report/provider/ELS/108350 ","Ofsted School Webpage")</f>
        <v>Ofsted School Webpage</v>
      </c>
      <c r="B552" s="85">
        <v>108350</v>
      </c>
      <c r="C552" s="85">
        <v>3902184</v>
      </c>
      <c r="D552" s="85" t="s">
        <v>1685</v>
      </c>
      <c r="E552" s="85" t="s">
        <v>81</v>
      </c>
      <c r="F552" s="85" t="s">
        <v>254</v>
      </c>
      <c r="G552" s="85" t="s">
        <v>262</v>
      </c>
      <c r="H552" s="85" t="s">
        <v>275</v>
      </c>
      <c r="I552" s="85" t="s">
        <v>256</v>
      </c>
      <c r="J552" s="85" t="s">
        <v>257</v>
      </c>
      <c r="K552" s="85" t="s">
        <v>257</v>
      </c>
      <c r="L552" s="85" t="s">
        <v>258</v>
      </c>
      <c r="M552" s="85" t="s">
        <v>236</v>
      </c>
      <c r="N552" s="85" t="s">
        <v>135</v>
      </c>
      <c r="O552" s="85" t="s">
        <v>146</v>
      </c>
      <c r="P552" s="85" t="s">
        <v>1686</v>
      </c>
      <c r="Q552" s="85" t="s">
        <v>1687</v>
      </c>
      <c r="R552" s="85">
        <v>3</v>
      </c>
      <c r="S552" s="85">
        <v>430</v>
      </c>
      <c r="T552" s="2">
        <v>44138</v>
      </c>
      <c r="U552" s="2">
        <v>44168</v>
      </c>
    </row>
    <row r="553" spans="1:21" x14ac:dyDescent="0.2">
      <c r="A553" s="3" t="str">
        <f>HYPERLINK("http://www.ofsted.gov.uk/inspection-reports/find-inspection-report/provider/ELS/115916 ","Ofsted School Webpage")</f>
        <v>Ofsted School Webpage</v>
      </c>
      <c r="B553" s="85">
        <v>115916</v>
      </c>
      <c r="C553" s="85">
        <v>8502113</v>
      </c>
      <c r="D553" s="85" t="s">
        <v>1688</v>
      </c>
      <c r="E553" s="85" t="s">
        <v>81</v>
      </c>
      <c r="F553" s="85" t="s">
        <v>254</v>
      </c>
      <c r="G553" s="85" t="s">
        <v>262</v>
      </c>
      <c r="H553" s="85" t="s">
        <v>255</v>
      </c>
      <c r="I553" s="85" t="s">
        <v>256</v>
      </c>
      <c r="J553" s="85" t="s">
        <v>257</v>
      </c>
      <c r="K553" s="85" t="s">
        <v>257</v>
      </c>
      <c r="L553" s="85" t="s">
        <v>258</v>
      </c>
      <c r="M553" s="85" t="s">
        <v>169</v>
      </c>
      <c r="N553" s="85" t="s">
        <v>169</v>
      </c>
      <c r="O553" s="85" t="s">
        <v>170</v>
      </c>
      <c r="P553" s="85" t="s">
        <v>1689</v>
      </c>
      <c r="Q553" s="85" t="s">
        <v>1690</v>
      </c>
      <c r="R553" s="85">
        <v>3</v>
      </c>
      <c r="S553" s="85">
        <v>311</v>
      </c>
      <c r="T553" s="2">
        <v>44138</v>
      </c>
      <c r="U553" s="2">
        <v>44165</v>
      </c>
    </row>
    <row r="554" spans="1:21" x14ac:dyDescent="0.2">
      <c r="A554" s="3" t="str">
        <f>HYPERLINK("http://www.ofsted.gov.uk/inspection-reports/find-inspection-report/provider/ELS/135224 ","Ofsted School Webpage")</f>
        <v>Ofsted School Webpage</v>
      </c>
      <c r="B554" s="85">
        <v>135224</v>
      </c>
      <c r="C554" s="85">
        <v>9193990</v>
      </c>
      <c r="D554" s="85" t="s">
        <v>1691</v>
      </c>
      <c r="E554" s="85" t="s">
        <v>81</v>
      </c>
      <c r="F554" s="85" t="s">
        <v>254</v>
      </c>
      <c r="G554" s="2">
        <v>39692</v>
      </c>
      <c r="H554" s="85" t="s">
        <v>255</v>
      </c>
      <c r="I554" s="85" t="s">
        <v>256</v>
      </c>
      <c r="J554" s="85" t="s">
        <v>257</v>
      </c>
      <c r="K554" s="85" t="s">
        <v>257</v>
      </c>
      <c r="L554" s="85" t="s">
        <v>258</v>
      </c>
      <c r="M554" s="85" t="s">
        <v>95</v>
      </c>
      <c r="N554" s="85" t="s">
        <v>95</v>
      </c>
      <c r="O554" s="85" t="s">
        <v>102</v>
      </c>
      <c r="P554" s="85" t="s">
        <v>1692</v>
      </c>
      <c r="Q554" s="85" t="s">
        <v>1693</v>
      </c>
      <c r="R554" s="85">
        <v>3</v>
      </c>
      <c r="S554" s="85">
        <v>431</v>
      </c>
      <c r="T554" s="2">
        <v>44138</v>
      </c>
      <c r="U554" s="2">
        <v>44168</v>
      </c>
    </row>
    <row r="555" spans="1:21" x14ac:dyDescent="0.2">
      <c r="A555" s="3" t="str">
        <f>HYPERLINK("http://www.ofsted.gov.uk/inspection-reports/find-inspection-report/provider/ELS/116017 ","Ofsted School Webpage")</f>
        <v>Ofsted School Webpage</v>
      </c>
      <c r="B555" s="85">
        <v>116017</v>
      </c>
      <c r="C555" s="85">
        <v>8502287</v>
      </c>
      <c r="D555" s="85" t="s">
        <v>1694</v>
      </c>
      <c r="E555" s="85" t="s">
        <v>81</v>
      </c>
      <c r="F555" s="85" t="s">
        <v>254</v>
      </c>
      <c r="G555" s="85" t="s">
        <v>262</v>
      </c>
      <c r="H555" s="85" t="s">
        <v>255</v>
      </c>
      <c r="I555" s="85" t="s">
        <v>255</v>
      </c>
      <c r="J555" s="85" t="s">
        <v>257</v>
      </c>
      <c r="K555" s="85" t="s">
        <v>257</v>
      </c>
      <c r="L555" s="85" t="s">
        <v>258</v>
      </c>
      <c r="M555" s="85" t="s">
        <v>169</v>
      </c>
      <c r="N555" s="85" t="s">
        <v>169</v>
      </c>
      <c r="O555" s="85" t="s">
        <v>170</v>
      </c>
      <c r="P555" s="85" t="s">
        <v>442</v>
      </c>
      <c r="Q555" s="85" t="s">
        <v>1695</v>
      </c>
      <c r="R555" s="85">
        <v>4</v>
      </c>
      <c r="S555" s="85">
        <v>421</v>
      </c>
      <c r="T555" s="2">
        <v>44138</v>
      </c>
      <c r="U555" s="2">
        <v>44165</v>
      </c>
    </row>
    <row r="556" spans="1:21" x14ac:dyDescent="0.2">
      <c r="A556" s="3" t="str">
        <f>HYPERLINK("http://www.ofsted.gov.uk/inspection-reports/find-inspection-report/provider/ELS/106403 ","Ofsted School Webpage")</f>
        <v>Ofsted School Webpage</v>
      </c>
      <c r="B556" s="85">
        <v>106403</v>
      </c>
      <c r="C556" s="85">
        <v>3592009</v>
      </c>
      <c r="D556" s="85" t="s">
        <v>1696</v>
      </c>
      <c r="E556" s="85" t="s">
        <v>81</v>
      </c>
      <c r="F556" s="85" t="s">
        <v>254</v>
      </c>
      <c r="G556" s="85" t="s">
        <v>262</v>
      </c>
      <c r="H556" s="85" t="s">
        <v>255</v>
      </c>
      <c r="I556" s="85" t="s">
        <v>256</v>
      </c>
      <c r="J556" s="85" t="s">
        <v>257</v>
      </c>
      <c r="K556" s="85" t="s">
        <v>257</v>
      </c>
      <c r="L556" s="85" t="s">
        <v>258</v>
      </c>
      <c r="M556" s="85" t="s">
        <v>148</v>
      </c>
      <c r="N556" s="85" t="s">
        <v>148</v>
      </c>
      <c r="O556" s="85" t="s">
        <v>168</v>
      </c>
      <c r="P556" s="85" t="s">
        <v>168</v>
      </c>
      <c r="Q556" s="85" t="s">
        <v>1697</v>
      </c>
      <c r="R556" s="85">
        <v>5</v>
      </c>
      <c r="S556" s="85">
        <v>368</v>
      </c>
      <c r="T556" s="2">
        <v>44138</v>
      </c>
      <c r="U556" s="2">
        <v>44166</v>
      </c>
    </row>
    <row r="557" spans="1:21" x14ac:dyDescent="0.2">
      <c r="A557" s="3" t="str">
        <f>HYPERLINK("http://www.ofsted.gov.uk/inspection-reports/find-inspection-report/provider/ELS/118357 ","Ofsted School Webpage")</f>
        <v>Ofsted School Webpage</v>
      </c>
      <c r="B557" s="85">
        <v>118357</v>
      </c>
      <c r="C557" s="85">
        <v>8862259</v>
      </c>
      <c r="D557" s="85" t="s">
        <v>1698</v>
      </c>
      <c r="E557" s="85" t="s">
        <v>81</v>
      </c>
      <c r="F557" s="85" t="s">
        <v>254</v>
      </c>
      <c r="G557" s="85" t="s">
        <v>262</v>
      </c>
      <c r="H557" s="85" t="s">
        <v>255</v>
      </c>
      <c r="I557" s="85" t="s">
        <v>256</v>
      </c>
      <c r="J557" s="85" t="s">
        <v>257</v>
      </c>
      <c r="K557" s="85" t="s">
        <v>257</v>
      </c>
      <c r="L557" s="85" t="s">
        <v>258</v>
      </c>
      <c r="M557" s="85" t="s">
        <v>169</v>
      </c>
      <c r="N557" s="85" t="s">
        <v>169</v>
      </c>
      <c r="O557" s="85" t="s">
        <v>171</v>
      </c>
      <c r="P557" s="85" t="s">
        <v>361</v>
      </c>
      <c r="Q557" s="85" t="s">
        <v>1699</v>
      </c>
      <c r="R557" s="85">
        <v>2</v>
      </c>
      <c r="S557" s="85">
        <v>356</v>
      </c>
      <c r="T557" s="2">
        <v>44138</v>
      </c>
      <c r="U557" s="2">
        <v>44168</v>
      </c>
    </row>
    <row r="558" spans="1:21" x14ac:dyDescent="0.2">
      <c r="A558" s="3" t="str">
        <f>HYPERLINK("http://www.ofsted.gov.uk/inspection-reports/find-inspection-report/provider/ELS/136809 ","Ofsted School Webpage")</f>
        <v>Ofsted School Webpage</v>
      </c>
      <c r="B558" s="85">
        <v>136809</v>
      </c>
      <c r="C558" s="85">
        <v>3132004</v>
      </c>
      <c r="D558" s="85" t="s">
        <v>1700</v>
      </c>
      <c r="E558" s="85" t="s">
        <v>81</v>
      </c>
      <c r="F558" s="85" t="s">
        <v>254</v>
      </c>
      <c r="G558" s="2">
        <v>40787</v>
      </c>
      <c r="H558" s="85" t="s">
        <v>255</v>
      </c>
      <c r="I558" s="85" t="s">
        <v>256</v>
      </c>
      <c r="J558" s="85" t="s">
        <v>257</v>
      </c>
      <c r="K558" s="85" t="s">
        <v>257</v>
      </c>
      <c r="L558" s="85" t="s">
        <v>258</v>
      </c>
      <c r="M558" s="85" t="s">
        <v>107</v>
      </c>
      <c r="N558" s="85" t="s">
        <v>107</v>
      </c>
      <c r="O558" s="85" t="s">
        <v>114</v>
      </c>
      <c r="P558" s="85" t="s">
        <v>393</v>
      </c>
      <c r="Q558" s="85" t="s">
        <v>1701</v>
      </c>
      <c r="R558" s="85">
        <v>3</v>
      </c>
      <c r="S558" s="85">
        <v>682</v>
      </c>
      <c r="T558" s="2">
        <v>44138</v>
      </c>
      <c r="U558" s="2">
        <v>44166</v>
      </c>
    </row>
    <row r="559" spans="1:21" x14ac:dyDescent="0.2">
      <c r="A559" s="3" t="str">
        <f>HYPERLINK("http://www.ofsted.gov.uk/inspection-reports/find-inspection-report/provider/ELS/112164 ","Ofsted School Webpage")</f>
        <v>Ofsted School Webpage</v>
      </c>
      <c r="B559" s="85">
        <v>112164</v>
      </c>
      <c r="C559" s="85">
        <v>9092225</v>
      </c>
      <c r="D559" s="85" t="s">
        <v>1702</v>
      </c>
      <c r="E559" s="85" t="s">
        <v>81</v>
      </c>
      <c r="F559" s="85" t="s">
        <v>254</v>
      </c>
      <c r="G559" s="85" t="s">
        <v>262</v>
      </c>
      <c r="H559" s="85" t="s">
        <v>255</v>
      </c>
      <c r="I559" s="85" t="s">
        <v>256</v>
      </c>
      <c r="J559" s="85" t="s">
        <v>257</v>
      </c>
      <c r="K559" s="85" t="s">
        <v>257</v>
      </c>
      <c r="L559" s="85" t="s">
        <v>258</v>
      </c>
      <c r="M559" s="85" t="s">
        <v>148</v>
      </c>
      <c r="N559" s="85" t="s">
        <v>148</v>
      </c>
      <c r="O559" s="85" t="s">
        <v>156</v>
      </c>
      <c r="P559" s="85" t="s">
        <v>379</v>
      </c>
      <c r="Q559" s="85" t="s">
        <v>1703</v>
      </c>
      <c r="R559" s="85">
        <v>2</v>
      </c>
      <c r="S559" s="85">
        <v>213</v>
      </c>
      <c r="T559" s="2">
        <v>44138</v>
      </c>
      <c r="U559" s="2">
        <v>44166</v>
      </c>
    </row>
    <row r="560" spans="1:21" x14ac:dyDescent="0.2">
      <c r="A560" s="3" t="str">
        <f>HYPERLINK("http://www.ofsted.gov.uk/inspection-reports/find-inspection-report/provider/ELS/116686 ","Ofsted School Webpage")</f>
        <v>Ofsted School Webpage</v>
      </c>
      <c r="B560" s="85">
        <v>116686</v>
      </c>
      <c r="C560" s="85">
        <v>8842071</v>
      </c>
      <c r="D560" s="85" t="s">
        <v>1704</v>
      </c>
      <c r="E560" s="85" t="s">
        <v>81</v>
      </c>
      <c r="F560" s="85" t="s">
        <v>254</v>
      </c>
      <c r="G560" s="85" t="s">
        <v>262</v>
      </c>
      <c r="H560" s="85" t="s">
        <v>255</v>
      </c>
      <c r="I560" s="85" t="s">
        <v>256</v>
      </c>
      <c r="J560" s="85" t="s">
        <v>257</v>
      </c>
      <c r="K560" s="85" t="s">
        <v>257</v>
      </c>
      <c r="L560" s="85" t="s">
        <v>258</v>
      </c>
      <c r="M560" s="85" t="s">
        <v>203</v>
      </c>
      <c r="N560" s="85" t="s">
        <v>203</v>
      </c>
      <c r="O560" s="85" t="s">
        <v>204</v>
      </c>
      <c r="P560" s="85" t="s">
        <v>373</v>
      </c>
      <c r="Q560" s="85" t="s">
        <v>1705</v>
      </c>
      <c r="R560" s="85">
        <v>3</v>
      </c>
      <c r="S560" s="85">
        <v>615</v>
      </c>
      <c r="T560" s="2">
        <v>44138</v>
      </c>
      <c r="U560" s="2">
        <v>44167</v>
      </c>
    </row>
    <row r="561" spans="1:21" x14ac:dyDescent="0.2">
      <c r="A561" s="3" t="str">
        <f>HYPERLINK("http://www.ofsted.gov.uk/inspection-reports/find-inspection-report/provider/ELS/121324 ","Ofsted School Webpage")</f>
        <v>Ofsted School Webpage</v>
      </c>
      <c r="B561" s="85">
        <v>121324</v>
      </c>
      <c r="C561" s="85">
        <v>8152138</v>
      </c>
      <c r="D561" s="85" t="s">
        <v>1706</v>
      </c>
      <c r="E561" s="85" t="s">
        <v>81</v>
      </c>
      <c r="F561" s="85" t="s">
        <v>254</v>
      </c>
      <c r="G561" s="85" t="s">
        <v>262</v>
      </c>
      <c r="H561" s="85" t="s">
        <v>255</v>
      </c>
      <c r="I561" s="85" t="s">
        <v>256</v>
      </c>
      <c r="J561" s="85" t="s">
        <v>257</v>
      </c>
      <c r="K561" s="85" t="s">
        <v>257</v>
      </c>
      <c r="L561" s="85" t="s">
        <v>258</v>
      </c>
      <c r="M561" s="85" t="s">
        <v>236</v>
      </c>
      <c r="N561" s="85" t="s">
        <v>218</v>
      </c>
      <c r="O561" s="85" t="s">
        <v>224</v>
      </c>
      <c r="P561" s="85" t="s">
        <v>731</v>
      </c>
      <c r="Q561" s="85" t="s">
        <v>1707</v>
      </c>
      <c r="R561" s="85">
        <v>1</v>
      </c>
      <c r="S561" s="85">
        <v>19</v>
      </c>
      <c r="T561" s="2">
        <v>44138</v>
      </c>
      <c r="U561" s="2">
        <v>44159</v>
      </c>
    </row>
    <row r="562" spans="1:21" x14ac:dyDescent="0.2">
      <c r="A562" s="3" t="str">
        <f>HYPERLINK("http://www.ofsted.gov.uk/inspection-reports/find-inspection-report/provider/ELS/106698 ","Ofsted School Webpage")</f>
        <v>Ofsted School Webpage</v>
      </c>
      <c r="B562" s="85">
        <v>106698</v>
      </c>
      <c r="C562" s="85">
        <v>3712115</v>
      </c>
      <c r="D562" s="85" t="s">
        <v>1708</v>
      </c>
      <c r="E562" s="85" t="s">
        <v>81</v>
      </c>
      <c r="F562" s="85" t="s">
        <v>254</v>
      </c>
      <c r="G562" s="85" t="s">
        <v>262</v>
      </c>
      <c r="H562" s="85" t="s">
        <v>255</v>
      </c>
      <c r="I562" s="85" t="s">
        <v>256</v>
      </c>
      <c r="J562" s="85" t="s">
        <v>257</v>
      </c>
      <c r="K562" s="85" t="s">
        <v>257</v>
      </c>
      <c r="L562" s="85" t="s">
        <v>258</v>
      </c>
      <c r="M562" s="85" t="s">
        <v>236</v>
      </c>
      <c r="N562" s="85" t="s">
        <v>218</v>
      </c>
      <c r="O562" s="85" t="s">
        <v>225</v>
      </c>
      <c r="P562" s="85" t="s">
        <v>534</v>
      </c>
      <c r="Q562" s="85" t="s">
        <v>1709</v>
      </c>
      <c r="R562" s="85">
        <v>4</v>
      </c>
      <c r="S562" s="85">
        <v>158</v>
      </c>
      <c r="T562" s="2">
        <v>44138</v>
      </c>
      <c r="U562" s="2">
        <v>44159</v>
      </c>
    </row>
    <row r="563" spans="1:21" x14ac:dyDescent="0.2">
      <c r="A563" s="3" t="str">
        <f>HYPERLINK("http://www.ofsted.gov.uk/inspection-reports/find-inspection-report/provider/ELS/126423 ","Ofsted School Webpage")</f>
        <v>Ofsted School Webpage</v>
      </c>
      <c r="B563" s="85">
        <v>126423</v>
      </c>
      <c r="C563" s="85">
        <v>8653412</v>
      </c>
      <c r="D563" s="85" t="s">
        <v>1710</v>
      </c>
      <c r="E563" s="85" t="s">
        <v>81</v>
      </c>
      <c r="F563" s="85" t="s">
        <v>333</v>
      </c>
      <c r="G563" s="85" t="s">
        <v>262</v>
      </c>
      <c r="H563" s="85" t="s">
        <v>255</v>
      </c>
      <c r="I563" s="85" t="s">
        <v>255</v>
      </c>
      <c r="J563" s="85" t="s">
        <v>334</v>
      </c>
      <c r="K563" s="85" t="s">
        <v>257</v>
      </c>
      <c r="L563" s="85" t="s">
        <v>335</v>
      </c>
      <c r="M563" s="85" t="s">
        <v>188</v>
      </c>
      <c r="N563" s="85" t="s">
        <v>188</v>
      </c>
      <c r="O563" s="85" t="s">
        <v>202</v>
      </c>
      <c r="P563" s="85" t="s">
        <v>1711</v>
      </c>
      <c r="Q563" s="85" t="s">
        <v>1712</v>
      </c>
      <c r="R563" s="85">
        <v>3</v>
      </c>
      <c r="S563" s="85">
        <v>176</v>
      </c>
      <c r="T563" s="2">
        <v>44138</v>
      </c>
      <c r="U563" s="2">
        <v>44164</v>
      </c>
    </row>
    <row r="564" spans="1:21" x14ac:dyDescent="0.2">
      <c r="A564" s="3" t="str">
        <f>HYPERLINK("http://www.ofsted.gov.uk/inspection-reports/find-inspection-report/provider/ELS/132215 ","Ofsted School Webpage")</f>
        <v>Ofsted School Webpage</v>
      </c>
      <c r="B564" s="85">
        <v>132215</v>
      </c>
      <c r="C564" s="85">
        <v>8792729</v>
      </c>
      <c r="D564" s="85" t="s">
        <v>1713</v>
      </c>
      <c r="E564" s="85" t="s">
        <v>81</v>
      </c>
      <c r="F564" s="85" t="s">
        <v>382</v>
      </c>
      <c r="G564" s="2">
        <v>36770</v>
      </c>
      <c r="H564" s="85" t="s">
        <v>255</v>
      </c>
      <c r="I564" s="85" t="s">
        <v>256</v>
      </c>
      <c r="J564" s="85" t="s">
        <v>257</v>
      </c>
      <c r="K564" s="85" t="s">
        <v>257</v>
      </c>
      <c r="L564" s="85" t="s">
        <v>258</v>
      </c>
      <c r="M564" s="85" t="s">
        <v>188</v>
      </c>
      <c r="N564" s="85" t="s">
        <v>188</v>
      </c>
      <c r="O564" s="85" t="s">
        <v>191</v>
      </c>
      <c r="P564" s="85" t="s">
        <v>570</v>
      </c>
      <c r="Q564" s="85" t="s">
        <v>903</v>
      </c>
      <c r="R564" s="85">
        <v>5</v>
      </c>
      <c r="S564" s="85">
        <v>411</v>
      </c>
      <c r="T564" s="2">
        <v>44138</v>
      </c>
      <c r="U564" s="2">
        <v>44165</v>
      </c>
    </row>
    <row r="565" spans="1:21" x14ac:dyDescent="0.2">
      <c r="A565" s="3" t="str">
        <f>HYPERLINK("http://www.ofsted.gov.uk/inspection-reports/find-inspection-report/provider/ELS/120388 ","Ofsted School Webpage")</f>
        <v>Ofsted School Webpage</v>
      </c>
      <c r="B565" s="85">
        <v>120388</v>
      </c>
      <c r="C565" s="85">
        <v>9252039</v>
      </c>
      <c r="D565" s="85" t="s">
        <v>1714</v>
      </c>
      <c r="E565" s="85" t="s">
        <v>81</v>
      </c>
      <c r="F565" s="85" t="s">
        <v>254</v>
      </c>
      <c r="G565" s="85" t="s">
        <v>262</v>
      </c>
      <c r="H565" s="85" t="s">
        <v>255</v>
      </c>
      <c r="I565" s="85" t="s">
        <v>256</v>
      </c>
      <c r="J565" s="85" t="s">
        <v>257</v>
      </c>
      <c r="K565" s="85" t="s">
        <v>257</v>
      </c>
      <c r="L565" s="85" t="s">
        <v>258</v>
      </c>
      <c r="M565" s="85" t="s">
        <v>85</v>
      </c>
      <c r="N565" s="85" t="s">
        <v>85</v>
      </c>
      <c r="O565" s="85" t="s">
        <v>89</v>
      </c>
      <c r="P565" s="85" t="s">
        <v>1666</v>
      </c>
      <c r="Q565" s="85" t="s">
        <v>1715</v>
      </c>
      <c r="R565" s="85">
        <v>1</v>
      </c>
      <c r="S565" s="85">
        <v>156</v>
      </c>
      <c r="T565" s="2">
        <v>44138</v>
      </c>
      <c r="U565" s="2">
        <v>44161</v>
      </c>
    </row>
    <row r="566" spans="1:21" x14ac:dyDescent="0.2">
      <c r="A566" s="3" t="str">
        <f>HYPERLINK("http://www.ofsted.gov.uk/inspection-reports/find-inspection-report/provider/ELS/116384 ","Ofsted School Webpage")</f>
        <v>Ofsted School Webpage</v>
      </c>
      <c r="B566" s="85">
        <v>116384</v>
      </c>
      <c r="C566" s="85">
        <v>8513420</v>
      </c>
      <c r="D566" s="85" t="s">
        <v>1716</v>
      </c>
      <c r="E566" s="85" t="s">
        <v>81</v>
      </c>
      <c r="F566" s="85" t="s">
        <v>333</v>
      </c>
      <c r="G566" s="85" t="s">
        <v>262</v>
      </c>
      <c r="H566" s="85" t="s">
        <v>255</v>
      </c>
      <c r="I566" s="85" t="s">
        <v>256</v>
      </c>
      <c r="J566" s="85" t="s">
        <v>334</v>
      </c>
      <c r="K566" s="85" t="s">
        <v>257</v>
      </c>
      <c r="L566" s="85" t="s">
        <v>335</v>
      </c>
      <c r="M566" s="85" t="s">
        <v>169</v>
      </c>
      <c r="N566" s="85" t="s">
        <v>169</v>
      </c>
      <c r="O566" s="85" t="s">
        <v>173</v>
      </c>
      <c r="P566" s="85" t="s">
        <v>1003</v>
      </c>
      <c r="Q566" s="85" t="s">
        <v>1717</v>
      </c>
      <c r="R566" s="85">
        <v>4</v>
      </c>
      <c r="S566" s="85">
        <v>310</v>
      </c>
      <c r="T566" s="2">
        <v>44138</v>
      </c>
      <c r="U566" s="2">
        <v>44168</v>
      </c>
    </row>
    <row r="567" spans="1:21" x14ac:dyDescent="0.2">
      <c r="A567" s="3" t="str">
        <f>HYPERLINK("http://www.ofsted.gov.uk/inspection-reports/find-inspection-report/provider/ELS/119647 ","Ofsted School Webpage")</f>
        <v>Ofsted School Webpage</v>
      </c>
      <c r="B567" s="85">
        <v>119647</v>
      </c>
      <c r="C567" s="85">
        <v>8883748</v>
      </c>
      <c r="D567" s="85" t="s">
        <v>1718</v>
      </c>
      <c r="E567" s="85" t="s">
        <v>81</v>
      </c>
      <c r="F567" s="85" t="s">
        <v>333</v>
      </c>
      <c r="G567" s="85" t="s">
        <v>262</v>
      </c>
      <c r="H567" s="85" t="s">
        <v>255</v>
      </c>
      <c r="I567" s="85" t="s">
        <v>256</v>
      </c>
      <c r="J567" s="85" t="s">
        <v>334</v>
      </c>
      <c r="K567" s="85" t="s">
        <v>257</v>
      </c>
      <c r="L567" s="85" t="s">
        <v>335</v>
      </c>
      <c r="M567" s="85" t="s">
        <v>148</v>
      </c>
      <c r="N567" s="85" t="s">
        <v>148</v>
      </c>
      <c r="O567" s="85" t="s">
        <v>149</v>
      </c>
      <c r="P567" s="85" t="s">
        <v>1719</v>
      </c>
      <c r="Q567" s="85" t="s">
        <v>1720</v>
      </c>
      <c r="R567" s="85">
        <v>1</v>
      </c>
      <c r="S567" s="85">
        <v>80</v>
      </c>
      <c r="T567" s="2">
        <v>44138</v>
      </c>
      <c r="U567" s="2">
        <v>44161</v>
      </c>
    </row>
    <row r="568" spans="1:21" x14ac:dyDescent="0.2">
      <c r="A568" s="3" t="str">
        <f>HYPERLINK("http://www.ofsted.gov.uk/inspection-reports/find-inspection-report/provider/ELS/115638 ","Ofsted School Webpage")</f>
        <v>Ofsted School Webpage</v>
      </c>
      <c r="B568" s="85">
        <v>115638</v>
      </c>
      <c r="C568" s="85">
        <v>9163053</v>
      </c>
      <c r="D568" s="85" t="s">
        <v>1721</v>
      </c>
      <c r="E568" s="85" t="s">
        <v>81</v>
      </c>
      <c r="F568" s="85" t="s">
        <v>360</v>
      </c>
      <c r="G568" s="85" t="s">
        <v>262</v>
      </c>
      <c r="H568" s="85" t="s">
        <v>255</v>
      </c>
      <c r="I568" s="85" t="s">
        <v>256</v>
      </c>
      <c r="J568" s="85" t="s">
        <v>342</v>
      </c>
      <c r="K568" s="85" t="s">
        <v>257</v>
      </c>
      <c r="L568" s="85" t="s">
        <v>335</v>
      </c>
      <c r="M568" s="85" t="s">
        <v>188</v>
      </c>
      <c r="N568" s="85" t="s">
        <v>188</v>
      </c>
      <c r="O568" s="85" t="s">
        <v>194</v>
      </c>
      <c r="P568" s="85" t="s">
        <v>1310</v>
      </c>
      <c r="Q568" s="85" t="s">
        <v>1722</v>
      </c>
      <c r="R568" s="85">
        <v>3</v>
      </c>
      <c r="S568" s="85">
        <v>47</v>
      </c>
      <c r="T568" s="2">
        <v>44138</v>
      </c>
      <c r="U568" s="2">
        <v>44160</v>
      </c>
    </row>
    <row r="569" spans="1:21" x14ac:dyDescent="0.2">
      <c r="A569" s="3" t="str">
        <f>HYPERLINK("http://www.ofsted.gov.uk/inspection-reports/find-inspection-report/provider/ELS/110023 ","Ofsted School Webpage")</f>
        <v>Ofsted School Webpage</v>
      </c>
      <c r="B569" s="85">
        <v>110023</v>
      </c>
      <c r="C569" s="85">
        <v>8683327</v>
      </c>
      <c r="D569" s="85" t="s">
        <v>1723</v>
      </c>
      <c r="E569" s="85" t="s">
        <v>81</v>
      </c>
      <c r="F569" s="85" t="s">
        <v>333</v>
      </c>
      <c r="G569" s="85" t="s">
        <v>262</v>
      </c>
      <c r="H569" s="85" t="s">
        <v>255</v>
      </c>
      <c r="I569" s="85" t="s">
        <v>256</v>
      </c>
      <c r="J569" s="85" t="s">
        <v>342</v>
      </c>
      <c r="K569" s="85" t="s">
        <v>257</v>
      </c>
      <c r="L569" s="85" t="s">
        <v>335</v>
      </c>
      <c r="M569" s="85" t="s">
        <v>169</v>
      </c>
      <c r="N569" s="85" t="s">
        <v>169</v>
      </c>
      <c r="O569" s="85" t="s">
        <v>185</v>
      </c>
      <c r="P569" s="85" t="s">
        <v>1724</v>
      </c>
      <c r="Q569" s="85" t="s">
        <v>1725</v>
      </c>
      <c r="R569" s="85">
        <v>1</v>
      </c>
      <c r="S569" s="85">
        <v>147</v>
      </c>
      <c r="T569" s="2">
        <v>44138</v>
      </c>
      <c r="U569" s="2">
        <v>44166</v>
      </c>
    </row>
    <row r="570" spans="1:21" x14ac:dyDescent="0.2">
      <c r="A570" s="3" t="str">
        <f>HYPERLINK("http://www.ofsted.gov.uk/inspection-reports/find-inspection-report/provider/ELS/101327 ","Ofsted School Webpage")</f>
        <v>Ofsted School Webpage</v>
      </c>
      <c r="B570" s="85">
        <v>101327</v>
      </c>
      <c r="C570" s="85">
        <v>3023315</v>
      </c>
      <c r="D570" s="85" t="s">
        <v>1726</v>
      </c>
      <c r="E570" s="85" t="s">
        <v>81</v>
      </c>
      <c r="F570" s="85" t="s">
        <v>333</v>
      </c>
      <c r="G570" s="85" t="s">
        <v>262</v>
      </c>
      <c r="H570" s="85" t="s">
        <v>255</v>
      </c>
      <c r="I570" s="85" t="s">
        <v>256</v>
      </c>
      <c r="J570" s="85" t="s">
        <v>342</v>
      </c>
      <c r="K570" s="85" t="s">
        <v>257</v>
      </c>
      <c r="L570" s="85" t="s">
        <v>335</v>
      </c>
      <c r="M570" s="85" t="s">
        <v>107</v>
      </c>
      <c r="N570" s="85" t="s">
        <v>107</v>
      </c>
      <c r="O570" s="85" t="s">
        <v>121</v>
      </c>
      <c r="P570" s="85" t="s">
        <v>1090</v>
      </c>
      <c r="Q570" s="85" t="s">
        <v>1727</v>
      </c>
      <c r="R570" s="85">
        <v>2</v>
      </c>
      <c r="S570" s="85">
        <v>209</v>
      </c>
      <c r="T570" s="2">
        <v>44138</v>
      </c>
      <c r="U570" s="2">
        <v>44166</v>
      </c>
    </row>
    <row r="571" spans="1:21" x14ac:dyDescent="0.2">
      <c r="A571" s="3" t="str">
        <f>HYPERLINK("http://www.ofsted.gov.uk/inspection-reports/find-inspection-report/provider/ELS/139983 ","Ofsted School Webpage")</f>
        <v>Ofsted School Webpage</v>
      </c>
      <c r="B571" s="85">
        <v>139983</v>
      </c>
      <c r="C571" s="85">
        <v>8562237</v>
      </c>
      <c r="D571" s="85" t="s">
        <v>1728</v>
      </c>
      <c r="E571" s="85" t="s">
        <v>81</v>
      </c>
      <c r="F571" s="85" t="s">
        <v>400</v>
      </c>
      <c r="G571" s="2">
        <v>41487</v>
      </c>
      <c r="H571" s="85" t="s">
        <v>255</v>
      </c>
      <c r="I571" s="85" t="s">
        <v>256</v>
      </c>
      <c r="J571" s="85" t="s">
        <v>257</v>
      </c>
      <c r="K571" s="85" t="s">
        <v>257</v>
      </c>
      <c r="L571" s="85" t="s">
        <v>258</v>
      </c>
      <c r="M571" s="85" t="s">
        <v>85</v>
      </c>
      <c r="N571" s="85" t="s">
        <v>85</v>
      </c>
      <c r="O571" s="85" t="s">
        <v>87</v>
      </c>
      <c r="P571" s="85" t="s">
        <v>1729</v>
      </c>
      <c r="Q571" s="85" t="s">
        <v>1730</v>
      </c>
      <c r="R571" s="85">
        <v>4</v>
      </c>
      <c r="S571" s="85">
        <v>359</v>
      </c>
      <c r="T571" s="2">
        <v>44138</v>
      </c>
      <c r="U571" s="2">
        <v>44164</v>
      </c>
    </row>
    <row r="572" spans="1:21" x14ac:dyDescent="0.2">
      <c r="A572" s="3" t="str">
        <f>HYPERLINK("http://www.ofsted.gov.uk/inspection-reports/find-inspection-report/provider/ELS/139005 ","Ofsted School Webpage")</f>
        <v>Ofsted School Webpage</v>
      </c>
      <c r="B572" s="85">
        <v>139005</v>
      </c>
      <c r="C572" s="85">
        <v>8552008</v>
      </c>
      <c r="D572" s="85" t="s">
        <v>1731</v>
      </c>
      <c r="E572" s="85" t="s">
        <v>81</v>
      </c>
      <c r="F572" s="85" t="s">
        <v>404</v>
      </c>
      <c r="G572" s="2">
        <v>41244</v>
      </c>
      <c r="H572" s="85" t="s">
        <v>255</v>
      </c>
      <c r="I572" s="85" t="s">
        <v>256</v>
      </c>
      <c r="J572" s="85" t="s">
        <v>257</v>
      </c>
      <c r="K572" s="85" t="s">
        <v>405</v>
      </c>
      <c r="L572" s="85" t="s">
        <v>258</v>
      </c>
      <c r="M572" s="85" t="s">
        <v>85</v>
      </c>
      <c r="N572" s="85" t="s">
        <v>85</v>
      </c>
      <c r="O572" s="85" t="s">
        <v>93</v>
      </c>
      <c r="P572" s="85" t="s">
        <v>1116</v>
      </c>
      <c r="Q572" s="85" t="s">
        <v>1732</v>
      </c>
      <c r="R572" s="85">
        <v>4</v>
      </c>
      <c r="S572" s="85">
        <v>318</v>
      </c>
      <c r="T572" s="2">
        <v>44138</v>
      </c>
      <c r="U572" s="2">
        <v>44165</v>
      </c>
    </row>
    <row r="573" spans="1:21" x14ac:dyDescent="0.2">
      <c r="A573" s="3" t="str">
        <f>HYPERLINK("http://www.ofsted.gov.uk/inspection-reports/find-inspection-report/provider/ELS/136589 ","Ofsted School Webpage")</f>
        <v>Ofsted School Webpage</v>
      </c>
      <c r="B573" s="85">
        <v>136589</v>
      </c>
      <c r="C573" s="85">
        <v>3304108</v>
      </c>
      <c r="D573" s="85" t="s">
        <v>1733</v>
      </c>
      <c r="E573" s="85" t="s">
        <v>82</v>
      </c>
      <c r="F573" s="85" t="s">
        <v>400</v>
      </c>
      <c r="G573" s="2">
        <v>40634</v>
      </c>
      <c r="H573" s="85" t="s">
        <v>275</v>
      </c>
      <c r="I573" s="85" t="s">
        <v>256</v>
      </c>
      <c r="J573" s="85" t="s">
        <v>405</v>
      </c>
      <c r="K573" s="85" t="s">
        <v>257</v>
      </c>
      <c r="L573" s="85" t="s">
        <v>258</v>
      </c>
      <c r="M573" s="85" t="s">
        <v>203</v>
      </c>
      <c r="N573" s="85" t="s">
        <v>203</v>
      </c>
      <c r="O573" s="85" t="s">
        <v>209</v>
      </c>
      <c r="P573" s="85" t="s">
        <v>815</v>
      </c>
      <c r="Q573" s="85" t="s">
        <v>1734</v>
      </c>
      <c r="R573" s="85">
        <v>5</v>
      </c>
      <c r="S573" s="85">
        <v>926</v>
      </c>
      <c r="T573" s="2">
        <v>44138</v>
      </c>
      <c r="U573" s="2">
        <v>44164</v>
      </c>
    </row>
    <row r="574" spans="1:21" x14ac:dyDescent="0.2">
      <c r="A574" s="3" t="str">
        <f>HYPERLINK("http://www.ofsted.gov.uk/inspection-reports/find-inspection-report/provider/ELS/141985 ","Ofsted School Webpage")</f>
        <v>Ofsted School Webpage</v>
      </c>
      <c r="B574" s="85">
        <v>141985</v>
      </c>
      <c r="C574" s="85">
        <v>9352059</v>
      </c>
      <c r="D574" s="85" t="s">
        <v>1735</v>
      </c>
      <c r="E574" s="85" t="s">
        <v>81</v>
      </c>
      <c r="F574" s="85" t="s">
        <v>404</v>
      </c>
      <c r="G574" s="2">
        <v>42186</v>
      </c>
      <c r="H574" s="85" t="s">
        <v>255</v>
      </c>
      <c r="I574" s="85" t="s">
        <v>256</v>
      </c>
      <c r="J574" s="85" t="s">
        <v>257</v>
      </c>
      <c r="K574" s="85" t="s">
        <v>405</v>
      </c>
      <c r="L574" s="85" t="s">
        <v>258</v>
      </c>
      <c r="M574" s="85" t="s">
        <v>95</v>
      </c>
      <c r="N574" s="85" t="s">
        <v>95</v>
      </c>
      <c r="O574" s="85" t="s">
        <v>99</v>
      </c>
      <c r="P574" s="85" t="s">
        <v>320</v>
      </c>
      <c r="Q574" s="85" t="s">
        <v>1736</v>
      </c>
      <c r="R574" s="85">
        <v>4</v>
      </c>
      <c r="S574" s="85">
        <v>390</v>
      </c>
      <c r="T574" s="2">
        <v>44138</v>
      </c>
      <c r="U574" s="2">
        <v>44168</v>
      </c>
    </row>
    <row r="575" spans="1:21" x14ac:dyDescent="0.2">
      <c r="A575" s="3" t="str">
        <f>HYPERLINK("http://www.ofsted.gov.uk/inspection-reports/find-inspection-report/provider/ELS/139968 ","Ofsted School Webpage")</f>
        <v>Ofsted School Webpage</v>
      </c>
      <c r="B575" s="85">
        <v>139968</v>
      </c>
      <c r="C575" s="85">
        <v>8102013</v>
      </c>
      <c r="D575" s="85" t="s">
        <v>1737</v>
      </c>
      <c r="E575" s="85" t="s">
        <v>81</v>
      </c>
      <c r="F575" s="85" t="s">
        <v>404</v>
      </c>
      <c r="G575" s="2">
        <v>41548</v>
      </c>
      <c r="H575" s="85" t="s">
        <v>275</v>
      </c>
      <c r="I575" s="85" t="s">
        <v>256</v>
      </c>
      <c r="J575" s="85" t="s">
        <v>257</v>
      </c>
      <c r="K575" s="85" t="s">
        <v>405</v>
      </c>
      <c r="L575" s="85" t="s">
        <v>258</v>
      </c>
      <c r="M575" s="85" t="s">
        <v>236</v>
      </c>
      <c r="N575" s="85" t="s">
        <v>218</v>
      </c>
      <c r="O575" s="85" t="s">
        <v>230</v>
      </c>
      <c r="P575" s="85" t="s">
        <v>1738</v>
      </c>
      <c r="Q575" s="85" t="s">
        <v>1739</v>
      </c>
      <c r="R575" s="85">
        <v>4</v>
      </c>
      <c r="S575" s="85">
        <v>564</v>
      </c>
      <c r="T575" s="2">
        <v>44138</v>
      </c>
      <c r="U575" s="2">
        <v>44168</v>
      </c>
    </row>
    <row r="576" spans="1:21" x14ac:dyDescent="0.2">
      <c r="A576" s="3" t="str">
        <f>HYPERLINK("http://www.ofsted.gov.uk/inspection-reports/find-inspection-report/provider/ELS/119771 ","Ofsted School Webpage")</f>
        <v>Ofsted School Webpage</v>
      </c>
      <c r="B576" s="85">
        <v>119771</v>
      </c>
      <c r="C576" s="85">
        <v>8884408</v>
      </c>
      <c r="D576" s="85" t="s">
        <v>1740</v>
      </c>
      <c r="E576" s="85" t="s">
        <v>82</v>
      </c>
      <c r="F576" s="85" t="s">
        <v>382</v>
      </c>
      <c r="G576" s="85" t="s">
        <v>262</v>
      </c>
      <c r="H576" s="85" t="s">
        <v>275</v>
      </c>
      <c r="I576" s="85" t="s">
        <v>256</v>
      </c>
      <c r="J576" s="85" t="s">
        <v>405</v>
      </c>
      <c r="K576" s="85" t="s">
        <v>257</v>
      </c>
      <c r="L576" s="85" t="s">
        <v>258</v>
      </c>
      <c r="M576" s="85" t="s">
        <v>148</v>
      </c>
      <c r="N576" s="85" t="s">
        <v>148</v>
      </c>
      <c r="O576" s="85" t="s">
        <v>149</v>
      </c>
      <c r="P576" s="85" t="s">
        <v>427</v>
      </c>
      <c r="Q576" s="85" t="s">
        <v>1741</v>
      </c>
      <c r="R576" s="85">
        <v>5</v>
      </c>
      <c r="S576" s="85">
        <v>935</v>
      </c>
      <c r="T576" s="2">
        <v>44138</v>
      </c>
      <c r="U576" s="2">
        <v>44161</v>
      </c>
    </row>
    <row r="577" spans="1:21" x14ac:dyDescent="0.2">
      <c r="A577" s="3" t="str">
        <f>HYPERLINK("http://www.ofsted.gov.uk/inspection-reports/find-inspection-report/provider/ELS/113652 ","Ofsted School Webpage")</f>
        <v>Ofsted School Webpage</v>
      </c>
      <c r="B577" s="85">
        <v>113652</v>
      </c>
      <c r="C577" s="85">
        <v>8787081</v>
      </c>
      <c r="D577" s="85" t="s">
        <v>1742</v>
      </c>
      <c r="E577" s="85" t="s">
        <v>83</v>
      </c>
      <c r="F577" s="85" t="s">
        <v>1743</v>
      </c>
      <c r="G577" s="85" t="s">
        <v>262</v>
      </c>
      <c r="H577" s="85" t="s">
        <v>255</v>
      </c>
      <c r="I577" s="85" t="s">
        <v>256</v>
      </c>
      <c r="J577" s="85" t="s">
        <v>257</v>
      </c>
      <c r="K577" s="85" t="s">
        <v>257</v>
      </c>
      <c r="L577" s="85" t="s">
        <v>258</v>
      </c>
      <c r="M577" s="85" t="s">
        <v>188</v>
      </c>
      <c r="N577" s="85" t="s">
        <v>188</v>
      </c>
      <c r="O577" s="85" t="s">
        <v>197</v>
      </c>
      <c r="P577" s="85" t="s">
        <v>1307</v>
      </c>
      <c r="Q577" s="85" t="s">
        <v>1744</v>
      </c>
      <c r="R577" s="85">
        <v>2</v>
      </c>
      <c r="S577" s="85">
        <v>9</v>
      </c>
      <c r="T577" s="2">
        <v>44138</v>
      </c>
      <c r="U577" s="2">
        <v>44167</v>
      </c>
    </row>
    <row r="578" spans="1:21" x14ac:dyDescent="0.2">
      <c r="A578" s="3" t="str">
        <f>HYPERLINK("http://www.ofsted.gov.uk/inspection-reports/find-inspection-report/provider/ELS/138167 ","Ofsted School Webpage")</f>
        <v>Ofsted School Webpage</v>
      </c>
      <c r="B578" s="85">
        <v>138167</v>
      </c>
      <c r="C578" s="85">
        <v>8864113</v>
      </c>
      <c r="D578" s="85" t="s">
        <v>1745</v>
      </c>
      <c r="E578" s="85" t="s">
        <v>82</v>
      </c>
      <c r="F578" s="85" t="s">
        <v>400</v>
      </c>
      <c r="G578" s="2">
        <v>41062</v>
      </c>
      <c r="H578" s="85" t="s">
        <v>275</v>
      </c>
      <c r="I578" s="85" t="s">
        <v>276</v>
      </c>
      <c r="J578" s="85" t="s">
        <v>257</v>
      </c>
      <c r="K578" s="85" t="s">
        <v>257</v>
      </c>
      <c r="L578" s="85" t="s">
        <v>258</v>
      </c>
      <c r="M578" s="85" t="s">
        <v>169</v>
      </c>
      <c r="N578" s="85" t="s">
        <v>169</v>
      </c>
      <c r="O578" s="85" t="s">
        <v>171</v>
      </c>
      <c r="P578" s="85" t="s">
        <v>1746</v>
      </c>
      <c r="Q578" s="85" t="s">
        <v>1747</v>
      </c>
      <c r="R578" s="85">
        <v>4</v>
      </c>
      <c r="S578" s="85">
        <v>802</v>
      </c>
      <c r="T578" s="2">
        <v>44138</v>
      </c>
      <c r="U578" s="2">
        <v>44165</v>
      </c>
    </row>
    <row r="579" spans="1:21" x14ac:dyDescent="0.2">
      <c r="A579" s="3" t="str">
        <f>HYPERLINK("http://www.ofsted.gov.uk/inspection-reports/find-inspection-report/provider/ELS/139269 ","Ofsted School Webpage")</f>
        <v>Ofsted School Webpage</v>
      </c>
      <c r="B579" s="85">
        <v>139269</v>
      </c>
      <c r="C579" s="85">
        <v>3302121</v>
      </c>
      <c r="D579" s="85" t="s">
        <v>1748</v>
      </c>
      <c r="E579" s="85" t="s">
        <v>81</v>
      </c>
      <c r="F579" s="85" t="s">
        <v>404</v>
      </c>
      <c r="G579" s="2">
        <v>41426</v>
      </c>
      <c r="H579" s="85" t="s">
        <v>255</v>
      </c>
      <c r="I579" s="85" t="s">
        <v>256</v>
      </c>
      <c r="J579" s="85" t="s">
        <v>1749</v>
      </c>
      <c r="K579" s="85" t="s">
        <v>405</v>
      </c>
      <c r="L579" s="85" t="s">
        <v>335</v>
      </c>
      <c r="M579" s="85" t="s">
        <v>203</v>
      </c>
      <c r="N579" s="85" t="s">
        <v>203</v>
      </c>
      <c r="O579" s="85" t="s">
        <v>209</v>
      </c>
      <c r="P579" s="85" t="s">
        <v>1750</v>
      </c>
      <c r="Q579" s="85" t="s">
        <v>1751</v>
      </c>
      <c r="R579" s="85">
        <v>5</v>
      </c>
      <c r="S579" s="85">
        <v>223</v>
      </c>
      <c r="T579" s="2">
        <v>44138</v>
      </c>
      <c r="U579" s="2">
        <v>44160</v>
      </c>
    </row>
    <row r="580" spans="1:21" x14ac:dyDescent="0.2">
      <c r="A580" s="3" t="str">
        <f>HYPERLINK("http://www.ofsted.gov.uk/inspection-reports/find-inspection-report/provider/ELS/140173 ","Ofsted School Webpage")</f>
        <v>Ofsted School Webpage</v>
      </c>
      <c r="B580" s="85">
        <v>140173</v>
      </c>
      <c r="C580" s="85">
        <v>8732020</v>
      </c>
      <c r="D580" s="85" t="s">
        <v>1752</v>
      </c>
      <c r="E580" s="85" t="s">
        <v>81</v>
      </c>
      <c r="F580" s="85" t="s">
        <v>404</v>
      </c>
      <c r="G580" s="2">
        <v>41548</v>
      </c>
      <c r="H580" s="85" t="s">
        <v>255</v>
      </c>
      <c r="I580" s="85" t="s">
        <v>256</v>
      </c>
      <c r="J580" s="85" t="s">
        <v>257</v>
      </c>
      <c r="K580" s="85" t="s">
        <v>405</v>
      </c>
      <c r="L580" s="85" t="s">
        <v>258</v>
      </c>
      <c r="M580" s="85" t="s">
        <v>95</v>
      </c>
      <c r="N580" s="85" t="s">
        <v>95</v>
      </c>
      <c r="O580" s="85" t="s">
        <v>97</v>
      </c>
      <c r="P580" s="85" t="s">
        <v>1113</v>
      </c>
      <c r="Q580" s="85" t="s">
        <v>1753</v>
      </c>
      <c r="R580" s="85">
        <v>4</v>
      </c>
      <c r="S580" s="85">
        <v>266</v>
      </c>
      <c r="T580" s="2">
        <v>44138</v>
      </c>
      <c r="U580" s="2">
        <v>44168</v>
      </c>
    </row>
    <row r="581" spans="1:21" x14ac:dyDescent="0.2">
      <c r="A581" s="3" t="str">
        <f>HYPERLINK("http://www.ofsted.gov.uk/inspection-reports/find-inspection-report/provider/ELS/138357 ","Ofsted School Webpage")</f>
        <v>Ofsted School Webpage</v>
      </c>
      <c r="B581" s="85">
        <v>138357</v>
      </c>
      <c r="C581" s="85">
        <v>3722000</v>
      </c>
      <c r="D581" s="85" t="s">
        <v>1754</v>
      </c>
      <c r="E581" s="85" t="s">
        <v>81</v>
      </c>
      <c r="F581" s="85" t="s">
        <v>404</v>
      </c>
      <c r="G581" s="2">
        <v>41091</v>
      </c>
      <c r="H581" s="85" t="s">
        <v>255</v>
      </c>
      <c r="I581" s="85" t="s">
        <v>255</v>
      </c>
      <c r="J581" s="85" t="s">
        <v>257</v>
      </c>
      <c r="K581" s="85" t="s">
        <v>405</v>
      </c>
      <c r="L581" s="85" t="s">
        <v>258</v>
      </c>
      <c r="M581" s="85" t="s">
        <v>236</v>
      </c>
      <c r="N581" s="85" t="s">
        <v>218</v>
      </c>
      <c r="O581" s="85" t="s">
        <v>219</v>
      </c>
      <c r="P581" s="85" t="s">
        <v>263</v>
      </c>
      <c r="Q581" s="85" t="s">
        <v>1755</v>
      </c>
      <c r="R581" s="85">
        <v>5</v>
      </c>
      <c r="S581" s="85">
        <v>270</v>
      </c>
      <c r="T581" s="2">
        <v>44138</v>
      </c>
      <c r="U581" s="2">
        <v>44166</v>
      </c>
    </row>
    <row r="582" spans="1:21" x14ac:dyDescent="0.2">
      <c r="A582" s="3" t="str">
        <f>HYPERLINK("http://www.ofsted.gov.uk/inspection-reports/find-inspection-report/provider/ELS/138391 ","Ofsted School Webpage")</f>
        <v>Ofsted School Webpage</v>
      </c>
      <c r="B582" s="85">
        <v>138391</v>
      </c>
      <c r="C582" s="85">
        <v>8452002</v>
      </c>
      <c r="D582" s="85" t="s">
        <v>1756</v>
      </c>
      <c r="E582" s="85" t="s">
        <v>81</v>
      </c>
      <c r="F582" s="85" t="s">
        <v>404</v>
      </c>
      <c r="G582" s="2">
        <v>41153</v>
      </c>
      <c r="H582" s="85" t="s">
        <v>255</v>
      </c>
      <c r="I582" s="85" t="s">
        <v>255</v>
      </c>
      <c r="J582" s="85" t="s">
        <v>257</v>
      </c>
      <c r="K582" s="85" t="s">
        <v>405</v>
      </c>
      <c r="L582" s="85" t="s">
        <v>258</v>
      </c>
      <c r="M582" s="85" t="s">
        <v>169</v>
      </c>
      <c r="N582" s="85" t="s">
        <v>169</v>
      </c>
      <c r="O582" s="85" t="s">
        <v>180</v>
      </c>
      <c r="P582" s="85" t="s">
        <v>784</v>
      </c>
      <c r="Q582" s="85" t="s">
        <v>1757</v>
      </c>
      <c r="R582" s="85">
        <v>4</v>
      </c>
      <c r="S582" s="85">
        <v>404</v>
      </c>
      <c r="T582" s="2">
        <v>44138</v>
      </c>
      <c r="U582" s="2">
        <v>44165</v>
      </c>
    </row>
    <row r="583" spans="1:21" x14ac:dyDescent="0.2">
      <c r="A583" s="3" t="str">
        <f>HYPERLINK("http://www.ofsted.gov.uk/inspection-reports/find-inspection-report/provider/ELS/138629 ","Ofsted School Webpage")</f>
        <v>Ofsted School Webpage</v>
      </c>
      <c r="B583" s="85">
        <v>138629</v>
      </c>
      <c r="C583" s="85">
        <v>8652040</v>
      </c>
      <c r="D583" s="85" t="s">
        <v>1758</v>
      </c>
      <c r="E583" s="85" t="s">
        <v>81</v>
      </c>
      <c r="F583" s="85" t="s">
        <v>400</v>
      </c>
      <c r="G583" s="2">
        <v>41153</v>
      </c>
      <c r="H583" s="85" t="s">
        <v>255</v>
      </c>
      <c r="I583" s="85" t="s">
        <v>256</v>
      </c>
      <c r="J583" s="85" t="s">
        <v>257</v>
      </c>
      <c r="K583" s="85" t="s">
        <v>257</v>
      </c>
      <c r="L583" s="85" t="s">
        <v>258</v>
      </c>
      <c r="M583" s="85" t="s">
        <v>188</v>
      </c>
      <c r="N583" s="85" t="s">
        <v>188</v>
      </c>
      <c r="O583" s="85" t="s">
        <v>202</v>
      </c>
      <c r="P583" s="85" t="s">
        <v>1759</v>
      </c>
      <c r="Q583" s="85" t="s">
        <v>1760</v>
      </c>
      <c r="R583" s="85">
        <v>1</v>
      </c>
      <c r="S583" s="85">
        <v>56</v>
      </c>
      <c r="T583" s="2">
        <v>44138</v>
      </c>
      <c r="U583" s="2">
        <v>44158</v>
      </c>
    </row>
    <row r="584" spans="1:21" x14ac:dyDescent="0.2">
      <c r="A584" s="3" t="str">
        <f>HYPERLINK("http://www.ofsted.gov.uk/inspection-reports/find-inspection-report/provider/ELS/142962 ","Ofsted School Webpage")</f>
        <v>Ofsted School Webpage</v>
      </c>
      <c r="B584" s="85">
        <v>142962</v>
      </c>
      <c r="C584" s="85">
        <v>8413002</v>
      </c>
      <c r="D584" s="85" t="s">
        <v>1761</v>
      </c>
      <c r="E584" s="85" t="s">
        <v>81</v>
      </c>
      <c r="F584" s="85" t="s">
        <v>400</v>
      </c>
      <c r="G584" s="2">
        <v>42644</v>
      </c>
      <c r="H584" s="85" t="s">
        <v>255</v>
      </c>
      <c r="I584" s="85" t="s">
        <v>256</v>
      </c>
      <c r="J584" s="85" t="s">
        <v>342</v>
      </c>
      <c r="K584" s="85" t="s">
        <v>257</v>
      </c>
      <c r="L584" s="85" t="s">
        <v>335</v>
      </c>
      <c r="M584" s="85" t="s">
        <v>236</v>
      </c>
      <c r="N584" s="85" t="s">
        <v>135</v>
      </c>
      <c r="O584" s="85" t="s">
        <v>140</v>
      </c>
      <c r="P584" s="85" t="s">
        <v>140</v>
      </c>
      <c r="Q584" s="85" t="s">
        <v>1762</v>
      </c>
      <c r="R584" s="85">
        <v>5</v>
      </c>
      <c r="S584" s="85">
        <v>198</v>
      </c>
      <c r="T584" s="2">
        <v>44138</v>
      </c>
      <c r="U584" s="2">
        <v>44165</v>
      </c>
    </row>
    <row r="585" spans="1:21" x14ac:dyDescent="0.2">
      <c r="A585" s="3" t="str">
        <f>HYPERLINK("http://www.ofsted.gov.uk/inspection-reports/find-inspection-report/provider/ELS/138324 ","Ofsted School Webpage")</f>
        <v>Ofsted School Webpage</v>
      </c>
      <c r="B585" s="85">
        <v>138324</v>
      </c>
      <c r="C585" s="85">
        <v>9255226</v>
      </c>
      <c r="D585" s="85" t="s">
        <v>1763</v>
      </c>
      <c r="E585" s="85" t="s">
        <v>81</v>
      </c>
      <c r="F585" s="85" t="s">
        <v>400</v>
      </c>
      <c r="G585" s="2">
        <v>41091</v>
      </c>
      <c r="H585" s="85" t="s">
        <v>255</v>
      </c>
      <c r="I585" s="85" t="s">
        <v>256</v>
      </c>
      <c r="J585" s="85" t="s">
        <v>342</v>
      </c>
      <c r="K585" s="85" t="s">
        <v>257</v>
      </c>
      <c r="L585" s="85" t="s">
        <v>335</v>
      </c>
      <c r="M585" s="85" t="s">
        <v>85</v>
      </c>
      <c r="N585" s="85" t="s">
        <v>85</v>
      </c>
      <c r="O585" s="85" t="s">
        <v>89</v>
      </c>
      <c r="P585" s="85" t="s">
        <v>1666</v>
      </c>
      <c r="Q585" s="85" t="s">
        <v>1764</v>
      </c>
      <c r="R585" s="85">
        <v>3</v>
      </c>
      <c r="S585" s="85">
        <v>204</v>
      </c>
      <c r="T585" s="2">
        <v>44138</v>
      </c>
      <c r="U585" s="2">
        <v>44165</v>
      </c>
    </row>
    <row r="586" spans="1:21" x14ac:dyDescent="0.2">
      <c r="A586" s="3" t="str">
        <f>HYPERLINK("http://www.ofsted.gov.uk/inspection-reports/find-inspection-report/provider/ELS/142881 ","Ofsted School Webpage")</f>
        <v>Ofsted School Webpage</v>
      </c>
      <c r="B586" s="85">
        <v>142881</v>
      </c>
      <c r="C586" s="85">
        <v>9374009</v>
      </c>
      <c r="D586" s="85" t="s">
        <v>1765</v>
      </c>
      <c r="E586" s="85" t="s">
        <v>82</v>
      </c>
      <c r="F586" s="85" t="s">
        <v>454</v>
      </c>
      <c r="G586" s="2">
        <v>42618</v>
      </c>
      <c r="H586" s="85" t="s">
        <v>450</v>
      </c>
      <c r="I586" s="85" t="s">
        <v>256</v>
      </c>
      <c r="J586" s="85" t="s">
        <v>405</v>
      </c>
      <c r="K586" s="85" t="s">
        <v>405</v>
      </c>
      <c r="L586" s="85" t="s">
        <v>258</v>
      </c>
      <c r="M586" s="85" t="s">
        <v>203</v>
      </c>
      <c r="N586" s="85" t="s">
        <v>203</v>
      </c>
      <c r="O586" s="85" t="s">
        <v>212</v>
      </c>
      <c r="P586" s="85" t="s">
        <v>1415</v>
      </c>
      <c r="Q586" s="85" t="s">
        <v>1766</v>
      </c>
      <c r="R586" s="85">
        <v>2</v>
      </c>
      <c r="S586" s="85">
        <v>682</v>
      </c>
      <c r="T586" s="2">
        <v>44138</v>
      </c>
      <c r="U586" s="2">
        <v>44167</v>
      </c>
    </row>
    <row r="587" spans="1:21" x14ac:dyDescent="0.2">
      <c r="A587" s="3" t="str">
        <f>HYPERLINK("http://www.ofsted.gov.uk/inspection-reports/find-inspection-report/provider/ELS/137684 ","Ofsted School Webpage")</f>
        <v>Ofsted School Webpage</v>
      </c>
      <c r="B587" s="85">
        <v>137684</v>
      </c>
      <c r="C587" s="85">
        <v>8664060</v>
      </c>
      <c r="D587" s="85" t="s">
        <v>1767</v>
      </c>
      <c r="E587" s="85" t="s">
        <v>82</v>
      </c>
      <c r="F587" s="85" t="s">
        <v>400</v>
      </c>
      <c r="G587" s="2">
        <v>40878</v>
      </c>
      <c r="H587" s="85" t="s">
        <v>275</v>
      </c>
      <c r="I587" s="85" t="s">
        <v>256</v>
      </c>
      <c r="J587" s="85" t="s">
        <v>405</v>
      </c>
      <c r="K587" s="85" t="s">
        <v>257</v>
      </c>
      <c r="L587" s="85" t="s">
        <v>258</v>
      </c>
      <c r="M587" s="85" t="s">
        <v>188</v>
      </c>
      <c r="N587" s="85" t="s">
        <v>188</v>
      </c>
      <c r="O587" s="85" t="s">
        <v>201</v>
      </c>
      <c r="P587" s="85" t="s">
        <v>1768</v>
      </c>
      <c r="Q587" s="85" t="s">
        <v>1769</v>
      </c>
      <c r="R587" s="85">
        <v>4</v>
      </c>
      <c r="S587" s="85">
        <v>757</v>
      </c>
      <c r="T587" s="2">
        <v>44138</v>
      </c>
      <c r="U587" s="2">
        <v>44165</v>
      </c>
    </row>
    <row r="588" spans="1:21" x14ac:dyDescent="0.2">
      <c r="A588" s="3" t="str">
        <f>HYPERLINK("http://www.ofsted.gov.uk/inspection-reports/find-inspection-report/provider/ELS/142633 ","Ofsted School Webpage")</f>
        <v>Ofsted School Webpage</v>
      </c>
      <c r="B588" s="85">
        <v>142633</v>
      </c>
      <c r="C588" s="85">
        <v>9262118</v>
      </c>
      <c r="D588" s="85" t="s">
        <v>1770</v>
      </c>
      <c r="E588" s="85" t="s">
        <v>81</v>
      </c>
      <c r="F588" s="85" t="s">
        <v>404</v>
      </c>
      <c r="G588" s="2">
        <v>42675</v>
      </c>
      <c r="H588" s="85" t="s">
        <v>255</v>
      </c>
      <c r="I588" s="85" t="s">
        <v>256</v>
      </c>
      <c r="J588" s="85" t="s">
        <v>342</v>
      </c>
      <c r="K588" s="85" t="s">
        <v>450</v>
      </c>
      <c r="L588" s="85" t="s">
        <v>335</v>
      </c>
      <c r="M588" s="85" t="s">
        <v>95</v>
      </c>
      <c r="N588" s="85" t="s">
        <v>95</v>
      </c>
      <c r="O588" s="85" t="s">
        <v>103</v>
      </c>
      <c r="P588" s="85" t="s">
        <v>771</v>
      </c>
      <c r="Q588" s="85" t="s">
        <v>1771</v>
      </c>
      <c r="R588" s="85">
        <v>4</v>
      </c>
      <c r="S588" s="85">
        <v>421</v>
      </c>
      <c r="T588" s="2">
        <v>44138</v>
      </c>
      <c r="U588" s="2">
        <v>44168</v>
      </c>
    </row>
    <row r="589" spans="1:21" x14ac:dyDescent="0.2">
      <c r="A589" s="3" t="str">
        <f>HYPERLINK("http://www.ofsted.gov.uk/inspection-reports/find-inspection-report/provider/ELS/145414 ","Ofsted School Webpage")</f>
        <v>Ofsted School Webpage</v>
      </c>
      <c r="B589" s="85">
        <v>145414</v>
      </c>
      <c r="C589" s="85">
        <v>8602031</v>
      </c>
      <c r="D589" s="85" t="s">
        <v>1772</v>
      </c>
      <c r="E589" s="85" t="s">
        <v>81</v>
      </c>
      <c r="F589" s="85" t="s">
        <v>404</v>
      </c>
      <c r="G589" s="2">
        <v>43101</v>
      </c>
      <c r="H589" s="85" t="s">
        <v>255</v>
      </c>
      <c r="I589" s="85" t="s">
        <v>256</v>
      </c>
      <c r="J589" s="85" t="s">
        <v>257</v>
      </c>
      <c r="K589" s="85" t="s">
        <v>257</v>
      </c>
      <c r="L589" s="85" t="s">
        <v>258</v>
      </c>
      <c r="M589" s="85" t="s">
        <v>203</v>
      </c>
      <c r="N589" s="85" t="s">
        <v>203</v>
      </c>
      <c r="O589" s="85" t="s">
        <v>206</v>
      </c>
      <c r="P589" s="85" t="s">
        <v>1773</v>
      </c>
      <c r="Q589" s="85" t="s">
        <v>1774</v>
      </c>
      <c r="R589" s="85">
        <v>2</v>
      </c>
      <c r="S589" s="85">
        <v>560</v>
      </c>
      <c r="T589" s="2">
        <v>44138</v>
      </c>
      <c r="U589" s="2">
        <v>44165</v>
      </c>
    </row>
    <row r="590" spans="1:21" x14ac:dyDescent="0.2">
      <c r="A590" s="3" t="str">
        <f>HYPERLINK("http://www.ofsted.gov.uk/inspection-reports/find-inspection-report/provider/ELS/143853 ","Ofsted School Webpage")</f>
        <v>Ofsted School Webpage</v>
      </c>
      <c r="B590" s="85">
        <v>143853</v>
      </c>
      <c r="C590" s="85">
        <v>8314005</v>
      </c>
      <c r="D590" s="85" t="s">
        <v>1775</v>
      </c>
      <c r="E590" s="85" t="s">
        <v>82</v>
      </c>
      <c r="F590" s="85" t="s">
        <v>404</v>
      </c>
      <c r="G590" s="2">
        <v>42767</v>
      </c>
      <c r="H590" s="85" t="s">
        <v>255</v>
      </c>
      <c r="I590" s="85" t="s">
        <v>256</v>
      </c>
      <c r="J590" s="85" t="s">
        <v>257</v>
      </c>
      <c r="K590" s="85" t="s">
        <v>450</v>
      </c>
      <c r="L590" s="85" t="s">
        <v>258</v>
      </c>
      <c r="M590" s="85" t="s">
        <v>85</v>
      </c>
      <c r="N590" s="85" t="s">
        <v>85</v>
      </c>
      <c r="O590" s="85" t="s">
        <v>91</v>
      </c>
      <c r="P590" s="85" t="s">
        <v>517</v>
      </c>
      <c r="Q590" s="85" t="s">
        <v>1776</v>
      </c>
      <c r="R590" s="85">
        <v>5</v>
      </c>
      <c r="S590" s="85">
        <v>993</v>
      </c>
      <c r="T590" s="2">
        <v>44138</v>
      </c>
      <c r="U590" s="2">
        <v>44165</v>
      </c>
    </row>
    <row r="591" spans="1:21" x14ac:dyDescent="0.2">
      <c r="A591" s="3" t="str">
        <f>HYPERLINK("http://www.ofsted.gov.uk/inspection-reports/find-inspection-report/provider/ELS/147627 ","Ofsted School Webpage")</f>
        <v>Ofsted School Webpage</v>
      </c>
      <c r="B591" s="85">
        <v>147627</v>
      </c>
      <c r="C591" s="85">
        <v>8307012</v>
      </c>
      <c r="D591" s="85" t="s">
        <v>1777</v>
      </c>
      <c r="E591" s="85" t="s">
        <v>83</v>
      </c>
      <c r="F591" s="85" t="s">
        <v>1064</v>
      </c>
      <c r="G591" s="2">
        <v>43983</v>
      </c>
      <c r="H591" s="85" t="s">
        <v>255</v>
      </c>
      <c r="I591" s="85" t="s">
        <v>276</v>
      </c>
      <c r="J591" s="85" t="s">
        <v>257</v>
      </c>
      <c r="K591" s="85" t="s">
        <v>257</v>
      </c>
      <c r="L591" s="85" t="s">
        <v>258</v>
      </c>
      <c r="M591" s="85" t="s">
        <v>85</v>
      </c>
      <c r="N591" s="85" t="s">
        <v>85</v>
      </c>
      <c r="O591" s="85" t="s">
        <v>86</v>
      </c>
      <c r="P591" s="85" t="s">
        <v>612</v>
      </c>
      <c r="Q591" s="85" t="s">
        <v>1778</v>
      </c>
      <c r="R591" s="85">
        <v>4</v>
      </c>
      <c r="S591" s="85" t="s">
        <v>262</v>
      </c>
      <c r="T591" s="2">
        <v>44138</v>
      </c>
      <c r="U591" s="2">
        <v>44167</v>
      </c>
    </row>
    <row r="592" spans="1:21" x14ac:dyDescent="0.2">
      <c r="A592" s="3" t="str">
        <f>HYPERLINK("http://www.ofsted.gov.uk/inspection-reports/find-inspection-report/provider/ELS/142071 ","Ofsted School Webpage")</f>
        <v>Ofsted School Webpage</v>
      </c>
      <c r="B592" s="85">
        <v>142071</v>
      </c>
      <c r="C592" s="85">
        <v>3301111</v>
      </c>
      <c r="D592" s="85" t="s">
        <v>1779</v>
      </c>
      <c r="E592" s="85" t="s">
        <v>84</v>
      </c>
      <c r="F592" s="85" t="s">
        <v>1231</v>
      </c>
      <c r="G592" s="2">
        <v>42248</v>
      </c>
      <c r="H592" s="85" t="s">
        <v>450</v>
      </c>
      <c r="I592" s="85" t="s">
        <v>256</v>
      </c>
      <c r="J592" s="85" t="s">
        <v>405</v>
      </c>
      <c r="K592" s="85" t="s">
        <v>405</v>
      </c>
      <c r="L592" s="85" t="s">
        <v>258</v>
      </c>
      <c r="M592" s="85" t="s">
        <v>203</v>
      </c>
      <c r="N592" s="85" t="s">
        <v>203</v>
      </c>
      <c r="O592" s="85" t="s">
        <v>209</v>
      </c>
      <c r="P592" s="85" t="s">
        <v>1750</v>
      </c>
      <c r="Q592" s="85" t="s">
        <v>1780</v>
      </c>
      <c r="R592" s="85">
        <v>5</v>
      </c>
      <c r="S592" s="85">
        <v>6</v>
      </c>
      <c r="T592" s="2">
        <v>44138</v>
      </c>
      <c r="U592" s="2">
        <v>44167</v>
      </c>
    </row>
    <row r="593" spans="1:21" x14ac:dyDescent="0.2">
      <c r="A593" s="3" t="str">
        <f>HYPERLINK("http://www.ofsted.gov.uk/inspection-reports/find-inspection-report/provider/ELS/143827 ","Ofsted School Webpage")</f>
        <v>Ofsted School Webpage</v>
      </c>
      <c r="B593" s="85">
        <v>143827</v>
      </c>
      <c r="C593" s="85">
        <v>8792007</v>
      </c>
      <c r="D593" s="85" t="s">
        <v>1781</v>
      </c>
      <c r="E593" s="85" t="s">
        <v>81</v>
      </c>
      <c r="F593" s="85" t="s">
        <v>404</v>
      </c>
      <c r="G593" s="2">
        <v>42705</v>
      </c>
      <c r="H593" s="85" t="s">
        <v>255</v>
      </c>
      <c r="I593" s="85" t="s">
        <v>256</v>
      </c>
      <c r="J593" s="85" t="s">
        <v>257</v>
      </c>
      <c r="K593" s="85" t="s">
        <v>450</v>
      </c>
      <c r="L593" s="85" t="s">
        <v>258</v>
      </c>
      <c r="M593" s="85" t="s">
        <v>188</v>
      </c>
      <c r="N593" s="85" t="s">
        <v>188</v>
      </c>
      <c r="O593" s="85" t="s">
        <v>191</v>
      </c>
      <c r="P593" s="85" t="s">
        <v>1782</v>
      </c>
      <c r="Q593" s="85" t="s">
        <v>1783</v>
      </c>
      <c r="R593" s="85">
        <v>5</v>
      </c>
      <c r="S593" s="85">
        <v>141</v>
      </c>
      <c r="T593" s="2">
        <v>44138</v>
      </c>
      <c r="U593" s="2">
        <v>44161</v>
      </c>
    </row>
    <row r="594" spans="1:21" x14ac:dyDescent="0.2">
      <c r="A594" s="3" t="str">
        <f>HYPERLINK("http://www.ofsted.gov.uk/inspection-reports/find-inspection-report/provider/ELS/143196 ","Ofsted School Webpage")</f>
        <v>Ofsted School Webpage</v>
      </c>
      <c r="B594" s="85">
        <v>143196</v>
      </c>
      <c r="C594" s="85">
        <v>3322156</v>
      </c>
      <c r="D594" s="85" t="s">
        <v>1784</v>
      </c>
      <c r="E594" s="85" t="s">
        <v>81</v>
      </c>
      <c r="F594" s="85" t="s">
        <v>400</v>
      </c>
      <c r="G594" s="2">
        <v>42675</v>
      </c>
      <c r="H594" s="85" t="s">
        <v>255</v>
      </c>
      <c r="I594" s="85" t="s">
        <v>256</v>
      </c>
      <c r="J594" s="85" t="s">
        <v>257</v>
      </c>
      <c r="K594" s="85" t="s">
        <v>257</v>
      </c>
      <c r="L594" s="85" t="s">
        <v>258</v>
      </c>
      <c r="M594" s="85" t="s">
        <v>203</v>
      </c>
      <c r="N594" s="85" t="s">
        <v>203</v>
      </c>
      <c r="O594" s="85" t="s">
        <v>217</v>
      </c>
      <c r="P594" s="85" t="s">
        <v>1185</v>
      </c>
      <c r="Q594" s="85" t="s">
        <v>1785</v>
      </c>
      <c r="R594" s="85">
        <v>5</v>
      </c>
      <c r="S594" s="85">
        <v>268</v>
      </c>
      <c r="T594" s="2">
        <v>44138</v>
      </c>
      <c r="U594" s="2">
        <v>44166</v>
      </c>
    </row>
    <row r="595" spans="1:21" x14ac:dyDescent="0.2">
      <c r="A595" s="3" t="str">
        <f>HYPERLINK("http://www.ofsted.gov.uk/inspection-reports/find-inspection-report/provider/ELS/143204 ","Ofsted School Webpage")</f>
        <v>Ofsted School Webpage</v>
      </c>
      <c r="B595" s="85">
        <v>143204</v>
      </c>
      <c r="C595" s="85">
        <v>8812083</v>
      </c>
      <c r="D595" s="85" t="s">
        <v>1786</v>
      </c>
      <c r="E595" s="85" t="s">
        <v>81</v>
      </c>
      <c r="F595" s="85" t="s">
        <v>400</v>
      </c>
      <c r="G595" s="2">
        <v>42614</v>
      </c>
      <c r="H595" s="85" t="s">
        <v>255</v>
      </c>
      <c r="I595" s="85" t="s">
        <v>256</v>
      </c>
      <c r="J595" s="85" t="s">
        <v>257</v>
      </c>
      <c r="K595" s="85" t="s">
        <v>257</v>
      </c>
      <c r="L595" s="85" t="s">
        <v>258</v>
      </c>
      <c r="M595" s="85" t="s">
        <v>95</v>
      </c>
      <c r="N595" s="85" t="s">
        <v>95</v>
      </c>
      <c r="O595" s="85" t="s">
        <v>104</v>
      </c>
      <c r="P595" s="85" t="s">
        <v>833</v>
      </c>
      <c r="Q595" s="85" t="s">
        <v>1787</v>
      </c>
      <c r="R595" s="85">
        <v>3</v>
      </c>
      <c r="S595" s="85">
        <v>386</v>
      </c>
      <c r="T595" s="2">
        <v>44138</v>
      </c>
      <c r="U595" s="2">
        <v>44168</v>
      </c>
    </row>
    <row r="596" spans="1:21" x14ac:dyDescent="0.2">
      <c r="A596" s="3" t="str">
        <f>HYPERLINK("http://www.ofsted.gov.uk/inspection-reports/find-inspection-report/provider/ELS/141847 ","Ofsted School Webpage")</f>
        <v>Ofsted School Webpage</v>
      </c>
      <c r="B596" s="85">
        <v>141847</v>
      </c>
      <c r="C596" s="85">
        <v>8782248</v>
      </c>
      <c r="D596" s="85" t="s">
        <v>1788</v>
      </c>
      <c r="E596" s="85" t="s">
        <v>81</v>
      </c>
      <c r="F596" s="85" t="s">
        <v>400</v>
      </c>
      <c r="G596" s="2">
        <v>42095</v>
      </c>
      <c r="H596" s="85" t="s">
        <v>255</v>
      </c>
      <c r="I596" s="85" t="s">
        <v>256</v>
      </c>
      <c r="J596" s="85" t="s">
        <v>257</v>
      </c>
      <c r="K596" s="85" t="s">
        <v>257</v>
      </c>
      <c r="L596" s="85" t="s">
        <v>258</v>
      </c>
      <c r="M596" s="85" t="s">
        <v>188</v>
      </c>
      <c r="N596" s="85" t="s">
        <v>188</v>
      </c>
      <c r="O596" s="85" t="s">
        <v>197</v>
      </c>
      <c r="P596" s="85" t="s">
        <v>1429</v>
      </c>
      <c r="Q596" s="85" t="s">
        <v>1789</v>
      </c>
      <c r="R596" s="85">
        <v>1</v>
      </c>
      <c r="S596" s="85">
        <v>47</v>
      </c>
      <c r="T596" s="2">
        <v>44138</v>
      </c>
      <c r="U596" s="2">
        <v>44161</v>
      </c>
    </row>
    <row r="597" spans="1:21" x14ac:dyDescent="0.2">
      <c r="A597" s="3" t="str">
        <f>HYPERLINK("http://www.ofsted.gov.uk/inspection-reports/find-inspection-report/provider/ELS/144755 ","Ofsted School Webpage")</f>
        <v>Ofsted School Webpage</v>
      </c>
      <c r="B597" s="85">
        <v>144755</v>
      </c>
      <c r="C597" s="85">
        <v>3524013</v>
      </c>
      <c r="D597" s="85" t="s">
        <v>1790</v>
      </c>
      <c r="E597" s="85" t="s">
        <v>82</v>
      </c>
      <c r="F597" s="85" t="s">
        <v>454</v>
      </c>
      <c r="G597" s="2">
        <v>42979</v>
      </c>
      <c r="H597" s="85" t="s">
        <v>450</v>
      </c>
      <c r="I597" s="85" t="s">
        <v>256</v>
      </c>
      <c r="J597" s="85" t="s">
        <v>405</v>
      </c>
      <c r="K597" s="85" t="s">
        <v>405</v>
      </c>
      <c r="L597" s="85" t="s">
        <v>258</v>
      </c>
      <c r="M597" s="85" t="s">
        <v>148</v>
      </c>
      <c r="N597" s="85" t="s">
        <v>148</v>
      </c>
      <c r="O597" s="85" t="s">
        <v>151</v>
      </c>
      <c r="P597" s="85" t="s">
        <v>625</v>
      </c>
      <c r="Q597" s="85" t="s">
        <v>1791</v>
      </c>
      <c r="R597" s="85">
        <v>5</v>
      </c>
      <c r="S597" s="85">
        <v>635</v>
      </c>
      <c r="T597" s="2">
        <v>44138</v>
      </c>
      <c r="U597" s="2">
        <v>44161</v>
      </c>
    </row>
    <row r="598" spans="1:21" x14ac:dyDescent="0.2">
      <c r="A598" s="3" t="str">
        <f>HYPERLINK("http://www.ofsted.gov.uk/inspection-reports/find-inspection-report/provider/ELS/141487 ","Ofsted School Webpage")</f>
        <v>Ofsted School Webpage</v>
      </c>
      <c r="B598" s="85">
        <v>141487</v>
      </c>
      <c r="C598" s="85">
        <v>8847008</v>
      </c>
      <c r="D598" s="85" t="s">
        <v>1792</v>
      </c>
      <c r="E598" s="85" t="s">
        <v>83</v>
      </c>
      <c r="F598" s="85" t="s">
        <v>1064</v>
      </c>
      <c r="G598" s="2">
        <v>41913</v>
      </c>
      <c r="H598" s="85" t="s">
        <v>255</v>
      </c>
      <c r="I598" s="85" t="s">
        <v>255</v>
      </c>
      <c r="J598" s="85" t="s">
        <v>257</v>
      </c>
      <c r="K598" s="85" t="s">
        <v>405</v>
      </c>
      <c r="L598" s="85" t="s">
        <v>258</v>
      </c>
      <c r="M598" s="85" t="s">
        <v>203</v>
      </c>
      <c r="N598" s="85" t="s">
        <v>203</v>
      </c>
      <c r="O598" s="85" t="s">
        <v>204</v>
      </c>
      <c r="P598" s="85" t="s">
        <v>373</v>
      </c>
      <c r="Q598" s="85" t="s">
        <v>1793</v>
      </c>
      <c r="R598" s="85">
        <v>3</v>
      </c>
      <c r="S598" s="85">
        <v>88</v>
      </c>
      <c r="T598" s="2">
        <v>44138</v>
      </c>
      <c r="U598" s="2">
        <v>44165</v>
      </c>
    </row>
    <row r="599" spans="1:21" x14ac:dyDescent="0.2">
      <c r="A599" s="3" t="str">
        <f>HYPERLINK("http://www.ofsted.gov.uk/inspection-reports/find-inspection-report/provider/ELS/141717 ","Ofsted School Webpage")</f>
        <v>Ofsted School Webpage</v>
      </c>
      <c r="B599" s="85">
        <v>141717</v>
      </c>
      <c r="C599" s="85">
        <v>8052237</v>
      </c>
      <c r="D599" s="85" t="s">
        <v>1794</v>
      </c>
      <c r="E599" s="85" t="s">
        <v>81</v>
      </c>
      <c r="F599" s="85" t="s">
        <v>400</v>
      </c>
      <c r="G599" s="2">
        <v>42064</v>
      </c>
      <c r="H599" s="85" t="s">
        <v>275</v>
      </c>
      <c r="I599" s="85" t="s">
        <v>256</v>
      </c>
      <c r="J599" s="85" t="s">
        <v>257</v>
      </c>
      <c r="K599" s="85" t="s">
        <v>257</v>
      </c>
      <c r="L599" s="85" t="s">
        <v>258</v>
      </c>
      <c r="M599" s="85" t="s">
        <v>236</v>
      </c>
      <c r="N599" s="85" t="s">
        <v>135</v>
      </c>
      <c r="O599" s="85" t="s">
        <v>147</v>
      </c>
      <c r="P599" s="85" t="s">
        <v>147</v>
      </c>
      <c r="Q599" s="85" t="s">
        <v>1795</v>
      </c>
      <c r="R599" s="85">
        <v>2</v>
      </c>
      <c r="S599" s="85">
        <v>336</v>
      </c>
      <c r="T599" s="2">
        <v>44138</v>
      </c>
      <c r="U599" s="2">
        <v>44167</v>
      </c>
    </row>
    <row r="600" spans="1:21" x14ac:dyDescent="0.2">
      <c r="A600" s="3" t="str">
        <f>HYPERLINK("http://www.ofsted.gov.uk/inspection-reports/find-inspection-report/provider/ELS/139176 ","Ofsted School Webpage")</f>
        <v>Ofsted School Webpage</v>
      </c>
      <c r="B600" s="85">
        <v>139176</v>
      </c>
      <c r="C600" s="85">
        <v>3093300</v>
      </c>
      <c r="D600" s="85" t="s">
        <v>1796</v>
      </c>
      <c r="E600" s="85" t="s">
        <v>81</v>
      </c>
      <c r="F600" s="85" t="s">
        <v>400</v>
      </c>
      <c r="G600" s="2">
        <v>41275</v>
      </c>
      <c r="H600" s="85" t="s">
        <v>255</v>
      </c>
      <c r="I600" s="85" t="s">
        <v>256</v>
      </c>
      <c r="J600" s="85" t="s">
        <v>342</v>
      </c>
      <c r="K600" s="85" t="s">
        <v>257</v>
      </c>
      <c r="L600" s="85" t="s">
        <v>335</v>
      </c>
      <c r="M600" s="85" t="s">
        <v>107</v>
      </c>
      <c r="N600" s="85" t="s">
        <v>107</v>
      </c>
      <c r="O600" s="85" t="s">
        <v>113</v>
      </c>
      <c r="P600" s="85" t="s">
        <v>1797</v>
      </c>
      <c r="Q600" s="85" t="s">
        <v>1798</v>
      </c>
      <c r="R600" s="85">
        <v>5</v>
      </c>
      <c r="S600" s="85">
        <v>134</v>
      </c>
      <c r="T600" s="2">
        <v>44138</v>
      </c>
      <c r="U600" s="2">
        <v>44166</v>
      </c>
    </row>
    <row r="601" spans="1:21" x14ac:dyDescent="0.2">
      <c r="A601" s="3" t="str">
        <f>HYPERLINK("http://www.ofsted.gov.uk/inspection-reports/find-inspection-report/provider/ELS/140251 ","Ofsted School Webpage")</f>
        <v>Ofsted School Webpage</v>
      </c>
      <c r="B601" s="85">
        <v>140251</v>
      </c>
      <c r="C601" s="85">
        <v>8552070</v>
      </c>
      <c r="D601" s="85" t="s">
        <v>1799</v>
      </c>
      <c r="E601" s="85" t="s">
        <v>81</v>
      </c>
      <c r="F601" s="85" t="s">
        <v>400</v>
      </c>
      <c r="G601" s="2">
        <v>41548</v>
      </c>
      <c r="H601" s="85" t="s">
        <v>255</v>
      </c>
      <c r="I601" s="85" t="s">
        <v>256</v>
      </c>
      <c r="J601" s="85" t="s">
        <v>257</v>
      </c>
      <c r="K601" s="85" t="s">
        <v>257</v>
      </c>
      <c r="L601" s="85" t="s">
        <v>258</v>
      </c>
      <c r="M601" s="85" t="s">
        <v>85</v>
      </c>
      <c r="N601" s="85" t="s">
        <v>85</v>
      </c>
      <c r="O601" s="85" t="s">
        <v>93</v>
      </c>
      <c r="P601" s="85" t="s">
        <v>1132</v>
      </c>
      <c r="Q601" s="85" t="s">
        <v>1800</v>
      </c>
      <c r="R601" s="85">
        <v>3</v>
      </c>
      <c r="S601" s="85">
        <v>106</v>
      </c>
      <c r="T601" s="2">
        <v>44138</v>
      </c>
      <c r="U601" s="2">
        <v>44166</v>
      </c>
    </row>
    <row r="602" spans="1:21" x14ac:dyDescent="0.2">
      <c r="A602" s="3" t="str">
        <f>HYPERLINK("http://www.ofsted.gov.uk/inspection-reports/find-inspection-report/provider/ELS/143448 ","Ofsted School Webpage")</f>
        <v>Ofsted School Webpage</v>
      </c>
      <c r="B602" s="85">
        <v>143448</v>
      </c>
      <c r="C602" s="85">
        <v>9082240</v>
      </c>
      <c r="D602" s="85" t="s">
        <v>1801</v>
      </c>
      <c r="E602" s="85" t="s">
        <v>81</v>
      </c>
      <c r="F602" s="85" t="s">
        <v>400</v>
      </c>
      <c r="G602" s="2">
        <v>42644</v>
      </c>
      <c r="H602" s="85" t="s">
        <v>255</v>
      </c>
      <c r="I602" s="85" t="s">
        <v>256</v>
      </c>
      <c r="J602" s="85" t="s">
        <v>257</v>
      </c>
      <c r="K602" s="85" t="s">
        <v>257</v>
      </c>
      <c r="L602" s="85" t="s">
        <v>258</v>
      </c>
      <c r="M602" s="85" t="s">
        <v>188</v>
      </c>
      <c r="N602" s="85" t="s">
        <v>188</v>
      </c>
      <c r="O602" s="85" t="s">
        <v>196</v>
      </c>
      <c r="P602" s="85" t="s">
        <v>873</v>
      </c>
      <c r="Q602" s="85" t="s">
        <v>1802</v>
      </c>
      <c r="R602" s="85">
        <v>4</v>
      </c>
      <c r="S602" s="85">
        <v>216</v>
      </c>
      <c r="T602" s="2">
        <v>44138</v>
      </c>
      <c r="U602" s="2">
        <v>44168</v>
      </c>
    </row>
    <row r="603" spans="1:21" x14ac:dyDescent="0.2">
      <c r="A603" s="3" t="str">
        <f>HYPERLINK("http://www.ofsted.gov.uk/inspection-reports/find-inspection-report/provider/ELS/144648 ","Ofsted School Webpage")</f>
        <v>Ofsted School Webpage</v>
      </c>
      <c r="B603" s="85">
        <v>144648</v>
      </c>
      <c r="C603" s="85">
        <v>9372056</v>
      </c>
      <c r="D603" s="85" t="s">
        <v>1803</v>
      </c>
      <c r="E603" s="85" t="s">
        <v>81</v>
      </c>
      <c r="F603" s="85" t="s">
        <v>454</v>
      </c>
      <c r="G603" s="2">
        <v>42979</v>
      </c>
      <c r="H603" s="85" t="s">
        <v>450</v>
      </c>
      <c r="I603" s="85" t="s">
        <v>256</v>
      </c>
      <c r="J603" s="85" t="s">
        <v>405</v>
      </c>
      <c r="K603" s="85" t="s">
        <v>405</v>
      </c>
      <c r="L603" s="85" t="s">
        <v>258</v>
      </c>
      <c r="M603" s="85" t="s">
        <v>203</v>
      </c>
      <c r="N603" s="85" t="s">
        <v>203</v>
      </c>
      <c r="O603" s="85" t="s">
        <v>212</v>
      </c>
      <c r="P603" s="85" t="s">
        <v>744</v>
      </c>
      <c r="Q603" s="85" t="s">
        <v>1804</v>
      </c>
      <c r="R603" s="85">
        <v>1</v>
      </c>
      <c r="S603" s="85">
        <v>168</v>
      </c>
      <c r="T603" s="2">
        <v>44138</v>
      </c>
      <c r="U603" s="2">
        <v>44160</v>
      </c>
    </row>
    <row r="604" spans="1:21" x14ac:dyDescent="0.2">
      <c r="A604" s="3" t="str">
        <f>HYPERLINK("http://www.ofsted.gov.uk/inspection-reports/find-inspection-report/provider/ELS/102449 ","Ofsted School Webpage")</f>
        <v>Ofsted School Webpage</v>
      </c>
      <c r="B604" s="85">
        <v>102449</v>
      </c>
      <c r="C604" s="85">
        <v>3125409</v>
      </c>
      <c r="D604" s="85" t="s">
        <v>1805</v>
      </c>
      <c r="E604" s="85" t="s">
        <v>82</v>
      </c>
      <c r="F604" s="85" t="s">
        <v>382</v>
      </c>
      <c r="G604" s="85" t="s">
        <v>262</v>
      </c>
      <c r="H604" s="85" t="s">
        <v>275</v>
      </c>
      <c r="I604" s="85" t="s">
        <v>276</v>
      </c>
      <c r="J604" s="85" t="s">
        <v>405</v>
      </c>
      <c r="K604" s="85" t="s">
        <v>257</v>
      </c>
      <c r="L604" s="85" t="s">
        <v>258</v>
      </c>
      <c r="M604" s="85" t="s">
        <v>107</v>
      </c>
      <c r="N604" s="85" t="s">
        <v>107</v>
      </c>
      <c r="O604" s="85" t="s">
        <v>131</v>
      </c>
      <c r="P604" s="85" t="s">
        <v>1806</v>
      </c>
      <c r="Q604" s="85" t="s">
        <v>1807</v>
      </c>
      <c r="R604" s="85">
        <v>4</v>
      </c>
      <c r="S604" s="85">
        <v>912</v>
      </c>
      <c r="T604" s="2">
        <v>44139</v>
      </c>
      <c r="U604" s="2">
        <v>44164</v>
      </c>
    </row>
    <row r="605" spans="1:21" x14ac:dyDescent="0.2">
      <c r="A605" s="3" t="str">
        <f>HYPERLINK("http://www.ofsted.gov.uk/inspection-reports/find-inspection-report/provider/ELS/104910 ","Ofsted School Webpage")</f>
        <v>Ofsted School Webpage</v>
      </c>
      <c r="B605" s="85">
        <v>104910</v>
      </c>
      <c r="C605" s="85">
        <v>3433322</v>
      </c>
      <c r="D605" s="85" t="s">
        <v>1808</v>
      </c>
      <c r="E605" s="85" t="s">
        <v>81</v>
      </c>
      <c r="F605" s="85" t="s">
        <v>333</v>
      </c>
      <c r="G605" s="85" t="s">
        <v>262</v>
      </c>
      <c r="H605" s="85" t="s">
        <v>255</v>
      </c>
      <c r="I605" s="85" t="s">
        <v>256</v>
      </c>
      <c r="J605" s="85" t="s">
        <v>334</v>
      </c>
      <c r="K605" s="85" t="s">
        <v>257</v>
      </c>
      <c r="L605" s="85" t="s">
        <v>335</v>
      </c>
      <c r="M605" s="85" t="s">
        <v>148</v>
      </c>
      <c r="N605" s="85" t="s">
        <v>148</v>
      </c>
      <c r="O605" s="85" t="s">
        <v>163</v>
      </c>
      <c r="P605" s="85" t="s">
        <v>787</v>
      </c>
      <c r="Q605" s="85" t="s">
        <v>1809</v>
      </c>
      <c r="R605" s="85">
        <v>5</v>
      </c>
      <c r="S605" s="85">
        <v>213</v>
      </c>
      <c r="T605" s="2">
        <v>44139</v>
      </c>
      <c r="U605" s="2">
        <v>44161</v>
      </c>
    </row>
    <row r="606" spans="1:21" x14ac:dyDescent="0.2">
      <c r="A606" s="3" t="str">
        <f>HYPERLINK("http://www.ofsted.gov.uk/inspection-reports/find-inspection-report/provider/ELS/112831 ","Ofsted School Webpage")</f>
        <v>Ofsted School Webpage</v>
      </c>
      <c r="B606" s="85">
        <v>112831</v>
      </c>
      <c r="C606" s="85">
        <v>8303056</v>
      </c>
      <c r="D606" s="85" t="s">
        <v>1810</v>
      </c>
      <c r="E606" s="85" t="s">
        <v>81</v>
      </c>
      <c r="F606" s="85" t="s">
        <v>360</v>
      </c>
      <c r="G606" s="85" t="s">
        <v>262</v>
      </c>
      <c r="H606" s="85" t="s">
        <v>255</v>
      </c>
      <c r="I606" s="85" t="s">
        <v>256</v>
      </c>
      <c r="J606" s="85" t="s">
        <v>342</v>
      </c>
      <c r="K606" s="85" t="s">
        <v>257</v>
      </c>
      <c r="L606" s="85" t="s">
        <v>335</v>
      </c>
      <c r="M606" s="85" t="s">
        <v>85</v>
      </c>
      <c r="N606" s="85" t="s">
        <v>85</v>
      </c>
      <c r="O606" s="85" t="s">
        <v>86</v>
      </c>
      <c r="P606" s="85" t="s">
        <v>1811</v>
      </c>
      <c r="Q606" s="85" t="s">
        <v>1812</v>
      </c>
      <c r="R606" s="85">
        <v>1</v>
      </c>
      <c r="S606" s="85">
        <v>54</v>
      </c>
      <c r="T606" s="2">
        <v>44139</v>
      </c>
      <c r="U606" s="2">
        <v>44167</v>
      </c>
    </row>
    <row r="607" spans="1:21" x14ac:dyDescent="0.2">
      <c r="A607" s="3" t="str">
        <f>HYPERLINK("http://www.ofsted.gov.uk/inspection-reports/find-inspection-report/provider/ELS/105222 ","Ofsted School Webpage")</f>
        <v>Ofsted School Webpage</v>
      </c>
      <c r="B607" s="85">
        <v>105222</v>
      </c>
      <c r="C607" s="85">
        <v>3503319</v>
      </c>
      <c r="D607" s="85" t="s">
        <v>1813</v>
      </c>
      <c r="E607" s="85" t="s">
        <v>81</v>
      </c>
      <c r="F607" s="85" t="s">
        <v>333</v>
      </c>
      <c r="G607" s="85" t="s">
        <v>262</v>
      </c>
      <c r="H607" s="85" t="s">
        <v>255</v>
      </c>
      <c r="I607" s="85" t="s">
        <v>256</v>
      </c>
      <c r="J607" s="85" t="s">
        <v>334</v>
      </c>
      <c r="K607" s="85" t="s">
        <v>257</v>
      </c>
      <c r="L607" s="85" t="s">
        <v>335</v>
      </c>
      <c r="M607" s="85" t="s">
        <v>148</v>
      </c>
      <c r="N607" s="85" t="s">
        <v>148</v>
      </c>
      <c r="O607" s="85" t="s">
        <v>167</v>
      </c>
      <c r="P607" s="85" t="s">
        <v>1101</v>
      </c>
      <c r="Q607" s="85" t="s">
        <v>1814</v>
      </c>
      <c r="R607" s="85">
        <v>5</v>
      </c>
      <c r="S607" s="85">
        <v>249</v>
      </c>
      <c r="T607" s="2">
        <v>44140</v>
      </c>
      <c r="U607" s="2">
        <v>44166</v>
      </c>
    </row>
    <row r="608" spans="1:21" x14ac:dyDescent="0.2">
      <c r="A608" s="3" t="str">
        <f>HYPERLINK("http://www.ofsted.gov.uk/inspection-reports/find-inspection-report/provider/ELS/119676 ","Ofsted School Webpage")</f>
        <v>Ofsted School Webpage</v>
      </c>
      <c r="B608" s="85">
        <v>119676</v>
      </c>
      <c r="C608" s="85">
        <v>8883792</v>
      </c>
      <c r="D608" s="85" t="s">
        <v>1815</v>
      </c>
      <c r="E608" s="85" t="s">
        <v>81</v>
      </c>
      <c r="F608" s="85" t="s">
        <v>333</v>
      </c>
      <c r="G608" s="85" t="s">
        <v>262</v>
      </c>
      <c r="H608" s="85" t="s">
        <v>255</v>
      </c>
      <c r="I608" s="85" t="s">
        <v>256</v>
      </c>
      <c r="J608" s="85" t="s">
        <v>334</v>
      </c>
      <c r="K608" s="85" t="s">
        <v>257</v>
      </c>
      <c r="L608" s="85" t="s">
        <v>335</v>
      </c>
      <c r="M608" s="85" t="s">
        <v>148</v>
      </c>
      <c r="N608" s="85" t="s">
        <v>148</v>
      </c>
      <c r="O608" s="85" t="s">
        <v>149</v>
      </c>
      <c r="P608" s="85" t="s">
        <v>587</v>
      </c>
      <c r="Q608" s="85" t="s">
        <v>1816</v>
      </c>
      <c r="R608" s="85">
        <v>2</v>
      </c>
      <c r="S608" s="85">
        <v>206</v>
      </c>
      <c r="T608" s="2">
        <v>44140</v>
      </c>
      <c r="U608" s="2">
        <v>44167</v>
      </c>
    </row>
    <row r="609" spans="1:21" x14ac:dyDescent="0.2">
      <c r="A609" s="3" t="str">
        <f>HYPERLINK("http://www.ofsted.gov.uk/inspection-reports/find-inspection-report/provider/ELS/115948 ","Ofsted School Webpage")</f>
        <v>Ofsted School Webpage</v>
      </c>
      <c r="B609" s="85">
        <v>115948</v>
      </c>
      <c r="C609" s="85">
        <v>8502183</v>
      </c>
      <c r="D609" s="85" t="s">
        <v>1817</v>
      </c>
      <c r="E609" s="85" t="s">
        <v>81</v>
      </c>
      <c r="F609" s="85" t="s">
        <v>254</v>
      </c>
      <c r="G609" s="85" t="s">
        <v>262</v>
      </c>
      <c r="H609" s="85" t="s">
        <v>255</v>
      </c>
      <c r="I609" s="85" t="s">
        <v>256</v>
      </c>
      <c r="J609" s="85" t="s">
        <v>257</v>
      </c>
      <c r="K609" s="85" t="s">
        <v>257</v>
      </c>
      <c r="L609" s="85" t="s">
        <v>258</v>
      </c>
      <c r="M609" s="85" t="s">
        <v>169</v>
      </c>
      <c r="N609" s="85" t="s">
        <v>169</v>
      </c>
      <c r="O609" s="85" t="s">
        <v>170</v>
      </c>
      <c r="P609" s="85" t="s">
        <v>1818</v>
      </c>
      <c r="Q609" s="85" t="s">
        <v>1819</v>
      </c>
      <c r="R609" s="85">
        <v>2</v>
      </c>
      <c r="S609" s="85">
        <v>99</v>
      </c>
      <c r="T609" s="2">
        <v>44140</v>
      </c>
      <c r="U609" s="2">
        <v>44165</v>
      </c>
    </row>
    <row r="610" spans="1:21" x14ac:dyDescent="0.2">
      <c r="A610" s="3" t="str">
        <f>HYPERLINK("http://www.ofsted.gov.uk/inspection-reports/find-inspection-report/provider/ELS/122238 ","Ofsted School Webpage")</f>
        <v>Ofsted School Webpage</v>
      </c>
      <c r="B610" s="85">
        <v>122238</v>
      </c>
      <c r="C610" s="85">
        <v>9292281</v>
      </c>
      <c r="D610" s="85" t="s">
        <v>1820</v>
      </c>
      <c r="E610" s="85" t="s">
        <v>81</v>
      </c>
      <c r="F610" s="85" t="s">
        <v>254</v>
      </c>
      <c r="G610" s="85" t="s">
        <v>262</v>
      </c>
      <c r="H610" s="85" t="s">
        <v>255</v>
      </c>
      <c r="I610" s="85" t="s">
        <v>256</v>
      </c>
      <c r="J610" s="85" t="s">
        <v>257</v>
      </c>
      <c r="K610" s="85" t="s">
        <v>257</v>
      </c>
      <c r="L610" s="85" t="s">
        <v>258</v>
      </c>
      <c r="M610" s="85" t="s">
        <v>236</v>
      </c>
      <c r="N610" s="85" t="s">
        <v>135</v>
      </c>
      <c r="O610" s="85" t="s">
        <v>138</v>
      </c>
      <c r="P610" s="85" t="s">
        <v>401</v>
      </c>
      <c r="Q610" s="85" t="s">
        <v>1821</v>
      </c>
      <c r="R610" s="85">
        <v>3</v>
      </c>
      <c r="S610" s="85">
        <v>129</v>
      </c>
      <c r="T610" s="2">
        <v>44140</v>
      </c>
      <c r="U610" s="2">
        <v>44161</v>
      </c>
    </row>
    <row r="611" spans="1:21" x14ac:dyDescent="0.2">
      <c r="A611" s="3" t="str">
        <f>HYPERLINK("http://www.ofsted.gov.uk/inspection-reports/find-inspection-report/provider/ELS/102400 ","Ofsted School Webpage")</f>
        <v>Ofsted School Webpage</v>
      </c>
      <c r="B611" s="85">
        <v>102400</v>
      </c>
      <c r="C611" s="85">
        <v>3122054</v>
      </c>
      <c r="D611" s="85" t="s">
        <v>1822</v>
      </c>
      <c r="E611" s="85" t="s">
        <v>81</v>
      </c>
      <c r="F611" s="85" t="s">
        <v>254</v>
      </c>
      <c r="G611" s="85" t="s">
        <v>262</v>
      </c>
      <c r="H611" s="85" t="s">
        <v>255</v>
      </c>
      <c r="I611" s="85" t="s">
        <v>256</v>
      </c>
      <c r="J611" s="85" t="s">
        <v>257</v>
      </c>
      <c r="K611" s="85" t="s">
        <v>257</v>
      </c>
      <c r="L611" s="85" t="s">
        <v>258</v>
      </c>
      <c r="M611" s="85" t="s">
        <v>107</v>
      </c>
      <c r="N611" s="85" t="s">
        <v>107</v>
      </c>
      <c r="O611" s="85" t="s">
        <v>131</v>
      </c>
      <c r="P611" s="85" t="s">
        <v>1823</v>
      </c>
      <c r="Q611" s="85" t="s">
        <v>1824</v>
      </c>
      <c r="R611" s="85">
        <v>2</v>
      </c>
      <c r="S611" s="85">
        <v>353</v>
      </c>
      <c r="T611" s="2">
        <v>44140</v>
      </c>
      <c r="U611" s="2">
        <v>44166</v>
      </c>
    </row>
    <row r="612" spans="1:21" x14ac:dyDescent="0.2">
      <c r="A612" s="3" t="str">
        <f>HYPERLINK("http://www.ofsted.gov.uk/inspection-reports/find-inspection-report/provider/ELS/116932 ","Ofsted School Webpage")</f>
        <v>Ofsted School Webpage</v>
      </c>
      <c r="B612" s="85">
        <v>116932</v>
      </c>
      <c r="C612" s="85">
        <v>8854006</v>
      </c>
      <c r="D612" s="85" t="s">
        <v>1825</v>
      </c>
      <c r="E612" s="85" t="s">
        <v>82</v>
      </c>
      <c r="F612" s="85" t="s">
        <v>254</v>
      </c>
      <c r="G612" s="85" t="s">
        <v>262</v>
      </c>
      <c r="H612" s="85" t="s">
        <v>275</v>
      </c>
      <c r="I612" s="85" t="s">
        <v>276</v>
      </c>
      <c r="J612" s="85" t="s">
        <v>257</v>
      </c>
      <c r="K612" s="85" t="s">
        <v>257</v>
      </c>
      <c r="L612" s="85" t="s">
        <v>258</v>
      </c>
      <c r="M612" s="85" t="s">
        <v>203</v>
      </c>
      <c r="N612" s="85" t="s">
        <v>203</v>
      </c>
      <c r="O612" s="85" t="s">
        <v>215</v>
      </c>
      <c r="P612" s="85" t="s">
        <v>1602</v>
      </c>
      <c r="Q612" s="85" t="s">
        <v>1826</v>
      </c>
      <c r="R612" s="85">
        <v>2</v>
      </c>
      <c r="S612" s="85">
        <v>926</v>
      </c>
      <c r="T612" s="2">
        <v>44140</v>
      </c>
      <c r="U612" s="2">
        <v>44164</v>
      </c>
    </row>
    <row r="613" spans="1:21" x14ac:dyDescent="0.2">
      <c r="A613" s="3" t="str">
        <f>HYPERLINK("http://www.ofsted.gov.uk/inspection-reports/find-inspection-report/provider/ELS/125552 ","Ofsted School Webpage")</f>
        <v>Ofsted School Webpage</v>
      </c>
      <c r="B613" s="85">
        <v>125552</v>
      </c>
      <c r="C613" s="85">
        <v>9372309</v>
      </c>
      <c r="D613" s="85" t="s">
        <v>1827</v>
      </c>
      <c r="E613" s="85" t="s">
        <v>81</v>
      </c>
      <c r="F613" s="85" t="s">
        <v>254</v>
      </c>
      <c r="G613" s="85" t="s">
        <v>262</v>
      </c>
      <c r="H613" s="85" t="s">
        <v>255</v>
      </c>
      <c r="I613" s="85" t="s">
        <v>256</v>
      </c>
      <c r="J613" s="85" t="s">
        <v>257</v>
      </c>
      <c r="K613" s="85" t="s">
        <v>257</v>
      </c>
      <c r="L613" s="85" t="s">
        <v>258</v>
      </c>
      <c r="M613" s="85" t="s">
        <v>203</v>
      </c>
      <c r="N613" s="85" t="s">
        <v>203</v>
      </c>
      <c r="O613" s="85" t="s">
        <v>212</v>
      </c>
      <c r="P613" s="85" t="s">
        <v>503</v>
      </c>
      <c r="Q613" s="85" t="s">
        <v>1828</v>
      </c>
      <c r="R613" s="85">
        <v>1</v>
      </c>
      <c r="S613" s="85">
        <v>247</v>
      </c>
      <c r="T613" s="2">
        <v>44140</v>
      </c>
      <c r="U613" s="2">
        <v>44164</v>
      </c>
    </row>
    <row r="614" spans="1:21" x14ac:dyDescent="0.2">
      <c r="A614" s="3" t="str">
        <f>HYPERLINK("http://www.ofsted.gov.uk/inspection-reports/find-inspection-report/provider/ELS/112720 ","Ofsted School Webpage")</f>
        <v>Ofsted School Webpage</v>
      </c>
      <c r="B614" s="85">
        <v>112720</v>
      </c>
      <c r="C614" s="85">
        <v>8312409</v>
      </c>
      <c r="D614" s="85" t="s">
        <v>1829</v>
      </c>
      <c r="E614" s="85" t="s">
        <v>81</v>
      </c>
      <c r="F614" s="85" t="s">
        <v>254</v>
      </c>
      <c r="G614" s="85" t="s">
        <v>262</v>
      </c>
      <c r="H614" s="85" t="s">
        <v>255</v>
      </c>
      <c r="I614" s="85" t="s">
        <v>256</v>
      </c>
      <c r="J614" s="85" t="s">
        <v>257</v>
      </c>
      <c r="K614" s="85" t="s">
        <v>257</v>
      </c>
      <c r="L614" s="85" t="s">
        <v>258</v>
      </c>
      <c r="M614" s="85" t="s">
        <v>85</v>
      </c>
      <c r="N614" s="85" t="s">
        <v>85</v>
      </c>
      <c r="O614" s="85" t="s">
        <v>91</v>
      </c>
      <c r="P614" s="85" t="s">
        <v>517</v>
      </c>
      <c r="Q614" s="85" t="s">
        <v>1830</v>
      </c>
      <c r="R614" s="85">
        <v>4</v>
      </c>
      <c r="S614" s="85">
        <v>544</v>
      </c>
      <c r="T614" s="2">
        <v>44140</v>
      </c>
      <c r="U614" s="2">
        <v>44166</v>
      </c>
    </row>
    <row r="615" spans="1:21" x14ac:dyDescent="0.2">
      <c r="A615" s="3" t="str">
        <f>HYPERLINK("http://www.ofsted.gov.uk/inspection-reports/find-inspection-report/provider/ELS/131017 ","Ofsted School Webpage")</f>
        <v>Ofsted School Webpage</v>
      </c>
      <c r="B615" s="85">
        <v>131017</v>
      </c>
      <c r="C615" s="85">
        <v>8923328</v>
      </c>
      <c r="D615" s="85" t="s">
        <v>1831</v>
      </c>
      <c r="E615" s="85" t="s">
        <v>81</v>
      </c>
      <c r="F615" s="85" t="s">
        <v>254</v>
      </c>
      <c r="G615" s="2">
        <v>39326</v>
      </c>
      <c r="H615" s="85" t="s">
        <v>255</v>
      </c>
      <c r="I615" s="85" t="s">
        <v>256</v>
      </c>
      <c r="J615" s="85" t="s">
        <v>257</v>
      </c>
      <c r="K615" s="85" t="s">
        <v>257</v>
      </c>
      <c r="L615" s="85" t="s">
        <v>258</v>
      </c>
      <c r="M615" s="85" t="s">
        <v>85</v>
      </c>
      <c r="N615" s="85" t="s">
        <v>85</v>
      </c>
      <c r="O615" s="85" t="s">
        <v>94</v>
      </c>
      <c r="P615" s="85" t="s">
        <v>1832</v>
      </c>
      <c r="Q615" s="85" t="s">
        <v>1833</v>
      </c>
      <c r="R615" s="85">
        <v>5</v>
      </c>
      <c r="S615" s="85">
        <v>213</v>
      </c>
      <c r="T615" s="2">
        <v>44140</v>
      </c>
      <c r="U615" s="2">
        <v>44164</v>
      </c>
    </row>
    <row r="616" spans="1:21" x14ac:dyDescent="0.2">
      <c r="A616" s="3" t="str">
        <f>HYPERLINK("http://www.ofsted.gov.uk/inspection-reports/find-inspection-report/provider/ELS/118289 ","Ofsted School Webpage")</f>
        <v>Ofsted School Webpage</v>
      </c>
      <c r="B616" s="85">
        <v>118289</v>
      </c>
      <c r="C616" s="85">
        <v>8862163</v>
      </c>
      <c r="D616" s="85" t="s">
        <v>1834</v>
      </c>
      <c r="E616" s="85" t="s">
        <v>81</v>
      </c>
      <c r="F616" s="85" t="s">
        <v>254</v>
      </c>
      <c r="G616" s="85" t="s">
        <v>262</v>
      </c>
      <c r="H616" s="85" t="s">
        <v>255</v>
      </c>
      <c r="I616" s="85" t="s">
        <v>256</v>
      </c>
      <c r="J616" s="85" t="s">
        <v>257</v>
      </c>
      <c r="K616" s="85" t="s">
        <v>257</v>
      </c>
      <c r="L616" s="85" t="s">
        <v>258</v>
      </c>
      <c r="M616" s="85" t="s">
        <v>169</v>
      </c>
      <c r="N616" s="85" t="s">
        <v>169</v>
      </c>
      <c r="O616" s="85" t="s">
        <v>171</v>
      </c>
      <c r="P616" s="85" t="s">
        <v>308</v>
      </c>
      <c r="Q616" s="85" t="s">
        <v>1835</v>
      </c>
      <c r="R616" s="85">
        <v>2</v>
      </c>
      <c r="S616" s="85">
        <v>206</v>
      </c>
      <c r="T616" s="2">
        <v>44140</v>
      </c>
      <c r="U616" s="2">
        <v>44164</v>
      </c>
    </row>
    <row r="617" spans="1:21" x14ac:dyDescent="0.2">
      <c r="A617" s="3" t="str">
        <f>HYPERLINK("http://www.ofsted.gov.uk/inspection-reports/find-inspection-report/provider/ELS/123364 ","Ofsted School Webpage")</f>
        <v>Ofsted School Webpage</v>
      </c>
      <c r="B617" s="85">
        <v>123364</v>
      </c>
      <c r="C617" s="85">
        <v>8942041</v>
      </c>
      <c r="D617" s="85" t="s">
        <v>1836</v>
      </c>
      <c r="E617" s="85" t="s">
        <v>81</v>
      </c>
      <c r="F617" s="85" t="s">
        <v>254</v>
      </c>
      <c r="G617" s="85" t="s">
        <v>262</v>
      </c>
      <c r="H617" s="85" t="s">
        <v>255</v>
      </c>
      <c r="I617" s="85" t="s">
        <v>256</v>
      </c>
      <c r="J617" s="85" t="s">
        <v>257</v>
      </c>
      <c r="K617" s="85" t="s">
        <v>257</v>
      </c>
      <c r="L617" s="85" t="s">
        <v>258</v>
      </c>
      <c r="M617" s="85" t="s">
        <v>203</v>
      </c>
      <c r="N617" s="85" t="s">
        <v>203</v>
      </c>
      <c r="O617" s="85" t="s">
        <v>216</v>
      </c>
      <c r="P617" s="85" t="s">
        <v>806</v>
      </c>
      <c r="Q617" s="85" t="s">
        <v>1837</v>
      </c>
      <c r="R617" s="85">
        <v>5</v>
      </c>
      <c r="S617" s="85">
        <v>205</v>
      </c>
      <c r="T617" s="2">
        <v>44140</v>
      </c>
      <c r="U617" s="2">
        <v>44164</v>
      </c>
    </row>
    <row r="618" spans="1:21" x14ac:dyDescent="0.2">
      <c r="A618" s="3" t="str">
        <f>HYPERLINK("http://www.ofsted.gov.uk/inspection-reports/find-inspection-report/provider/ELS/113249 ","Ofsted School Webpage")</f>
        <v>Ofsted School Webpage</v>
      </c>
      <c r="B618" s="85">
        <v>113249</v>
      </c>
      <c r="C618" s="85">
        <v>8782603</v>
      </c>
      <c r="D618" s="85" t="s">
        <v>1838</v>
      </c>
      <c r="E618" s="85" t="s">
        <v>81</v>
      </c>
      <c r="F618" s="85" t="s">
        <v>254</v>
      </c>
      <c r="G618" s="85" t="s">
        <v>262</v>
      </c>
      <c r="H618" s="85" t="s">
        <v>255</v>
      </c>
      <c r="I618" s="85" t="s">
        <v>256</v>
      </c>
      <c r="J618" s="85" t="s">
        <v>257</v>
      </c>
      <c r="K618" s="85" t="s">
        <v>257</v>
      </c>
      <c r="L618" s="85" t="s">
        <v>258</v>
      </c>
      <c r="M618" s="85" t="s">
        <v>188</v>
      </c>
      <c r="N618" s="85" t="s">
        <v>188</v>
      </c>
      <c r="O618" s="85" t="s">
        <v>197</v>
      </c>
      <c r="P618" s="85" t="s">
        <v>326</v>
      </c>
      <c r="Q618" s="85" t="s">
        <v>1839</v>
      </c>
      <c r="R618" s="85">
        <v>1</v>
      </c>
      <c r="S618" s="85">
        <v>146</v>
      </c>
      <c r="T618" s="2">
        <v>44140</v>
      </c>
      <c r="U618" s="2">
        <v>44160</v>
      </c>
    </row>
    <row r="619" spans="1:21" x14ac:dyDescent="0.2">
      <c r="A619" s="3" t="str">
        <f>HYPERLINK("http://www.ofsted.gov.uk/inspection-reports/find-inspection-report/provider/ELS/104060 ","Ofsted School Webpage")</f>
        <v>Ofsted School Webpage</v>
      </c>
      <c r="B619" s="85">
        <v>104060</v>
      </c>
      <c r="C619" s="85">
        <v>3342051</v>
      </c>
      <c r="D619" s="85" t="s">
        <v>1840</v>
      </c>
      <c r="E619" s="85" t="s">
        <v>81</v>
      </c>
      <c r="F619" s="85" t="s">
        <v>254</v>
      </c>
      <c r="G619" s="85" t="s">
        <v>262</v>
      </c>
      <c r="H619" s="85" t="s">
        <v>255</v>
      </c>
      <c r="I619" s="85" t="s">
        <v>256</v>
      </c>
      <c r="J619" s="85" t="s">
        <v>257</v>
      </c>
      <c r="K619" s="85" t="s">
        <v>257</v>
      </c>
      <c r="L619" s="85" t="s">
        <v>258</v>
      </c>
      <c r="M619" s="85" t="s">
        <v>203</v>
      </c>
      <c r="N619" s="85" t="s">
        <v>203</v>
      </c>
      <c r="O619" s="85" t="s">
        <v>213</v>
      </c>
      <c r="P619" s="85" t="s">
        <v>1295</v>
      </c>
      <c r="Q619" s="85" t="s">
        <v>1841</v>
      </c>
      <c r="R619" s="85">
        <v>4</v>
      </c>
      <c r="S619" s="85">
        <v>353</v>
      </c>
      <c r="T619" s="2">
        <v>44140</v>
      </c>
      <c r="U619" s="2">
        <v>44165</v>
      </c>
    </row>
    <row r="620" spans="1:21" x14ac:dyDescent="0.2">
      <c r="A620" s="3" t="str">
        <f>HYPERLINK("http://www.ofsted.gov.uk/inspection-reports/find-inspection-report/provider/ELS/103697 ","Ofsted School Webpage")</f>
        <v>Ofsted School Webpage</v>
      </c>
      <c r="B620" s="85">
        <v>103697</v>
      </c>
      <c r="C620" s="85">
        <v>3312147</v>
      </c>
      <c r="D620" s="85" t="s">
        <v>1842</v>
      </c>
      <c r="E620" s="85" t="s">
        <v>81</v>
      </c>
      <c r="F620" s="85" t="s">
        <v>254</v>
      </c>
      <c r="G620" s="85" t="s">
        <v>262</v>
      </c>
      <c r="H620" s="85" t="s">
        <v>255</v>
      </c>
      <c r="I620" s="85" t="s">
        <v>256</v>
      </c>
      <c r="J620" s="85" t="s">
        <v>257</v>
      </c>
      <c r="K620" s="85" t="s">
        <v>257</v>
      </c>
      <c r="L620" s="85" t="s">
        <v>258</v>
      </c>
      <c r="M620" s="85" t="s">
        <v>203</v>
      </c>
      <c r="N620" s="85" t="s">
        <v>203</v>
      </c>
      <c r="O620" s="85" t="s">
        <v>210</v>
      </c>
      <c r="P620" s="85" t="s">
        <v>1843</v>
      </c>
      <c r="Q620" s="85" t="s">
        <v>1844</v>
      </c>
      <c r="R620" s="85">
        <v>4</v>
      </c>
      <c r="S620" s="85">
        <v>495</v>
      </c>
      <c r="T620" s="2">
        <v>44140</v>
      </c>
      <c r="U620" s="2">
        <v>44159</v>
      </c>
    </row>
    <row r="621" spans="1:21" x14ac:dyDescent="0.2">
      <c r="A621" s="3" t="str">
        <f>HYPERLINK("http://www.ofsted.gov.uk/inspection-reports/find-inspection-report/provider/ELS/140689 ","Ofsted School Webpage")</f>
        <v>Ofsted School Webpage</v>
      </c>
      <c r="B621" s="85">
        <v>140689</v>
      </c>
      <c r="C621" s="85">
        <v>8512006</v>
      </c>
      <c r="D621" s="85" t="s">
        <v>1845</v>
      </c>
      <c r="E621" s="85" t="s">
        <v>81</v>
      </c>
      <c r="F621" s="85" t="s">
        <v>254</v>
      </c>
      <c r="G621" s="2">
        <v>41884</v>
      </c>
      <c r="H621" s="85" t="s">
        <v>255</v>
      </c>
      <c r="I621" s="85" t="s">
        <v>256</v>
      </c>
      <c r="J621" s="85" t="s">
        <v>257</v>
      </c>
      <c r="K621" s="85" t="s">
        <v>257</v>
      </c>
      <c r="L621" s="85" t="s">
        <v>258</v>
      </c>
      <c r="M621" s="85" t="s">
        <v>169</v>
      </c>
      <c r="N621" s="85" t="s">
        <v>169</v>
      </c>
      <c r="O621" s="85" t="s">
        <v>173</v>
      </c>
      <c r="P621" s="85" t="s">
        <v>1846</v>
      </c>
      <c r="Q621" s="85" t="s">
        <v>1847</v>
      </c>
      <c r="R621" s="85">
        <v>4</v>
      </c>
      <c r="S621" s="85">
        <v>370</v>
      </c>
      <c r="T621" s="2">
        <v>44140</v>
      </c>
      <c r="U621" s="2">
        <v>44168</v>
      </c>
    </row>
    <row r="622" spans="1:21" x14ac:dyDescent="0.2">
      <c r="A622" s="3" t="str">
        <f>HYPERLINK("http://www.ofsted.gov.uk/inspection-reports/find-inspection-report/provider/ELS/107046 ","Ofsted School Webpage")</f>
        <v>Ofsted School Webpage</v>
      </c>
      <c r="B622" s="85">
        <v>107046</v>
      </c>
      <c r="C622" s="85">
        <v>3732279</v>
      </c>
      <c r="D622" s="85" t="s">
        <v>1848</v>
      </c>
      <c r="E622" s="85" t="s">
        <v>81</v>
      </c>
      <c r="F622" s="85" t="s">
        <v>254</v>
      </c>
      <c r="G622" s="85" t="s">
        <v>262</v>
      </c>
      <c r="H622" s="85" t="s">
        <v>255</v>
      </c>
      <c r="I622" s="85" t="s">
        <v>256</v>
      </c>
      <c r="J622" s="85" t="s">
        <v>257</v>
      </c>
      <c r="K622" s="85" t="s">
        <v>257</v>
      </c>
      <c r="L622" s="85" t="s">
        <v>258</v>
      </c>
      <c r="M622" s="85" t="s">
        <v>236</v>
      </c>
      <c r="N622" s="85" t="s">
        <v>218</v>
      </c>
      <c r="O622" s="85" t="s">
        <v>226</v>
      </c>
      <c r="P622" s="85" t="s">
        <v>1849</v>
      </c>
      <c r="Q622" s="85" t="s">
        <v>1850</v>
      </c>
      <c r="R622" s="85">
        <v>3</v>
      </c>
      <c r="S622" s="85">
        <v>196</v>
      </c>
      <c r="T622" s="2">
        <v>44140</v>
      </c>
      <c r="U622" s="2">
        <v>44161</v>
      </c>
    </row>
    <row r="623" spans="1:21" x14ac:dyDescent="0.2">
      <c r="A623" s="3" t="str">
        <f>HYPERLINK("http://www.ofsted.gov.uk/inspection-reports/find-inspection-report/provider/ELS/106839 ","Ofsted School Webpage")</f>
        <v>Ofsted School Webpage</v>
      </c>
      <c r="B623" s="85">
        <v>106839</v>
      </c>
      <c r="C623" s="85">
        <v>3722013</v>
      </c>
      <c r="D623" s="85" t="s">
        <v>1851</v>
      </c>
      <c r="E623" s="85" t="s">
        <v>81</v>
      </c>
      <c r="F623" s="85" t="s">
        <v>254</v>
      </c>
      <c r="G623" s="85" t="s">
        <v>262</v>
      </c>
      <c r="H623" s="85" t="s">
        <v>255</v>
      </c>
      <c r="I623" s="85" t="s">
        <v>256</v>
      </c>
      <c r="J623" s="85" t="s">
        <v>257</v>
      </c>
      <c r="K623" s="85" t="s">
        <v>257</v>
      </c>
      <c r="L623" s="85" t="s">
        <v>258</v>
      </c>
      <c r="M623" s="85" t="s">
        <v>236</v>
      </c>
      <c r="N623" s="85" t="s">
        <v>218</v>
      </c>
      <c r="O623" s="85" t="s">
        <v>219</v>
      </c>
      <c r="P623" s="85" t="s">
        <v>219</v>
      </c>
      <c r="Q623" s="85" t="s">
        <v>1852</v>
      </c>
      <c r="R623" s="85">
        <v>5</v>
      </c>
      <c r="S623" s="85">
        <v>240</v>
      </c>
      <c r="T623" s="2">
        <v>44140</v>
      </c>
      <c r="U623" s="2">
        <v>44167</v>
      </c>
    </row>
    <row r="624" spans="1:21" x14ac:dyDescent="0.2">
      <c r="A624" s="3" t="str">
        <f>HYPERLINK("http://www.ofsted.gov.uk/inspection-reports/find-inspection-report/provider/ELS/122563 ","Ofsted School Webpage")</f>
        <v>Ofsted School Webpage</v>
      </c>
      <c r="B624" s="85">
        <v>122563</v>
      </c>
      <c r="C624" s="85">
        <v>8912362</v>
      </c>
      <c r="D624" s="85" t="s">
        <v>1853</v>
      </c>
      <c r="E624" s="85" t="s">
        <v>81</v>
      </c>
      <c r="F624" s="85" t="s">
        <v>254</v>
      </c>
      <c r="G624" s="85" t="s">
        <v>262</v>
      </c>
      <c r="H624" s="85" t="s">
        <v>255</v>
      </c>
      <c r="I624" s="85" t="s">
        <v>256</v>
      </c>
      <c r="J624" s="85" t="s">
        <v>257</v>
      </c>
      <c r="K624" s="85" t="s">
        <v>257</v>
      </c>
      <c r="L624" s="85" t="s">
        <v>258</v>
      </c>
      <c r="M624" s="85" t="s">
        <v>85</v>
      </c>
      <c r="N624" s="85" t="s">
        <v>85</v>
      </c>
      <c r="O624" s="85" t="s">
        <v>90</v>
      </c>
      <c r="P624" s="85" t="s">
        <v>415</v>
      </c>
      <c r="Q624" s="85" t="s">
        <v>1854</v>
      </c>
      <c r="R624" s="85">
        <v>4</v>
      </c>
      <c r="S624" s="85">
        <v>308</v>
      </c>
      <c r="T624" s="2">
        <v>44140</v>
      </c>
      <c r="U624" s="2">
        <v>44164</v>
      </c>
    </row>
    <row r="625" spans="1:21" x14ac:dyDescent="0.2">
      <c r="A625" s="3" t="str">
        <f>HYPERLINK("http://www.ofsted.gov.uk/inspection-reports/find-inspection-report/provider/ELS/110354 ","Ofsted School Webpage")</f>
        <v>Ofsted School Webpage</v>
      </c>
      <c r="B625" s="85">
        <v>110354</v>
      </c>
      <c r="C625" s="85">
        <v>8262284</v>
      </c>
      <c r="D625" s="85" t="s">
        <v>1855</v>
      </c>
      <c r="E625" s="85" t="s">
        <v>81</v>
      </c>
      <c r="F625" s="85" t="s">
        <v>254</v>
      </c>
      <c r="G625" s="85" t="s">
        <v>262</v>
      </c>
      <c r="H625" s="85" t="s">
        <v>255</v>
      </c>
      <c r="I625" s="85" t="s">
        <v>256</v>
      </c>
      <c r="J625" s="85" t="s">
        <v>257</v>
      </c>
      <c r="K625" s="85" t="s">
        <v>257</v>
      </c>
      <c r="L625" s="85" t="s">
        <v>258</v>
      </c>
      <c r="M625" s="85" t="s">
        <v>169</v>
      </c>
      <c r="N625" s="85" t="s">
        <v>169</v>
      </c>
      <c r="O625" s="85" t="s">
        <v>186</v>
      </c>
      <c r="P625" s="85" t="s">
        <v>1856</v>
      </c>
      <c r="Q625" s="85" t="s">
        <v>1857</v>
      </c>
      <c r="R625" s="85">
        <v>5</v>
      </c>
      <c r="S625" s="85">
        <v>240</v>
      </c>
      <c r="T625" s="2">
        <v>44140</v>
      </c>
      <c r="U625" s="2">
        <v>44168</v>
      </c>
    </row>
    <row r="626" spans="1:21" x14ac:dyDescent="0.2">
      <c r="A626" s="3" t="str">
        <f>HYPERLINK("http://www.ofsted.gov.uk/inspection-reports/find-inspection-report/provider/ELS/132763 ","Ofsted School Webpage")</f>
        <v>Ofsted School Webpage</v>
      </c>
      <c r="B626" s="85">
        <v>132763</v>
      </c>
      <c r="C626" s="85">
        <v>8742456</v>
      </c>
      <c r="D626" s="85" t="s">
        <v>1858</v>
      </c>
      <c r="E626" s="85" t="s">
        <v>81</v>
      </c>
      <c r="F626" s="85" t="s">
        <v>254</v>
      </c>
      <c r="G626" s="2">
        <v>36770</v>
      </c>
      <c r="H626" s="85" t="s">
        <v>255</v>
      </c>
      <c r="I626" s="85" t="s">
        <v>256</v>
      </c>
      <c r="J626" s="85" t="s">
        <v>257</v>
      </c>
      <c r="K626" s="85" t="s">
        <v>257</v>
      </c>
      <c r="L626" s="85" t="s">
        <v>258</v>
      </c>
      <c r="M626" s="85" t="s">
        <v>95</v>
      </c>
      <c r="N626" s="85" t="s">
        <v>95</v>
      </c>
      <c r="O626" s="85" t="s">
        <v>100</v>
      </c>
      <c r="P626" s="85" t="s">
        <v>523</v>
      </c>
      <c r="Q626" s="85" t="s">
        <v>1859</v>
      </c>
      <c r="R626" s="85">
        <v>3</v>
      </c>
      <c r="S626" s="85">
        <v>627</v>
      </c>
      <c r="T626" s="2">
        <v>44140</v>
      </c>
      <c r="U626" s="2">
        <v>44161</v>
      </c>
    </row>
    <row r="627" spans="1:21" x14ac:dyDescent="0.2">
      <c r="A627" s="3" t="str">
        <f>HYPERLINK("http://www.ofsted.gov.uk/inspection-reports/find-inspection-report/provider/ELS/122957 ","Ofsted School Webpage")</f>
        <v>Ofsted School Webpage</v>
      </c>
      <c r="B627" s="85">
        <v>122957</v>
      </c>
      <c r="C627" s="85">
        <v>8917023</v>
      </c>
      <c r="D627" s="85" t="s">
        <v>1860</v>
      </c>
      <c r="E627" s="85" t="s">
        <v>83</v>
      </c>
      <c r="F627" s="85" t="s">
        <v>389</v>
      </c>
      <c r="G627" s="85" t="s">
        <v>262</v>
      </c>
      <c r="H627" s="85" t="s">
        <v>255</v>
      </c>
      <c r="I627" s="85" t="s">
        <v>276</v>
      </c>
      <c r="J627" s="85" t="s">
        <v>257</v>
      </c>
      <c r="K627" s="85" t="s">
        <v>257</v>
      </c>
      <c r="L627" s="85" t="s">
        <v>258</v>
      </c>
      <c r="M627" s="85" t="s">
        <v>85</v>
      </c>
      <c r="N627" s="85" t="s">
        <v>85</v>
      </c>
      <c r="O627" s="85" t="s">
        <v>90</v>
      </c>
      <c r="P627" s="85" t="s">
        <v>1861</v>
      </c>
      <c r="Q627" s="85" t="s">
        <v>1862</v>
      </c>
      <c r="R627" s="85">
        <v>1</v>
      </c>
      <c r="S627" s="85">
        <v>88</v>
      </c>
      <c r="T627" s="2">
        <v>44140</v>
      </c>
      <c r="U627" s="2">
        <v>44168</v>
      </c>
    </row>
    <row r="628" spans="1:21" x14ac:dyDescent="0.2">
      <c r="A628" s="3" t="str">
        <f>HYPERLINK("http://www.ofsted.gov.uk/inspection-reports/find-inspection-report/provider/ELS/102698 ","Ofsted School Webpage")</f>
        <v>Ofsted School Webpage</v>
      </c>
      <c r="B628" s="85">
        <v>102698</v>
      </c>
      <c r="C628" s="85">
        <v>3157004</v>
      </c>
      <c r="D628" s="85" t="s">
        <v>1863</v>
      </c>
      <c r="E628" s="85" t="s">
        <v>83</v>
      </c>
      <c r="F628" s="85" t="s">
        <v>389</v>
      </c>
      <c r="G628" s="85" t="s">
        <v>262</v>
      </c>
      <c r="H628" s="85" t="s">
        <v>255</v>
      </c>
      <c r="I628" s="85" t="s">
        <v>276</v>
      </c>
      <c r="J628" s="85" t="s">
        <v>257</v>
      </c>
      <c r="K628" s="85" t="s">
        <v>257</v>
      </c>
      <c r="L628" s="85" t="s">
        <v>258</v>
      </c>
      <c r="M628" s="85" t="s">
        <v>107</v>
      </c>
      <c r="N628" s="85" t="s">
        <v>107</v>
      </c>
      <c r="O628" s="85" t="s">
        <v>132</v>
      </c>
      <c r="P628" s="85" t="s">
        <v>1864</v>
      </c>
      <c r="Q628" s="85" t="s">
        <v>1865</v>
      </c>
      <c r="R628" s="85">
        <v>4</v>
      </c>
      <c r="S628" s="85">
        <v>146</v>
      </c>
      <c r="T628" s="2">
        <v>44140</v>
      </c>
      <c r="U628" s="2">
        <v>44166</v>
      </c>
    </row>
    <row r="629" spans="1:21" x14ac:dyDescent="0.2">
      <c r="A629" s="3" t="str">
        <f>HYPERLINK("http://www.ofsted.gov.uk/inspection-reports/find-inspection-report/provider/ELS/138420 ","Ofsted School Webpage")</f>
        <v>Ofsted School Webpage</v>
      </c>
      <c r="B629" s="85">
        <v>138420</v>
      </c>
      <c r="C629" s="85">
        <v>3352005</v>
      </c>
      <c r="D629" s="85" t="s">
        <v>1866</v>
      </c>
      <c r="E629" s="85" t="s">
        <v>81</v>
      </c>
      <c r="F629" s="85" t="s">
        <v>404</v>
      </c>
      <c r="G629" s="2">
        <v>41153</v>
      </c>
      <c r="H629" s="85" t="s">
        <v>255</v>
      </c>
      <c r="I629" s="85" t="s">
        <v>255</v>
      </c>
      <c r="J629" s="85" t="s">
        <v>405</v>
      </c>
      <c r="K629" s="85" t="s">
        <v>405</v>
      </c>
      <c r="L629" s="85" t="s">
        <v>258</v>
      </c>
      <c r="M629" s="85" t="s">
        <v>203</v>
      </c>
      <c r="N629" s="85" t="s">
        <v>203</v>
      </c>
      <c r="O629" s="85" t="s">
        <v>207</v>
      </c>
      <c r="P629" s="85" t="s">
        <v>1867</v>
      </c>
      <c r="Q629" s="85" t="s">
        <v>1868</v>
      </c>
      <c r="R629" s="85">
        <v>5</v>
      </c>
      <c r="S629" s="85">
        <v>230</v>
      </c>
      <c r="T629" s="2">
        <v>44140</v>
      </c>
      <c r="U629" s="2">
        <v>44164</v>
      </c>
    </row>
    <row r="630" spans="1:21" x14ac:dyDescent="0.2">
      <c r="A630" s="3" t="str">
        <f>HYPERLINK("http://www.ofsted.gov.uk/inspection-reports/find-inspection-report/provider/ELS/138866 ","Ofsted School Webpage")</f>
        <v>Ofsted School Webpage</v>
      </c>
      <c r="B630" s="85">
        <v>138866</v>
      </c>
      <c r="C630" s="85">
        <v>8122007</v>
      </c>
      <c r="D630" s="85" t="s">
        <v>1869</v>
      </c>
      <c r="E630" s="85" t="s">
        <v>81</v>
      </c>
      <c r="F630" s="85" t="s">
        <v>404</v>
      </c>
      <c r="G630" s="2">
        <v>41183</v>
      </c>
      <c r="H630" s="85" t="s">
        <v>255</v>
      </c>
      <c r="I630" s="85" t="s">
        <v>255</v>
      </c>
      <c r="J630" s="85" t="s">
        <v>257</v>
      </c>
      <c r="K630" s="85" t="s">
        <v>405</v>
      </c>
      <c r="L630" s="85" t="s">
        <v>258</v>
      </c>
      <c r="M630" s="85" t="s">
        <v>236</v>
      </c>
      <c r="N630" s="85" t="s">
        <v>218</v>
      </c>
      <c r="O630" s="85" t="s">
        <v>231</v>
      </c>
      <c r="P630" s="85" t="s">
        <v>1870</v>
      </c>
      <c r="Q630" s="85" t="s">
        <v>1871</v>
      </c>
      <c r="R630" s="85">
        <v>5</v>
      </c>
      <c r="S630" s="85">
        <v>158</v>
      </c>
      <c r="T630" s="2">
        <v>44140</v>
      </c>
      <c r="U630" s="2">
        <v>44167</v>
      </c>
    </row>
    <row r="631" spans="1:21" x14ac:dyDescent="0.2">
      <c r="A631" s="3" t="str">
        <f>HYPERLINK("http://www.ofsted.gov.uk/inspection-reports/find-inspection-report/provider/ELS/106460 ","Ofsted School Webpage")</f>
        <v>Ofsted School Webpage</v>
      </c>
      <c r="B631" s="85">
        <v>106460</v>
      </c>
      <c r="C631" s="85">
        <v>3593329</v>
      </c>
      <c r="D631" s="85" t="s">
        <v>1872</v>
      </c>
      <c r="E631" s="85" t="s">
        <v>81</v>
      </c>
      <c r="F631" s="85" t="s">
        <v>333</v>
      </c>
      <c r="G631" s="85" t="s">
        <v>262</v>
      </c>
      <c r="H631" s="85" t="s">
        <v>255</v>
      </c>
      <c r="I631" s="85" t="s">
        <v>256</v>
      </c>
      <c r="J631" s="85" t="s">
        <v>334</v>
      </c>
      <c r="K631" s="85" t="s">
        <v>257</v>
      </c>
      <c r="L631" s="85" t="s">
        <v>335</v>
      </c>
      <c r="M631" s="85" t="s">
        <v>148</v>
      </c>
      <c r="N631" s="85" t="s">
        <v>148</v>
      </c>
      <c r="O631" s="85" t="s">
        <v>168</v>
      </c>
      <c r="P631" s="85" t="s">
        <v>168</v>
      </c>
      <c r="Q631" s="85" t="s">
        <v>1873</v>
      </c>
      <c r="R631" s="85">
        <v>5</v>
      </c>
      <c r="S631" s="85">
        <v>359</v>
      </c>
      <c r="T631" s="2">
        <v>44140</v>
      </c>
      <c r="U631" s="2">
        <v>44167</v>
      </c>
    </row>
    <row r="632" spans="1:21" x14ac:dyDescent="0.2">
      <c r="A632" s="3" t="str">
        <f>HYPERLINK("http://www.ofsted.gov.uk/inspection-reports/find-inspection-report/provider/ELS/121038 ","Ofsted School Webpage")</f>
        <v>Ofsted School Webpage</v>
      </c>
      <c r="B632" s="85">
        <v>121038</v>
      </c>
      <c r="C632" s="85">
        <v>9263032</v>
      </c>
      <c r="D632" s="85" t="s">
        <v>1874</v>
      </c>
      <c r="E632" s="85" t="s">
        <v>81</v>
      </c>
      <c r="F632" s="85" t="s">
        <v>360</v>
      </c>
      <c r="G632" s="2">
        <v>1</v>
      </c>
      <c r="H632" s="85" t="s">
        <v>255</v>
      </c>
      <c r="I632" s="85" t="s">
        <v>256</v>
      </c>
      <c r="J632" s="85" t="s">
        <v>342</v>
      </c>
      <c r="K632" s="85" t="s">
        <v>257</v>
      </c>
      <c r="L632" s="85" t="s">
        <v>335</v>
      </c>
      <c r="M632" s="85" t="s">
        <v>95</v>
      </c>
      <c r="N632" s="85" t="s">
        <v>95</v>
      </c>
      <c r="O632" s="85" t="s">
        <v>103</v>
      </c>
      <c r="P632" s="85" t="s">
        <v>771</v>
      </c>
      <c r="Q632" s="85" t="s">
        <v>1875</v>
      </c>
      <c r="R632" s="85">
        <v>2</v>
      </c>
      <c r="S632" s="85">
        <v>108</v>
      </c>
      <c r="T632" s="2">
        <v>44140</v>
      </c>
      <c r="U632" s="2">
        <v>44168</v>
      </c>
    </row>
    <row r="633" spans="1:21" x14ac:dyDescent="0.2">
      <c r="A633" s="3" t="str">
        <f>HYPERLINK("http://www.ofsted.gov.uk/inspection-reports/find-inspection-report/provider/ELS/100857 ","Ofsted School Webpage")</f>
        <v>Ofsted School Webpage</v>
      </c>
      <c r="B633" s="85">
        <v>100857</v>
      </c>
      <c r="C633" s="85">
        <v>2105402</v>
      </c>
      <c r="D633" s="85" t="s">
        <v>1876</v>
      </c>
      <c r="E633" s="85" t="s">
        <v>82</v>
      </c>
      <c r="F633" s="85" t="s">
        <v>333</v>
      </c>
      <c r="G633" s="85" t="s">
        <v>262</v>
      </c>
      <c r="H633" s="85" t="s">
        <v>275</v>
      </c>
      <c r="I633" s="85" t="s">
        <v>276</v>
      </c>
      <c r="J633" s="85" t="s">
        <v>334</v>
      </c>
      <c r="K633" s="85" t="s">
        <v>257</v>
      </c>
      <c r="L633" s="85" t="s">
        <v>335</v>
      </c>
      <c r="M633" s="85" t="s">
        <v>107</v>
      </c>
      <c r="N633" s="85" t="s">
        <v>107</v>
      </c>
      <c r="O633" s="85" t="s">
        <v>133</v>
      </c>
      <c r="P633" s="85" t="s">
        <v>1877</v>
      </c>
      <c r="Q633" s="85" t="s">
        <v>1878</v>
      </c>
      <c r="R633" s="85">
        <v>5</v>
      </c>
      <c r="S633" s="85">
        <v>1000</v>
      </c>
      <c r="T633" s="2">
        <v>44140</v>
      </c>
      <c r="U633" s="2">
        <v>44166</v>
      </c>
    </row>
    <row r="634" spans="1:21" x14ac:dyDescent="0.2">
      <c r="A634" s="3" t="str">
        <f>HYPERLINK("http://www.ofsted.gov.uk/inspection-reports/find-inspection-report/provider/ELS/105693 ","Ofsted School Webpage")</f>
        <v>Ofsted School Webpage</v>
      </c>
      <c r="B634" s="85">
        <v>105693</v>
      </c>
      <c r="C634" s="85">
        <v>3533011</v>
      </c>
      <c r="D634" s="85" t="s">
        <v>1879</v>
      </c>
      <c r="E634" s="85" t="s">
        <v>81</v>
      </c>
      <c r="F634" s="85" t="s">
        <v>360</v>
      </c>
      <c r="G634" s="85" t="s">
        <v>262</v>
      </c>
      <c r="H634" s="85" t="s">
        <v>255</v>
      </c>
      <c r="I634" s="85" t="s">
        <v>256</v>
      </c>
      <c r="J634" s="85" t="s">
        <v>342</v>
      </c>
      <c r="K634" s="85" t="s">
        <v>257</v>
      </c>
      <c r="L634" s="85" t="s">
        <v>335</v>
      </c>
      <c r="M634" s="85" t="s">
        <v>148</v>
      </c>
      <c r="N634" s="85" t="s">
        <v>148</v>
      </c>
      <c r="O634" s="85" t="s">
        <v>152</v>
      </c>
      <c r="P634" s="85" t="s">
        <v>542</v>
      </c>
      <c r="Q634" s="85" t="s">
        <v>1880</v>
      </c>
      <c r="R634" s="85">
        <v>2</v>
      </c>
      <c r="S634" s="85">
        <v>99</v>
      </c>
      <c r="T634" s="2">
        <v>44140</v>
      </c>
      <c r="U634" s="2">
        <v>44166</v>
      </c>
    </row>
    <row r="635" spans="1:21" x14ac:dyDescent="0.2">
      <c r="A635" s="3" t="str">
        <f>HYPERLINK("http://www.ofsted.gov.uk/inspection-reports/find-inspection-report/provider/ELS/121558 ","Ofsted School Webpage")</f>
        <v>Ofsted School Webpage</v>
      </c>
      <c r="B635" s="85">
        <v>121558</v>
      </c>
      <c r="C635" s="85">
        <v>8153235</v>
      </c>
      <c r="D635" s="85" t="s">
        <v>1881</v>
      </c>
      <c r="E635" s="85" t="s">
        <v>81</v>
      </c>
      <c r="F635" s="85" t="s">
        <v>360</v>
      </c>
      <c r="G635" s="85" t="s">
        <v>262</v>
      </c>
      <c r="H635" s="85" t="s">
        <v>255</v>
      </c>
      <c r="I635" s="85" t="s">
        <v>256</v>
      </c>
      <c r="J635" s="85" t="s">
        <v>342</v>
      </c>
      <c r="K635" s="85" t="s">
        <v>257</v>
      </c>
      <c r="L635" s="85" t="s">
        <v>335</v>
      </c>
      <c r="M635" s="85" t="s">
        <v>236</v>
      </c>
      <c r="N635" s="85" t="s">
        <v>218</v>
      </c>
      <c r="O635" s="85" t="s">
        <v>224</v>
      </c>
      <c r="P635" s="85" t="s">
        <v>1882</v>
      </c>
      <c r="Q635" s="85" t="s">
        <v>1883</v>
      </c>
      <c r="R635" s="85">
        <v>1</v>
      </c>
      <c r="S635" s="85">
        <v>35</v>
      </c>
      <c r="T635" s="2">
        <v>44140</v>
      </c>
      <c r="U635" s="2">
        <v>44166</v>
      </c>
    </row>
    <row r="636" spans="1:21" x14ac:dyDescent="0.2">
      <c r="A636" s="3" t="str">
        <f>HYPERLINK("http://www.ofsted.gov.uk/inspection-reports/find-inspection-report/provider/ELS/119401 ","Ofsted School Webpage")</f>
        <v>Ofsted School Webpage</v>
      </c>
      <c r="B636" s="85">
        <v>119401</v>
      </c>
      <c r="C636" s="85">
        <v>8883143</v>
      </c>
      <c r="D636" s="85" t="s">
        <v>1884</v>
      </c>
      <c r="E636" s="85" t="s">
        <v>81</v>
      </c>
      <c r="F636" s="85" t="s">
        <v>360</v>
      </c>
      <c r="G636" s="85" t="s">
        <v>262</v>
      </c>
      <c r="H636" s="85" t="s">
        <v>255</v>
      </c>
      <c r="I636" s="85" t="s">
        <v>256</v>
      </c>
      <c r="J636" s="85" t="s">
        <v>1885</v>
      </c>
      <c r="K636" s="85" t="s">
        <v>257</v>
      </c>
      <c r="L636" s="85" t="s">
        <v>335</v>
      </c>
      <c r="M636" s="85" t="s">
        <v>148</v>
      </c>
      <c r="N636" s="85" t="s">
        <v>148</v>
      </c>
      <c r="O636" s="85" t="s">
        <v>149</v>
      </c>
      <c r="P636" s="85" t="s">
        <v>1886</v>
      </c>
      <c r="Q636" s="85" t="s">
        <v>1887</v>
      </c>
      <c r="R636" s="85">
        <v>2</v>
      </c>
      <c r="S636" s="85">
        <v>207</v>
      </c>
      <c r="T636" s="2">
        <v>44140</v>
      </c>
      <c r="U636" s="2">
        <v>44168</v>
      </c>
    </row>
    <row r="637" spans="1:21" x14ac:dyDescent="0.2">
      <c r="A637" s="3" t="str">
        <f>HYPERLINK("http://www.ofsted.gov.uk/inspection-reports/find-inspection-report/provider/ELS/136292 ","Ofsted School Webpage")</f>
        <v>Ofsted School Webpage</v>
      </c>
      <c r="B637" s="85">
        <v>136292</v>
      </c>
      <c r="C637" s="85">
        <v>9165410</v>
      </c>
      <c r="D637" s="85" t="s">
        <v>1888</v>
      </c>
      <c r="E637" s="85" t="s">
        <v>82</v>
      </c>
      <c r="F637" s="85" t="s">
        <v>400</v>
      </c>
      <c r="G637" s="2">
        <v>40422</v>
      </c>
      <c r="H637" s="85" t="s">
        <v>275</v>
      </c>
      <c r="I637" s="85" t="s">
        <v>276</v>
      </c>
      <c r="J637" s="85" t="s">
        <v>405</v>
      </c>
      <c r="K637" s="85" t="s">
        <v>257</v>
      </c>
      <c r="L637" s="85" t="s">
        <v>258</v>
      </c>
      <c r="M637" s="85" t="s">
        <v>188</v>
      </c>
      <c r="N637" s="85" t="s">
        <v>188</v>
      </c>
      <c r="O637" s="85" t="s">
        <v>194</v>
      </c>
      <c r="P637" s="85" t="s">
        <v>346</v>
      </c>
      <c r="Q637" s="85" t="s">
        <v>1889</v>
      </c>
      <c r="R637" s="85">
        <v>1</v>
      </c>
      <c r="S637" s="85">
        <v>1408</v>
      </c>
      <c r="T637" s="2">
        <v>44140</v>
      </c>
      <c r="U637" s="2">
        <v>44161</v>
      </c>
    </row>
    <row r="638" spans="1:21" x14ac:dyDescent="0.2">
      <c r="A638" s="3" t="str">
        <f>HYPERLINK("http://www.ofsted.gov.uk/inspection-reports/find-inspection-report/provider/ELS/140757 ","Ofsted School Webpage")</f>
        <v>Ofsted School Webpage</v>
      </c>
      <c r="B638" s="85">
        <v>140757</v>
      </c>
      <c r="C638" s="85">
        <v>8383400</v>
      </c>
      <c r="D638" s="85" t="s">
        <v>1890</v>
      </c>
      <c r="E638" s="85" t="s">
        <v>81</v>
      </c>
      <c r="F638" s="85" t="s">
        <v>400</v>
      </c>
      <c r="G638" s="2">
        <v>41730</v>
      </c>
      <c r="H638" s="85" t="s">
        <v>255</v>
      </c>
      <c r="I638" s="85" t="s">
        <v>256</v>
      </c>
      <c r="J638" s="85" t="s">
        <v>334</v>
      </c>
      <c r="K638" s="85" t="s">
        <v>257</v>
      </c>
      <c r="L638" s="85" t="s">
        <v>335</v>
      </c>
      <c r="M638" s="85" t="s">
        <v>188</v>
      </c>
      <c r="N638" s="85" t="s">
        <v>188</v>
      </c>
      <c r="O638" s="85" t="s">
        <v>190</v>
      </c>
      <c r="P638" s="85" t="s">
        <v>1891</v>
      </c>
      <c r="Q638" s="85" t="s">
        <v>1892</v>
      </c>
      <c r="R638" s="85">
        <v>3</v>
      </c>
      <c r="S638" s="85">
        <v>166</v>
      </c>
      <c r="T638" s="2">
        <v>44140</v>
      </c>
      <c r="U638" s="2">
        <v>44164</v>
      </c>
    </row>
    <row r="639" spans="1:21" x14ac:dyDescent="0.2">
      <c r="A639" s="3" t="str">
        <f>HYPERLINK("http://www.ofsted.gov.uk/inspection-reports/find-inspection-report/provider/ELS/136862 ","Ofsted School Webpage")</f>
        <v>Ofsted School Webpage</v>
      </c>
      <c r="B639" s="85">
        <v>136862</v>
      </c>
      <c r="C639" s="85">
        <v>9082431</v>
      </c>
      <c r="D639" s="85" t="s">
        <v>1893</v>
      </c>
      <c r="E639" s="85" t="s">
        <v>81</v>
      </c>
      <c r="F639" s="85" t="s">
        <v>400</v>
      </c>
      <c r="G639" s="2">
        <v>40725</v>
      </c>
      <c r="H639" s="85" t="s">
        <v>255</v>
      </c>
      <c r="I639" s="85" t="s">
        <v>255</v>
      </c>
      <c r="J639" s="85" t="s">
        <v>257</v>
      </c>
      <c r="K639" s="85" t="s">
        <v>257</v>
      </c>
      <c r="L639" s="85" t="s">
        <v>258</v>
      </c>
      <c r="M639" s="85" t="s">
        <v>188</v>
      </c>
      <c r="N639" s="85" t="s">
        <v>188</v>
      </c>
      <c r="O639" s="85" t="s">
        <v>196</v>
      </c>
      <c r="P639" s="85" t="s">
        <v>412</v>
      </c>
      <c r="Q639" s="85" t="s">
        <v>1894</v>
      </c>
      <c r="R639" s="85">
        <v>4</v>
      </c>
      <c r="S639" s="85">
        <v>379</v>
      </c>
      <c r="T639" s="2">
        <v>44140</v>
      </c>
      <c r="U639" s="2">
        <v>44166</v>
      </c>
    </row>
    <row r="640" spans="1:21" x14ac:dyDescent="0.2">
      <c r="A640" s="3" t="str">
        <f>HYPERLINK("http://www.ofsted.gov.uk/inspection-reports/find-inspection-report/provider/ELS/144927 ","Ofsted School Webpage")</f>
        <v>Ofsted School Webpage</v>
      </c>
      <c r="B640" s="85">
        <v>144927</v>
      </c>
      <c r="C640" s="85">
        <v>8022287</v>
      </c>
      <c r="D640" s="85" t="s">
        <v>1895</v>
      </c>
      <c r="E640" s="85" t="s">
        <v>81</v>
      </c>
      <c r="F640" s="85" t="s">
        <v>400</v>
      </c>
      <c r="G640" s="2">
        <v>43009</v>
      </c>
      <c r="H640" s="85" t="s">
        <v>255</v>
      </c>
      <c r="I640" s="85" t="s">
        <v>256</v>
      </c>
      <c r="J640" s="85" t="s">
        <v>257</v>
      </c>
      <c r="K640" s="85" t="s">
        <v>257</v>
      </c>
      <c r="L640" s="85" t="s">
        <v>258</v>
      </c>
      <c r="M640" s="85" t="s">
        <v>188</v>
      </c>
      <c r="N640" s="85" t="s">
        <v>188</v>
      </c>
      <c r="O640" s="85" t="s">
        <v>199</v>
      </c>
      <c r="P640" s="85" t="s">
        <v>809</v>
      </c>
      <c r="Q640" s="85" t="s">
        <v>1896</v>
      </c>
      <c r="R640" s="85">
        <v>5</v>
      </c>
      <c r="S640" s="85">
        <v>238</v>
      </c>
      <c r="T640" s="2">
        <v>44140</v>
      </c>
      <c r="U640" s="2">
        <v>44161</v>
      </c>
    </row>
    <row r="641" spans="1:21" x14ac:dyDescent="0.2">
      <c r="A641" s="3" t="str">
        <f>HYPERLINK("http://www.ofsted.gov.uk/inspection-reports/find-inspection-report/provider/ELS/144995 ","Ofsted School Webpage")</f>
        <v>Ofsted School Webpage</v>
      </c>
      <c r="B641" s="85">
        <v>144995</v>
      </c>
      <c r="C641" s="85">
        <v>8652035</v>
      </c>
      <c r="D641" s="85" t="s">
        <v>1897</v>
      </c>
      <c r="E641" s="85" t="s">
        <v>81</v>
      </c>
      <c r="F641" s="85" t="s">
        <v>404</v>
      </c>
      <c r="G641" s="2">
        <v>43040</v>
      </c>
      <c r="H641" s="85" t="s">
        <v>255</v>
      </c>
      <c r="I641" s="85" t="s">
        <v>256</v>
      </c>
      <c r="J641" s="85" t="s">
        <v>257</v>
      </c>
      <c r="K641" s="85" t="s">
        <v>450</v>
      </c>
      <c r="L641" s="85" t="s">
        <v>258</v>
      </c>
      <c r="M641" s="85" t="s">
        <v>188</v>
      </c>
      <c r="N641" s="85" t="s">
        <v>188</v>
      </c>
      <c r="O641" s="85" t="s">
        <v>202</v>
      </c>
      <c r="P641" s="85" t="s">
        <v>1898</v>
      </c>
      <c r="Q641" s="85" t="s">
        <v>1899</v>
      </c>
      <c r="R641" s="85">
        <v>1</v>
      </c>
      <c r="S641" s="85">
        <v>86</v>
      </c>
      <c r="T641" s="2">
        <v>44140</v>
      </c>
      <c r="U641" s="2">
        <v>44167</v>
      </c>
    </row>
    <row r="642" spans="1:21" x14ac:dyDescent="0.2">
      <c r="A642" s="3" t="str">
        <f>HYPERLINK("http://www.ofsted.gov.uk/inspection-reports/find-inspection-report/provider/ELS/138787 ","Ofsted School Webpage")</f>
        <v>Ofsted School Webpage</v>
      </c>
      <c r="B642" s="85">
        <v>138787</v>
      </c>
      <c r="C642" s="85">
        <v>3414001</v>
      </c>
      <c r="D642" s="85" t="s">
        <v>1900</v>
      </c>
      <c r="E642" s="85" t="s">
        <v>82</v>
      </c>
      <c r="F642" s="85" t="s">
        <v>404</v>
      </c>
      <c r="G642" s="2">
        <v>41153</v>
      </c>
      <c r="H642" s="85" t="s">
        <v>275</v>
      </c>
      <c r="I642" s="85" t="s">
        <v>276</v>
      </c>
      <c r="J642" s="85" t="s">
        <v>405</v>
      </c>
      <c r="K642" s="85" t="s">
        <v>405</v>
      </c>
      <c r="L642" s="85" t="s">
        <v>258</v>
      </c>
      <c r="M642" s="85" t="s">
        <v>148</v>
      </c>
      <c r="N642" s="85" t="s">
        <v>148</v>
      </c>
      <c r="O642" s="85" t="s">
        <v>150</v>
      </c>
      <c r="P642" s="85" t="s">
        <v>1901</v>
      </c>
      <c r="Q642" s="85" t="s">
        <v>1902</v>
      </c>
      <c r="R642" s="85">
        <v>5</v>
      </c>
      <c r="S642" s="85">
        <v>939</v>
      </c>
      <c r="T642" s="2">
        <v>44140</v>
      </c>
      <c r="U642" s="2">
        <v>44165</v>
      </c>
    </row>
    <row r="643" spans="1:21" x14ac:dyDescent="0.2">
      <c r="A643" s="3" t="str">
        <f>HYPERLINK("http://www.ofsted.gov.uk/inspection-reports/find-inspection-report/provider/ELS/137223 ","Ofsted School Webpage")</f>
        <v>Ofsted School Webpage</v>
      </c>
      <c r="B643" s="85">
        <v>137223</v>
      </c>
      <c r="C643" s="85">
        <v>9084152</v>
      </c>
      <c r="D643" s="85" t="s">
        <v>1903</v>
      </c>
      <c r="E643" s="85" t="s">
        <v>82</v>
      </c>
      <c r="F643" s="85" t="s">
        <v>400</v>
      </c>
      <c r="G643" s="2">
        <v>40756</v>
      </c>
      <c r="H643" s="85" t="s">
        <v>275</v>
      </c>
      <c r="I643" s="85" t="s">
        <v>276</v>
      </c>
      <c r="J643" s="85" t="s">
        <v>257</v>
      </c>
      <c r="K643" s="85" t="s">
        <v>257</v>
      </c>
      <c r="L643" s="85" t="s">
        <v>258</v>
      </c>
      <c r="M643" s="85" t="s">
        <v>188</v>
      </c>
      <c r="N643" s="85" t="s">
        <v>188</v>
      </c>
      <c r="O643" s="85" t="s">
        <v>196</v>
      </c>
      <c r="P643" s="85" t="s">
        <v>1904</v>
      </c>
      <c r="Q643" s="85" t="s">
        <v>1905</v>
      </c>
      <c r="R643" s="85">
        <v>3</v>
      </c>
      <c r="S643" s="85">
        <v>946</v>
      </c>
      <c r="T643" s="2">
        <v>44140</v>
      </c>
      <c r="U643" s="2">
        <v>44160</v>
      </c>
    </row>
    <row r="644" spans="1:21" x14ac:dyDescent="0.2">
      <c r="A644" s="3" t="str">
        <f>HYPERLINK("http://www.ofsted.gov.uk/inspection-reports/find-inspection-report/provider/ELS/140279 ","Ofsted School Webpage")</f>
        <v>Ofsted School Webpage</v>
      </c>
      <c r="B644" s="85">
        <v>140279</v>
      </c>
      <c r="C644" s="85">
        <v>9312596</v>
      </c>
      <c r="D644" s="85" t="s">
        <v>1906</v>
      </c>
      <c r="E644" s="85" t="s">
        <v>81</v>
      </c>
      <c r="F644" s="85" t="s">
        <v>400</v>
      </c>
      <c r="G644" s="2">
        <v>41579</v>
      </c>
      <c r="H644" s="85" t="s">
        <v>255</v>
      </c>
      <c r="I644" s="85" t="s">
        <v>256</v>
      </c>
      <c r="J644" s="85" t="s">
        <v>257</v>
      </c>
      <c r="K644" s="85" t="s">
        <v>257</v>
      </c>
      <c r="L644" s="85" t="s">
        <v>258</v>
      </c>
      <c r="M644" s="85" t="s">
        <v>169</v>
      </c>
      <c r="N644" s="85" t="s">
        <v>169</v>
      </c>
      <c r="O644" s="85" t="s">
        <v>187</v>
      </c>
      <c r="P644" s="85" t="s">
        <v>1907</v>
      </c>
      <c r="Q644" s="85" t="s">
        <v>1908</v>
      </c>
      <c r="R644" s="85">
        <v>1</v>
      </c>
      <c r="S644" s="85">
        <v>285</v>
      </c>
      <c r="T644" s="2">
        <v>44140</v>
      </c>
      <c r="U644" s="2">
        <v>44168</v>
      </c>
    </row>
    <row r="645" spans="1:21" x14ac:dyDescent="0.2">
      <c r="A645" s="3" t="str">
        <f>HYPERLINK("http://www.ofsted.gov.uk/inspection-reports/find-inspection-report/provider/ELS/133114 ","Ofsted School Webpage")</f>
        <v>Ofsted School Webpage</v>
      </c>
      <c r="B645" s="85">
        <v>133114</v>
      </c>
      <c r="C645" s="85">
        <v>8836905</v>
      </c>
      <c r="D645" s="85" t="s">
        <v>1909</v>
      </c>
      <c r="E645" s="85" t="s">
        <v>82</v>
      </c>
      <c r="F645" s="85" t="s">
        <v>404</v>
      </c>
      <c r="G645" s="2">
        <v>38961</v>
      </c>
      <c r="H645" s="85" t="s">
        <v>275</v>
      </c>
      <c r="I645" s="85" t="s">
        <v>256</v>
      </c>
      <c r="J645" s="85" t="s">
        <v>257</v>
      </c>
      <c r="K645" s="85" t="s">
        <v>405</v>
      </c>
      <c r="L645" s="85" t="s">
        <v>258</v>
      </c>
      <c r="M645" s="85" t="s">
        <v>95</v>
      </c>
      <c r="N645" s="85" t="s">
        <v>95</v>
      </c>
      <c r="O645" s="85" t="s">
        <v>98</v>
      </c>
      <c r="P645" s="85" t="s">
        <v>98</v>
      </c>
      <c r="Q645" s="85" t="s">
        <v>1910</v>
      </c>
      <c r="R645" s="85">
        <v>5</v>
      </c>
      <c r="S645" s="85">
        <v>1029</v>
      </c>
      <c r="T645" s="2">
        <v>44140</v>
      </c>
      <c r="U645" s="2">
        <v>44167</v>
      </c>
    </row>
    <row r="646" spans="1:21" x14ac:dyDescent="0.2">
      <c r="A646" s="3" t="str">
        <f>HYPERLINK("http://www.ofsted.gov.uk/inspection-reports/find-inspection-report/provider/ELS/136990 ","Ofsted School Webpage")</f>
        <v>Ofsted School Webpage</v>
      </c>
      <c r="B646" s="85">
        <v>136990</v>
      </c>
      <c r="C646" s="85">
        <v>9354000</v>
      </c>
      <c r="D646" s="85" t="s">
        <v>1911</v>
      </c>
      <c r="E646" s="85" t="s">
        <v>82</v>
      </c>
      <c r="F646" s="85" t="s">
        <v>400</v>
      </c>
      <c r="G646" s="2">
        <v>40756</v>
      </c>
      <c r="H646" s="85" t="s">
        <v>275</v>
      </c>
      <c r="I646" s="85" t="s">
        <v>276</v>
      </c>
      <c r="J646" s="85" t="s">
        <v>257</v>
      </c>
      <c r="K646" s="85" t="s">
        <v>257</v>
      </c>
      <c r="L646" s="85" t="s">
        <v>258</v>
      </c>
      <c r="M646" s="85" t="s">
        <v>95</v>
      </c>
      <c r="N646" s="85" t="s">
        <v>95</v>
      </c>
      <c r="O646" s="85" t="s">
        <v>99</v>
      </c>
      <c r="P646" s="85" t="s">
        <v>921</v>
      </c>
      <c r="Q646" s="85" t="s">
        <v>1912</v>
      </c>
      <c r="R646" s="85">
        <v>1</v>
      </c>
      <c r="S646" s="85">
        <v>973</v>
      </c>
      <c r="T646" s="2">
        <v>44140</v>
      </c>
      <c r="U646" s="2">
        <v>44168</v>
      </c>
    </row>
    <row r="647" spans="1:21" x14ac:dyDescent="0.2">
      <c r="A647" s="3" t="str">
        <f>HYPERLINK("http://www.ofsted.gov.uk/inspection-reports/find-inspection-report/provider/ELS/141226 ","Ofsted School Webpage")</f>
        <v>Ofsted School Webpage</v>
      </c>
      <c r="B647" s="85">
        <v>141226</v>
      </c>
      <c r="C647" s="85">
        <v>9262071</v>
      </c>
      <c r="D647" s="85" t="s">
        <v>1913</v>
      </c>
      <c r="E647" s="85" t="s">
        <v>81</v>
      </c>
      <c r="F647" s="85" t="s">
        <v>404</v>
      </c>
      <c r="G647" s="2">
        <v>41913</v>
      </c>
      <c r="H647" s="85" t="s">
        <v>255</v>
      </c>
      <c r="I647" s="85" t="s">
        <v>256</v>
      </c>
      <c r="J647" s="85" t="s">
        <v>257</v>
      </c>
      <c r="K647" s="85" t="s">
        <v>405</v>
      </c>
      <c r="L647" s="85" t="s">
        <v>258</v>
      </c>
      <c r="M647" s="85" t="s">
        <v>95</v>
      </c>
      <c r="N647" s="85" t="s">
        <v>95</v>
      </c>
      <c r="O647" s="85" t="s">
        <v>103</v>
      </c>
      <c r="P647" s="85" t="s">
        <v>1914</v>
      </c>
      <c r="Q647" s="85" t="s">
        <v>1915</v>
      </c>
      <c r="R647" s="85">
        <v>2</v>
      </c>
      <c r="S647" s="85">
        <v>71</v>
      </c>
      <c r="T647" s="2">
        <v>44140</v>
      </c>
      <c r="U647" s="2">
        <v>44167</v>
      </c>
    </row>
    <row r="648" spans="1:21" x14ac:dyDescent="0.2">
      <c r="A648" s="3" t="str">
        <f>HYPERLINK("http://www.ofsted.gov.uk/inspection-reports/find-inspection-report/provider/ELS/141988 ","Ofsted School Webpage")</f>
        <v>Ofsted School Webpage</v>
      </c>
      <c r="B648" s="85">
        <v>141988</v>
      </c>
      <c r="C648" s="85">
        <v>8652025</v>
      </c>
      <c r="D648" s="85" t="s">
        <v>1916</v>
      </c>
      <c r="E648" s="85" t="s">
        <v>81</v>
      </c>
      <c r="F648" s="85" t="s">
        <v>404</v>
      </c>
      <c r="G648" s="2">
        <v>42248</v>
      </c>
      <c r="H648" s="85" t="s">
        <v>255</v>
      </c>
      <c r="I648" s="85" t="s">
        <v>256</v>
      </c>
      <c r="J648" s="85" t="s">
        <v>342</v>
      </c>
      <c r="K648" s="85" t="s">
        <v>405</v>
      </c>
      <c r="L648" s="85" t="s">
        <v>335</v>
      </c>
      <c r="M648" s="85" t="s">
        <v>188</v>
      </c>
      <c r="N648" s="85" t="s">
        <v>188</v>
      </c>
      <c r="O648" s="85" t="s">
        <v>202</v>
      </c>
      <c r="P648" s="85" t="s">
        <v>1317</v>
      </c>
      <c r="Q648" s="85" t="s">
        <v>1917</v>
      </c>
      <c r="R648" s="85">
        <v>3</v>
      </c>
      <c r="S648" s="85">
        <v>226</v>
      </c>
      <c r="T648" s="2">
        <v>44140</v>
      </c>
      <c r="U648" s="2">
        <v>44165</v>
      </c>
    </row>
    <row r="649" spans="1:21" x14ac:dyDescent="0.2">
      <c r="A649" s="3" t="str">
        <f>HYPERLINK("http://www.ofsted.gov.uk/inspection-reports/find-inspection-report/provider/ELS/136339 ","Ofsted School Webpage")</f>
        <v>Ofsted School Webpage</v>
      </c>
      <c r="B649" s="85">
        <v>136339</v>
      </c>
      <c r="C649" s="85">
        <v>8735204</v>
      </c>
      <c r="D649" s="85" t="s">
        <v>1918</v>
      </c>
      <c r="E649" s="85" t="s">
        <v>81</v>
      </c>
      <c r="F649" s="85" t="s">
        <v>400</v>
      </c>
      <c r="G649" s="2">
        <v>40452</v>
      </c>
      <c r="H649" s="85" t="s">
        <v>255</v>
      </c>
      <c r="I649" s="85" t="s">
        <v>255</v>
      </c>
      <c r="J649" s="85" t="s">
        <v>405</v>
      </c>
      <c r="K649" s="85" t="s">
        <v>257</v>
      </c>
      <c r="L649" s="85" t="s">
        <v>258</v>
      </c>
      <c r="M649" s="85" t="s">
        <v>95</v>
      </c>
      <c r="N649" s="85" t="s">
        <v>95</v>
      </c>
      <c r="O649" s="85" t="s">
        <v>97</v>
      </c>
      <c r="P649" s="85" t="s">
        <v>1919</v>
      </c>
      <c r="Q649" s="85" t="s">
        <v>1920</v>
      </c>
      <c r="R649" s="85">
        <v>1</v>
      </c>
      <c r="S649" s="85">
        <v>460</v>
      </c>
      <c r="T649" s="2">
        <v>44140</v>
      </c>
      <c r="U649" s="2">
        <v>44168</v>
      </c>
    </row>
    <row r="650" spans="1:21" x14ac:dyDescent="0.2">
      <c r="A650" s="3" t="str">
        <f>HYPERLINK("http://www.ofsted.gov.uk/inspection-reports/find-inspection-report/provider/ELS/140881 ","Ofsted School Webpage")</f>
        <v>Ofsted School Webpage</v>
      </c>
      <c r="B650" s="85">
        <v>140881</v>
      </c>
      <c r="C650" s="85">
        <v>8734009</v>
      </c>
      <c r="D650" s="85" t="s">
        <v>1921</v>
      </c>
      <c r="E650" s="85" t="s">
        <v>82</v>
      </c>
      <c r="F650" s="85" t="s">
        <v>404</v>
      </c>
      <c r="G650" s="2">
        <v>42979</v>
      </c>
      <c r="H650" s="85" t="s">
        <v>450</v>
      </c>
      <c r="I650" s="85" t="s">
        <v>256</v>
      </c>
      <c r="J650" s="85" t="s">
        <v>405</v>
      </c>
      <c r="K650" s="85" t="s">
        <v>405</v>
      </c>
      <c r="L650" s="85" t="s">
        <v>258</v>
      </c>
      <c r="M650" s="85" t="s">
        <v>95</v>
      </c>
      <c r="N650" s="85" t="s">
        <v>95</v>
      </c>
      <c r="O650" s="85" t="s">
        <v>97</v>
      </c>
      <c r="P650" s="85" t="s">
        <v>1113</v>
      </c>
      <c r="Q650" s="85" t="s">
        <v>1922</v>
      </c>
      <c r="R650" s="85">
        <v>2</v>
      </c>
      <c r="S650" s="85">
        <v>349</v>
      </c>
      <c r="T650" s="2">
        <v>44140</v>
      </c>
      <c r="U650" s="2">
        <v>44168</v>
      </c>
    </row>
    <row r="651" spans="1:21" x14ac:dyDescent="0.2">
      <c r="A651" s="3" t="str">
        <f>HYPERLINK("http://www.ofsted.gov.uk/inspection-reports/find-inspection-report/provider/ELS/144457 ","Ofsted School Webpage")</f>
        <v>Ofsted School Webpage</v>
      </c>
      <c r="B651" s="85">
        <v>144457</v>
      </c>
      <c r="C651" s="85">
        <v>8852121</v>
      </c>
      <c r="D651" s="85" t="s">
        <v>754</v>
      </c>
      <c r="E651" s="85" t="s">
        <v>81</v>
      </c>
      <c r="F651" s="85" t="s">
        <v>400</v>
      </c>
      <c r="G651" s="2">
        <v>42948</v>
      </c>
      <c r="H651" s="85" t="s">
        <v>255</v>
      </c>
      <c r="I651" s="85" t="s">
        <v>256</v>
      </c>
      <c r="J651" s="85" t="s">
        <v>257</v>
      </c>
      <c r="K651" s="85" t="s">
        <v>257</v>
      </c>
      <c r="L651" s="85" t="s">
        <v>258</v>
      </c>
      <c r="M651" s="85" t="s">
        <v>203</v>
      </c>
      <c r="N651" s="85" t="s">
        <v>203</v>
      </c>
      <c r="O651" s="85" t="s">
        <v>215</v>
      </c>
      <c r="P651" s="85" t="s">
        <v>1923</v>
      </c>
      <c r="Q651" s="85" t="s">
        <v>1924</v>
      </c>
      <c r="R651" s="85">
        <v>3</v>
      </c>
      <c r="S651" s="85">
        <v>171</v>
      </c>
      <c r="T651" s="2">
        <v>44140</v>
      </c>
      <c r="U651" s="2">
        <v>44166</v>
      </c>
    </row>
    <row r="652" spans="1:21" x14ac:dyDescent="0.2">
      <c r="A652" s="3" t="str">
        <f>HYPERLINK("http://www.ofsted.gov.uk/inspection-reports/find-inspection-report/provider/ELS/145951 ","Ofsted School Webpage")</f>
        <v>Ofsted School Webpage</v>
      </c>
      <c r="B652" s="85">
        <v>145951</v>
      </c>
      <c r="C652" s="85">
        <v>8862098</v>
      </c>
      <c r="D652" s="85" t="s">
        <v>1925</v>
      </c>
      <c r="E652" s="85" t="s">
        <v>81</v>
      </c>
      <c r="F652" s="85" t="s">
        <v>404</v>
      </c>
      <c r="G652" s="2">
        <v>43221</v>
      </c>
      <c r="H652" s="85" t="s">
        <v>450</v>
      </c>
      <c r="I652" s="85" t="s">
        <v>256</v>
      </c>
      <c r="J652" s="85" t="s">
        <v>405</v>
      </c>
      <c r="K652" s="85" t="s">
        <v>405</v>
      </c>
      <c r="L652" s="85" t="s">
        <v>258</v>
      </c>
      <c r="M652" s="85" t="s">
        <v>169</v>
      </c>
      <c r="N652" s="85" t="s">
        <v>169</v>
      </c>
      <c r="O652" s="85" t="s">
        <v>171</v>
      </c>
      <c r="P652" s="85" t="s">
        <v>361</v>
      </c>
      <c r="Q652" s="85" t="s">
        <v>1926</v>
      </c>
      <c r="R652" s="85">
        <v>4</v>
      </c>
      <c r="S652" s="85">
        <v>252</v>
      </c>
      <c r="T652" s="2">
        <v>44140</v>
      </c>
      <c r="U652" s="2">
        <v>44168</v>
      </c>
    </row>
    <row r="653" spans="1:21" x14ac:dyDescent="0.2">
      <c r="A653" s="3" t="str">
        <f>HYPERLINK("http://www.ofsted.gov.uk/inspection-reports/find-inspection-report/provider/ELS/138154 ","Ofsted School Webpage")</f>
        <v>Ofsted School Webpage</v>
      </c>
      <c r="B653" s="85">
        <v>138154</v>
      </c>
      <c r="C653" s="85">
        <v>8552146</v>
      </c>
      <c r="D653" s="85" t="s">
        <v>1927</v>
      </c>
      <c r="E653" s="85" t="s">
        <v>81</v>
      </c>
      <c r="F653" s="85" t="s">
        <v>400</v>
      </c>
      <c r="G653" s="2">
        <v>41061</v>
      </c>
      <c r="H653" s="85" t="s">
        <v>255</v>
      </c>
      <c r="I653" s="85" t="s">
        <v>256</v>
      </c>
      <c r="J653" s="85" t="s">
        <v>257</v>
      </c>
      <c r="K653" s="85" t="s">
        <v>257</v>
      </c>
      <c r="L653" s="85" t="s">
        <v>258</v>
      </c>
      <c r="M653" s="85" t="s">
        <v>85</v>
      </c>
      <c r="N653" s="85" t="s">
        <v>85</v>
      </c>
      <c r="O653" s="85" t="s">
        <v>93</v>
      </c>
      <c r="P653" s="85" t="s">
        <v>1681</v>
      </c>
      <c r="Q653" s="85" t="s">
        <v>1928</v>
      </c>
      <c r="R653" s="85">
        <v>1</v>
      </c>
      <c r="S653" s="85">
        <v>616</v>
      </c>
      <c r="T653" s="2">
        <v>44140</v>
      </c>
      <c r="U653" s="2">
        <v>44161</v>
      </c>
    </row>
    <row r="654" spans="1:21" x14ac:dyDescent="0.2">
      <c r="A654" s="3" t="str">
        <f>HYPERLINK("http://www.ofsted.gov.uk/inspection-reports/find-inspection-report/provider/ELS/141486 ","Ofsted School Webpage")</f>
        <v>Ofsted School Webpage</v>
      </c>
      <c r="B654" s="85">
        <v>141486</v>
      </c>
      <c r="C654" s="85">
        <v>8603092</v>
      </c>
      <c r="D654" s="85" t="s">
        <v>1929</v>
      </c>
      <c r="E654" s="85" t="s">
        <v>81</v>
      </c>
      <c r="F654" s="85" t="s">
        <v>400</v>
      </c>
      <c r="G654" s="2">
        <v>41913</v>
      </c>
      <c r="H654" s="85" t="s">
        <v>255</v>
      </c>
      <c r="I654" s="85" t="s">
        <v>256</v>
      </c>
      <c r="J654" s="85" t="s">
        <v>342</v>
      </c>
      <c r="K654" s="85" t="s">
        <v>257</v>
      </c>
      <c r="L654" s="85" t="s">
        <v>335</v>
      </c>
      <c r="M654" s="85" t="s">
        <v>203</v>
      </c>
      <c r="N654" s="85" t="s">
        <v>203</v>
      </c>
      <c r="O654" s="85" t="s">
        <v>206</v>
      </c>
      <c r="P654" s="85" t="s">
        <v>1258</v>
      </c>
      <c r="Q654" s="85" t="s">
        <v>1930</v>
      </c>
      <c r="R654" s="85">
        <v>4</v>
      </c>
      <c r="S654" s="85">
        <v>293</v>
      </c>
      <c r="T654" s="2">
        <v>44140</v>
      </c>
      <c r="U654" s="2">
        <v>44167</v>
      </c>
    </row>
    <row r="655" spans="1:21" x14ac:dyDescent="0.2">
      <c r="A655" s="3" t="str">
        <f>HYPERLINK("http://www.ofsted.gov.uk/inspection-reports/find-inspection-report/provider/ELS/142444 ","Ofsted School Webpage")</f>
        <v>Ofsted School Webpage</v>
      </c>
      <c r="B655" s="85">
        <v>142444</v>
      </c>
      <c r="C655" s="85">
        <v>9082020</v>
      </c>
      <c r="D655" s="85" t="s">
        <v>1931</v>
      </c>
      <c r="E655" s="85" t="s">
        <v>81</v>
      </c>
      <c r="F655" s="85" t="s">
        <v>400</v>
      </c>
      <c r="G655" s="2">
        <v>42309</v>
      </c>
      <c r="H655" s="85" t="s">
        <v>255</v>
      </c>
      <c r="I655" s="85" t="s">
        <v>256</v>
      </c>
      <c r="J655" s="85" t="s">
        <v>257</v>
      </c>
      <c r="K655" s="85" t="s">
        <v>257</v>
      </c>
      <c r="L655" s="85" t="s">
        <v>258</v>
      </c>
      <c r="M655" s="85" t="s">
        <v>188</v>
      </c>
      <c r="N655" s="85" t="s">
        <v>188</v>
      </c>
      <c r="O655" s="85" t="s">
        <v>196</v>
      </c>
      <c r="P655" s="85" t="s">
        <v>1932</v>
      </c>
      <c r="Q655" s="85" t="s">
        <v>1933</v>
      </c>
      <c r="R655" s="85">
        <v>4</v>
      </c>
      <c r="S655" s="85">
        <v>178</v>
      </c>
      <c r="T655" s="2">
        <v>44145</v>
      </c>
      <c r="U655" s="2">
        <v>44168</v>
      </c>
    </row>
    <row r="656" spans="1:21" x14ac:dyDescent="0.2">
      <c r="A656" s="3" t="str">
        <f>HYPERLINK("http://www.ofsted.gov.uk/inspection-reports/find-inspection-report/provider/ELS/148173 ","Ofsted School Webpage")</f>
        <v>Ofsted School Webpage</v>
      </c>
      <c r="B656" s="85">
        <v>148173</v>
      </c>
      <c r="C656" s="85">
        <v>8653462</v>
      </c>
      <c r="D656" s="85" t="s">
        <v>1934</v>
      </c>
      <c r="E656" s="85" t="s">
        <v>81</v>
      </c>
      <c r="F656" s="85" t="s">
        <v>400</v>
      </c>
      <c r="G656" s="2">
        <v>44105</v>
      </c>
      <c r="H656" s="85" t="s">
        <v>255</v>
      </c>
      <c r="I656" s="85" t="s">
        <v>256</v>
      </c>
      <c r="J656" s="85" t="s">
        <v>257</v>
      </c>
      <c r="K656" s="85" t="s">
        <v>257</v>
      </c>
      <c r="L656" s="85" t="s">
        <v>258</v>
      </c>
      <c r="M656" s="85" t="s">
        <v>188</v>
      </c>
      <c r="N656" s="85" t="s">
        <v>188</v>
      </c>
      <c r="O656" s="85" t="s">
        <v>202</v>
      </c>
      <c r="P656" s="85" t="s">
        <v>1711</v>
      </c>
      <c r="Q656" s="85" t="s">
        <v>1935</v>
      </c>
      <c r="R656" s="85" t="s">
        <v>262</v>
      </c>
      <c r="S656" s="85" t="s">
        <v>262</v>
      </c>
      <c r="T656" s="2">
        <v>44145</v>
      </c>
      <c r="U656" s="2">
        <v>44168</v>
      </c>
    </row>
    <row r="657" spans="1:21" x14ac:dyDescent="0.2">
      <c r="A657" s="3" t="str">
        <f>HYPERLINK("http://www.ofsted.gov.uk/inspection-reports/find-inspection-report/provider/ELS/147893 ","Ofsted School Webpage")</f>
        <v>Ofsted School Webpage</v>
      </c>
      <c r="B657" s="85">
        <v>147893</v>
      </c>
      <c r="C657" s="85">
        <v>8382012</v>
      </c>
      <c r="D657" s="85" t="s">
        <v>1936</v>
      </c>
      <c r="E657" s="85" t="s">
        <v>81</v>
      </c>
      <c r="F657" s="85" t="s">
        <v>404</v>
      </c>
      <c r="G657" s="2">
        <v>44105</v>
      </c>
      <c r="H657" s="85" t="s">
        <v>255</v>
      </c>
      <c r="I657" s="85" t="s">
        <v>256</v>
      </c>
      <c r="J657" s="85" t="s">
        <v>342</v>
      </c>
      <c r="K657" s="85" t="s">
        <v>342</v>
      </c>
      <c r="L657" s="85" t="s">
        <v>335</v>
      </c>
      <c r="M657" s="85" t="s">
        <v>188</v>
      </c>
      <c r="N657" s="85" t="s">
        <v>188</v>
      </c>
      <c r="O657" s="85" t="s">
        <v>190</v>
      </c>
      <c r="P657" s="85" t="s">
        <v>705</v>
      </c>
      <c r="Q657" s="85" t="s">
        <v>1937</v>
      </c>
      <c r="R657" s="85" t="s">
        <v>262</v>
      </c>
      <c r="S657" s="85" t="s">
        <v>262</v>
      </c>
      <c r="T657" s="2">
        <v>44145</v>
      </c>
      <c r="U657" s="2">
        <v>44167</v>
      </c>
    </row>
    <row r="658" spans="1:21" x14ac:dyDescent="0.2">
      <c r="A658" s="3" t="str">
        <f>HYPERLINK("http://www.ofsted.gov.uk/inspection-reports/find-inspection-report/provider/ELS/144487 ","Ofsted School Webpage")</f>
        <v>Ofsted School Webpage</v>
      </c>
      <c r="B658" s="85">
        <v>144487</v>
      </c>
      <c r="C658" s="85">
        <v>8924008</v>
      </c>
      <c r="D658" s="85" t="s">
        <v>1938</v>
      </c>
      <c r="E658" s="85" t="s">
        <v>82</v>
      </c>
      <c r="F658" s="85" t="s">
        <v>404</v>
      </c>
      <c r="G658" s="2">
        <v>42614</v>
      </c>
      <c r="H658" s="85" t="s">
        <v>275</v>
      </c>
      <c r="I658" s="85" t="s">
        <v>276</v>
      </c>
      <c r="J658" s="85" t="s">
        <v>405</v>
      </c>
      <c r="K658" s="85" t="s">
        <v>405</v>
      </c>
      <c r="L658" s="85" t="s">
        <v>258</v>
      </c>
      <c r="M658" s="85" t="s">
        <v>85</v>
      </c>
      <c r="N658" s="85" t="s">
        <v>85</v>
      </c>
      <c r="O658" s="85" t="s">
        <v>94</v>
      </c>
      <c r="P658" s="85" t="s">
        <v>1832</v>
      </c>
      <c r="Q658" s="85" t="s">
        <v>1939</v>
      </c>
      <c r="R658" s="85">
        <v>5</v>
      </c>
      <c r="S658" s="85">
        <v>818</v>
      </c>
      <c r="T658" s="2">
        <v>44145</v>
      </c>
      <c r="U658" s="2">
        <v>44166</v>
      </c>
    </row>
    <row r="659" spans="1:21" x14ac:dyDescent="0.2">
      <c r="A659" s="3" t="str">
        <f>HYPERLINK("http://www.ofsted.gov.uk/inspection-reports/find-inspection-report/provider/ELS/141948 ","Ofsted School Webpage")</f>
        <v>Ofsted School Webpage</v>
      </c>
      <c r="B659" s="85">
        <v>141948</v>
      </c>
      <c r="C659" s="85">
        <v>9267000</v>
      </c>
      <c r="D659" s="85" t="s">
        <v>1940</v>
      </c>
      <c r="E659" s="85" t="s">
        <v>83</v>
      </c>
      <c r="F659" s="85" t="s">
        <v>441</v>
      </c>
      <c r="G659" s="2">
        <v>43252</v>
      </c>
      <c r="H659" s="85" t="s">
        <v>255</v>
      </c>
      <c r="I659" s="85" t="s">
        <v>256</v>
      </c>
      <c r="J659" s="85" t="s">
        <v>257</v>
      </c>
      <c r="K659" s="85" t="s">
        <v>405</v>
      </c>
      <c r="L659" s="85" t="s">
        <v>258</v>
      </c>
      <c r="M659" s="85" t="s">
        <v>95</v>
      </c>
      <c r="N659" s="85" t="s">
        <v>95</v>
      </c>
      <c r="O659" s="85" t="s">
        <v>103</v>
      </c>
      <c r="P659" s="85" t="s">
        <v>1084</v>
      </c>
      <c r="Q659" s="85" t="s">
        <v>1941</v>
      </c>
      <c r="R659" s="85">
        <v>4</v>
      </c>
      <c r="S659" s="85">
        <v>37</v>
      </c>
      <c r="T659" s="2">
        <v>44145</v>
      </c>
      <c r="U659" s="2">
        <v>44168</v>
      </c>
    </row>
    <row r="660" spans="1:21" x14ac:dyDescent="0.2">
      <c r="A660" s="3" t="str">
        <f>HYPERLINK("http://www.ofsted.gov.uk/inspection-reports/find-inspection-report/provider/ELS/142960 ","Ofsted School Webpage")</f>
        <v>Ofsted School Webpage</v>
      </c>
      <c r="B660" s="85">
        <v>142960</v>
      </c>
      <c r="C660" s="85">
        <v>3314030</v>
      </c>
      <c r="D660" s="85" t="s">
        <v>1942</v>
      </c>
      <c r="E660" s="85" t="s">
        <v>82</v>
      </c>
      <c r="F660" s="85" t="s">
        <v>400</v>
      </c>
      <c r="G660" s="2">
        <v>42552</v>
      </c>
      <c r="H660" s="85" t="s">
        <v>275</v>
      </c>
      <c r="I660" s="85" t="s">
        <v>276</v>
      </c>
      <c r="J660" s="85" t="s">
        <v>405</v>
      </c>
      <c r="K660" s="85" t="s">
        <v>257</v>
      </c>
      <c r="L660" s="85" t="s">
        <v>258</v>
      </c>
      <c r="M660" s="85" t="s">
        <v>203</v>
      </c>
      <c r="N660" s="85" t="s">
        <v>203</v>
      </c>
      <c r="O660" s="85" t="s">
        <v>210</v>
      </c>
      <c r="P660" s="85" t="s">
        <v>311</v>
      </c>
      <c r="Q660" s="85" t="s">
        <v>1943</v>
      </c>
      <c r="R660" s="85">
        <v>5</v>
      </c>
      <c r="S660" s="85">
        <v>828</v>
      </c>
      <c r="T660" s="2">
        <v>44145</v>
      </c>
      <c r="U660" s="2">
        <v>44168</v>
      </c>
    </row>
    <row r="661" spans="1:21" x14ac:dyDescent="0.2">
      <c r="A661" s="3" t="str">
        <f>HYPERLINK("http://www.ofsted.gov.uk/inspection-reports/find-inspection-report/provider/ELS/141180 ","Ofsted School Webpage")</f>
        <v>Ofsted School Webpage</v>
      </c>
      <c r="B661" s="85">
        <v>141180</v>
      </c>
      <c r="C661" s="85">
        <v>8932003</v>
      </c>
      <c r="D661" s="85" t="s">
        <v>1944</v>
      </c>
      <c r="E661" s="85" t="s">
        <v>81</v>
      </c>
      <c r="F661" s="85" t="s">
        <v>404</v>
      </c>
      <c r="G661" s="2">
        <v>41883</v>
      </c>
      <c r="H661" s="85" t="s">
        <v>255</v>
      </c>
      <c r="I661" s="85" t="s">
        <v>256</v>
      </c>
      <c r="J661" s="85" t="s">
        <v>342</v>
      </c>
      <c r="K661" s="85" t="s">
        <v>405</v>
      </c>
      <c r="L661" s="85" t="s">
        <v>335</v>
      </c>
      <c r="M661" s="85" t="s">
        <v>203</v>
      </c>
      <c r="N661" s="85" t="s">
        <v>203</v>
      </c>
      <c r="O661" s="85" t="s">
        <v>214</v>
      </c>
      <c r="P661" s="85" t="s">
        <v>927</v>
      </c>
      <c r="Q661" s="85" t="s">
        <v>1945</v>
      </c>
      <c r="R661" s="85">
        <v>1</v>
      </c>
      <c r="S661" s="85">
        <v>52</v>
      </c>
      <c r="T661" s="2">
        <v>44145</v>
      </c>
      <c r="U661" s="2">
        <v>44165</v>
      </c>
    </row>
    <row r="662" spans="1:21" x14ac:dyDescent="0.2">
      <c r="A662" s="3" t="str">
        <f>HYPERLINK("http://www.ofsted.gov.uk/inspection-reports/find-inspection-report/provider/ELS/144978 ","Ofsted School Webpage")</f>
        <v>Ofsted School Webpage</v>
      </c>
      <c r="B662" s="85">
        <v>144978</v>
      </c>
      <c r="C662" s="85">
        <v>8912033</v>
      </c>
      <c r="D662" s="85" t="s">
        <v>1946</v>
      </c>
      <c r="E662" s="85" t="s">
        <v>81</v>
      </c>
      <c r="F662" s="85" t="s">
        <v>404</v>
      </c>
      <c r="G662" s="2">
        <v>43160</v>
      </c>
      <c r="H662" s="85" t="s">
        <v>255</v>
      </c>
      <c r="I662" s="85" t="s">
        <v>256</v>
      </c>
      <c r="J662" s="85" t="s">
        <v>257</v>
      </c>
      <c r="K662" s="85" t="s">
        <v>450</v>
      </c>
      <c r="L662" s="85" t="s">
        <v>258</v>
      </c>
      <c r="M662" s="85" t="s">
        <v>85</v>
      </c>
      <c r="N662" s="85" t="s">
        <v>85</v>
      </c>
      <c r="O662" s="85" t="s">
        <v>90</v>
      </c>
      <c r="P662" s="85" t="s">
        <v>1947</v>
      </c>
      <c r="Q662" s="85" t="s">
        <v>1948</v>
      </c>
      <c r="R662" s="85">
        <v>5</v>
      </c>
      <c r="S662" s="85">
        <v>453</v>
      </c>
      <c r="T662" s="2">
        <v>44145</v>
      </c>
      <c r="U662" s="2">
        <v>44168</v>
      </c>
    </row>
    <row r="663" spans="1:21" x14ac:dyDescent="0.2">
      <c r="A663" s="3" t="str">
        <f>HYPERLINK("http://www.ofsted.gov.uk/inspection-reports/find-inspection-report/provider/ELS/142295 ","Ofsted School Webpage")</f>
        <v>Ofsted School Webpage</v>
      </c>
      <c r="B663" s="85">
        <v>142295</v>
      </c>
      <c r="C663" s="85">
        <v>3032007</v>
      </c>
      <c r="D663" s="85" t="s">
        <v>1949</v>
      </c>
      <c r="E663" s="85" t="s">
        <v>81</v>
      </c>
      <c r="F663" s="85" t="s">
        <v>400</v>
      </c>
      <c r="G663" s="2">
        <v>42248</v>
      </c>
      <c r="H663" s="85" t="s">
        <v>255</v>
      </c>
      <c r="I663" s="85" t="s">
        <v>256</v>
      </c>
      <c r="J663" s="85" t="s">
        <v>257</v>
      </c>
      <c r="K663" s="85" t="s">
        <v>257</v>
      </c>
      <c r="L663" s="85" t="s">
        <v>258</v>
      </c>
      <c r="M663" s="85" t="s">
        <v>107</v>
      </c>
      <c r="N663" s="85" t="s">
        <v>107</v>
      </c>
      <c r="O663" s="85" t="s">
        <v>116</v>
      </c>
      <c r="P663" s="85" t="s">
        <v>1950</v>
      </c>
      <c r="Q663" s="85" t="s">
        <v>1951</v>
      </c>
      <c r="R663" s="85">
        <v>3</v>
      </c>
      <c r="S663" s="85">
        <v>386</v>
      </c>
      <c r="T663" s="2">
        <v>44145</v>
      </c>
      <c r="U663" s="2">
        <v>44164</v>
      </c>
    </row>
    <row r="664" spans="1:21" x14ac:dyDescent="0.2">
      <c r="A664" s="3" t="str">
        <f>HYPERLINK("http://www.ofsted.gov.uk/inspection-reports/find-inspection-report/provider/ELS/122277 ","Ofsted School Webpage")</f>
        <v>Ofsted School Webpage</v>
      </c>
      <c r="B664" s="85">
        <v>122277</v>
      </c>
      <c r="C664" s="85">
        <v>9293173</v>
      </c>
      <c r="D664" s="85" t="s">
        <v>1952</v>
      </c>
      <c r="E664" s="85" t="s">
        <v>81</v>
      </c>
      <c r="F664" s="85" t="s">
        <v>360</v>
      </c>
      <c r="G664" s="85" t="s">
        <v>262</v>
      </c>
      <c r="H664" s="85" t="s">
        <v>255</v>
      </c>
      <c r="I664" s="85" t="s">
        <v>256</v>
      </c>
      <c r="J664" s="85" t="s">
        <v>342</v>
      </c>
      <c r="K664" s="85" t="s">
        <v>257</v>
      </c>
      <c r="L664" s="85" t="s">
        <v>335</v>
      </c>
      <c r="M664" s="85" t="s">
        <v>236</v>
      </c>
      <c r="N664" s="85" t="s">
        <v>135</v>
      </c>
      <c r="O664" s="85" t="s">
        <v>138</v>
      </c>
      <c r="P664" s="85" t="s">
        <v>401</v>
      </c>
      <c r="Q664" s="85" t="s">
        <v>1953</v>
      </c>
      <c r="R664" s="85">
        <v>1</v>
      </c>
      <c r="S664" s="85">
        <v>110</v>
      </c>
      <c r="T664" s="2">
        <v>44145</v>
      </c>
      <c r="U664" s="2">
        <v>44168</v>
      </c>
    </row>
    <row r="665" spans="1:21" x14ac:dyDescent="0.2">
      <c r="A665" s="3" t="str">
        <f>HYPERLINK("http://www.ofsted.gov.uk/inspection-reports/find-inspection-report/provider/ELS/116837 ","Ofsted School Webpage")</f>
        <v>Ofsted School Webpage</v>
      </c>
      <c r="B665" s="85">
        <v>116837</v>
      </c>
      <c r="C665" s="85">
        <v>8853084</v>
      </c>
      <c r="D665" s="85" t="s">
        <v>1954</v>
      </c>
      <c r="E665" s="85" t="s">
        <v>81</v>
      </c>
      <c r="F665" s="85" t="s">
        <v>360</v>
      </c>
      <c r="G665" s="85" t="s">
        <v>262</v>
      </c>
      <c r="H665" s="85" t="s">
        <v>255</v>
      </c>
      <c r="I665" s="85" t="s">
        <v>256</v>
      </c>
      <c r="J665" s="85" t="s">
        <v>342</v>
      </c>
      <c r="K665" s="85" t="s">
        <v>257</v>
      </c>
      <c r="L665" s="85" t="s">
        <v>335</v>
      </c>
      <c r="M665" s="85" t="s">
        <v>203</v>
      </c>
      <c r="N665" s="85" t="s">
        <v>203</v>
      </c>
      <c r="O665" s="85" t="s">
        <v>215</v>
      </c>
      <c r="P665" s="85" t="s">
        <v>1923</v>
      </c>
      <c r="Q665" s="85" t="s">
        <v>1955</v>
      </c>
      <c r="R665" s="85">
        <v>1</v>
      </c>
      <c r="S665" s="85">
        <v>66</v>
      </c>
      <c r="T665" s="2">
        <v>44145</v>
      </c>
      <c r="U665" s="2">
        <v>44165</v>
      </c>
    </row>
    <row r="666" spans="1:21" x14ac:dyDescent="0.2">
      <c r="A666" s="3" t="str">
        <f>HYPERLINK("http://www.ofsted.gov.uk/inspection-reports/find-inspection-report/provider/ELS/108033 ","Ofsted School Webpage")</f>
        <v>Ofsted School Webpage</v>
      </c>
      <c r="B666" s="85">
        <v>108033</v>
      </c>
      <c r="C666" s="85">
        <v>3833379</v>
      </c>
      <c r="D666" s="85" t="s">
        <v>1956</v>
      </c>
      <c r="E666" s="85" t="s">
        <v>81</v>
      </c>
      <c r="F666" s="85" t="s">
        <v>333</v>
      </c>
      <c r="G666" s="85" t="s">
        <v>262</v>
      </c>
      <c r="H666" s="85" t="s">
        <v>255</v>
      </c>
      <c r="I666" s="85" t="s">
        <v>256</v>
      </c>
      <c r="J666" s="85" t="s">
        <v>334</v>
      </c>
      <c r="K666" s="85" t="s">
        <v>257</v>
      </c>
      <c r="L666" s="85" t="s">
        <v>335</v>
      </c>
      <c r="M666" s="85" t="s">
        <v>236</v>
      </c>
      <c r="N666" s="85" t="s">
        <v>218</v>
      </c>
      <c r="O666" s="85" t="s">
        <v>221</v>
      </c>
      <c r="P666" s="85" t="s">
        <v>1957</v>
      </c>
      <c r="Q666" s="85" t="s">
        <v>1958</v>
      </c>
      <c r="R666" s="85">
        <v>5</v>
      </c>
      <c r="S666" s="85">
        <v>262</v>
      </c>
      <c r="T666" s="2">
        <v>44145</v>
      </c>
      <c r="U666" s="2">
        <v>44168</v>
      </c>
    </row>
    <row r="667" spans="1:21" x14ac:dyDescent="0.2">
      <c r="A667" s="3" t="str">
        <f>HYPERLINK("http://www.ofsted.gov.uk/inspection-reports/find-inspection-report/provider/ELS/126482 ","Ofsted School Webpage")</f>
        <v>Ofsted School Webpage</v>
      </c>
      <c r="B667" s="85">
        <v>126482</v>
      </c>
      <c r="C667" s="85">
        <v>8655208</v>
      </c>
      <c r="D667" s="85" t="s">
        <v>1959</v>
      </c>
      <c r="E667" s="85" t="s">
        <v>81</v>
      </c>
      <c r="F667" s="85" t="s">
        <v>333</v>
      </c>
      <c r="G667" s="85" t="s">
        <v>262</v>
      </c>
      <c r="H667" s="85" t="s">
        <v>255</v>
      </c>
      <c r="I667" s="85" t="s">
        <v>256</v>
      </c>
      <c r="J667" s="85" t="s">
        <v>334</v>
      </c>
      <c r="K667" s="85" t="s">
        <v>257</v>
      </c>
      <c r="L667" s="85" t="s">
        <v>335</v>
      </c>
      <c r="M667" s="85" t="s">
        <v>188</v>
      </c>
      <c r="N667" s="85" t="s">
        <v>188</v>
      </c>
      <c r="O667" s="85" t="s">
        <v>202</v>
      </c>
      <c r="P667" s="85" t="s">
        <v>1960</v>
      </c>
      <c r="Q667" s="85" t="s">
        <v>1961</v>
      </c>
      <c r="R667" s="85">
        <v>2</v>
      </c>
      <c r="S667" s="85">
        <v>187</v>
      </c>
      <c r="T667" s="2">
        <v>44145</v>
      </c>
      <c r="U667" s="2">
        <v>44168</v>
      </c>
    </row>
    <row r="668" spans="1:21" x14ac:dyDescent="0.2">
      <c r="A668" s="3" t="str">
        <f>HYPERLINK("http://www.ofsted.gov.uk/inspection-reports/find-inspection-report/provider/ELS/135967 ","Ofsted School Webpage")</f>
        <v>Ofsted School Webpage</v>
      </c>
      <c r="B668" s="85">
        <v>135967</v>
      </c>
      <c r="C668" s="85">
        <v>9286909</v>
      </c>
      <c r="D668" s="85" t="s">
        <v>1962</v>
      </c>
      <c r="E668" s="85" t="s">
        <v>82</v>
      </c>
      <c r="F668" s="85" t="s">
        <v>404</v>
      </c>
      <c r="G668" s="2">
        <v>40057</v>
      </c>
      <c r="H668" s="85" t="s">
        <v>275</v>
      </c>
      <c r="I668" s="85" t="s">
        <v>276</v>
      </c>
      <c r="J668" s="85" t="s">
        <v>257</v>
      </c>
      <c r="K668" s="85" t="s">
        <v>405</v>
      </c>
      <c r="L668" s="85" t="s">
        <v>258</v>
      </c>
      <c r="M668" s="85" t="s">
        <v>85</v>
      </c>
      <c r="N668" s="85" t="s">
        <v>85</v>
      </c>
      <c r="O668" s="85" t="s">
        <v>92</v>
      </c>
      <c r="P668" s="85" t="s">
        <v>1963</v>
      </c>
      <c r="Q668" s="85" t="s">
        <v>1964</v>
      </c>
      <c r="R668" s="85">
        <v>3</v>
      </c>
      <c r="S668" s="85">
        <v>1147</v>
      </c>
      <c r="T668" s="2">
        <v>44145</v>
      </c>
      <c r="U668" s="2">
        <v>44168</v>
      </c>
    </row>
    <row r="669" spans="1:21" x14ac:dyDescent="0.2">
      <c r="A669" s="3" t="str">
        <f>HYPERLINK("http://www.ofsted.gov.uk/inspection-reports/find-inspection-report/provider/ELS/103982 ","Ofsted School Webpage")</f>
        <v>Ofsted School Webpage</v>
      </c>
      <c r="B669" s="85">
        <v>103982</v>
      </c>
      <c r="C669" s="85">
        <v>3332177</v>
      </c>
      <c r="D669" s="85" t="s">
        <v>1965</v>
      </c>
      <c r="E669" s="85" t="s">
        <v>81</v>
      </c>
      <c r="F669" s="85" t="s">
        <v>254</v>
      </c>
      <c r="G669" s="85" t="s">
        <v>262</v>
      </c>
      <c r="H669" s="85" t="s">
        <v>255</v>
      </c>
      <c r="I669" s="85" t="s">
        <v>256</v>
      </c>
      <c r="J669" s="85" t="s">
        <v>257</v>
      </c>
      <c r="K669" s="85" t="s">
        <v>257</v>
      </c>
      <c r="L669" s="85" t="s">
        <v>258</v>
      </c>
      <c r="M669" s="85" t="s">
        <v>203</v>
      </c>
      <c r="N669" s="85" t="s">
        <v>203</v>
      </c>
      <c r="O669" s="85" t="s">
        <v>205</v>
      </c>
      <c r="P669" s="85" t="s">
        <v>956</v>
      </c>
      <c r="Q669" s="85" t="s">
        <v>1966</v>
      </c>
      <c r="R669" s="85">
        <v>4</v>
      </c>
      <c r="S669" s="85">
        <v>631</v>
      </c>
      <c r="T669" s="2">
        <v>44145</v>
      </c>
      <c r="U669" s="2">
        <v>44165</v>
      </c>
    </row>
    <row r="670" spans="1:21" x14ac:dyDescent="0.2">
      <c r="A670" s="3" t="str">
        <f>HYPERLINK("http://www.ofsted.gov.uk/inspection-reports/find-inspection-report/provider/ELS/100601 ","Ofsted School Webpage")</f>
        <v>Ofsted School Webpage</v>
      </c>
      <c r="B670" s="85">
        <v>100601</v>
      </c>
      <c r="C670" s="85">
        <v>2082836</v>
      </c>
      <c r="D670" s="85" t="s">
        <v>1967</v>
      </c>
      <c r="E670" s="85" t="s">
        <v>81</v>
      </c>
      <c r="F670" s="85" t="s">
        <v>254</v>
      </c>
      <c r="G670" s="85" t="s">
        <v>262</v>
      </c>
      <c r="H670" s="85" t="s">
        <v>255</v>
      </c>
      <c r="I670" s="85" t="s">
        <v>256</v>
      </c>
      <c r="J670" s="85" t="s">
        <v>257</v>
      </c>
      <c r="K670" s="85" t="s">
        <v>257</v>
      </c>
      <c r="L670" s="85" t="s">
        <v>258</v>
      </c>
      <c r="M670" s="85" t="s">
        <v>107</v>
      </c>
      <c r="N670" s="85" t="s">
        <v>107</v>
      </c>
      <c r="O670" s="85" t="s">
        <v>134</v>
      </c>
      <c r="P670" s="85" t="s">
        <v>1968</v>
      </c>
      <c r="Q670" s="85" t="s">
        <v>1969</v>
      </c>
      <c r="R670" s="85">
        <v>4</v>
      </c>
      <c r="S670" s="85">
        <v>192</v>
      </c>
      <c r="T670" s="2">
        <v>44145</v>
      </c>
      <c r="U670" s="2">
        <v>44167</v>
      </c>
    </row>
    <row r="671" spans="1:21" x14ac:dyDescent="0.2">
      <c r="A671" s="3" t="str">
        <f>HYPERLINK("http://www.ofsted.gov.uk/inspection-reports/find-inspection-report/provider/ELS/118085 ","Ofsted School Webpage")</f>
        <v>Ofsted School Webpage</v>
      </c>
      <c r="B671" s="85">
        <v>118085</v>
      </c>
      <c r="C671" s="85">
        <v>8114064</v>
      </c>
      <c r="D671" s="85" t="s">
        <v>1970</v>
      </c>
      <c r="E671" s="85" t="s">
        <v>82</v>
      </c>
      <c r="F671" s="85" t="s">
        <v>254</v>
      </c>
      <c r="G671" s="85" t="s">
        <v>262</v>
      </c>
      <c r="H671" s="85" t="s">
        <v>275</v>
      </c>
      <c r="I671" s="85" t="s">
        <v>276</v>
      </c>
      <c r="J671" s="85" t="s">
        <v>257</v>
      </c>
      <c r="K671" s="85" t="s">
        <v>257</v>
      </c>
      <c r="L671" s="85" t="s">
        <v>258</v>
      </c>
      <c r="M671" s="85" t="s">
        <v>236</v>
      </c>
      <c r="N671" s="85" t="s">
        <v>218</v>
      </c>
      <c r="O671" s="85" t="s">
        <v>220</v>
      </c>
      <c r="P671" s="85" t="s">
        <v>728</v>
      </c>
      <c r="Q671" s="85" t="s">
        <v>1971</v>
      </c>
      <c r="R671" s="85">
        <v>4</v>
      </c>
      <c r="S671" s="85">
        <v>904</v>
      </c>
      <c r="T671" s="2">
        <v>44145</v>
      </c>
      <c r="U671" s="2">
        <v>44167</v>
      </c>
    </row>
    <row r="672" spans="1:21" x14ac:dyDescent="0.2">
      <c r="A672" s="3" t="str">
        <f>HYPERLINK("http://www.ofsted.gov.uk/inspection-reports/find-inspection-report/provider/ELS/116260 ","Ofsted School Webpage")</f>
        <v>Ofsted School Webpage</v>
      </c>
      <c r="B672" s="85">
        <v>116260</v>
      </c>
      <c r="C672" s="85">
        <v>8502767</v>
      </c>
      <c r="D672" s="85" t="s">
        <v>1972</v>
      </c>
      <c r="E672" s="85" t="s">
        <v>81</v>
      </c>
      <c r="F672" s="85" t="s">
        <v>254</v>
      </c>
      <c r="G672" s="85" t="s">
        <v>262</v>
      </c>
      <c r="H672" s="85" t="s">
        <v>255</v>
      </c>
      <c r="I672" s="85" t="s">
        <v>256</v>
      </c>
      <c r="J672" s="85" t="s">
        <v>257</v>
      </c>
      <c r="K672" s="85" t="s">
        <v>257</v>
      </c>
      <c r="L672" s="85" t="s">
        <v>258</v>
      </c>
      <c r="M672" s="85" t="s">
        <v>169</v>
      </c>
      <c r="N672" s="85" t="s">
        <v>169</v>
      </c>
      <c r="O672" s="85" t="s">
        <v>170</v>
      </c>
      <c r="P672" s="85" t="s">
        <v>269</v>
      </c>
      <c r="Q672" s="85" t="s">
        <v>1973</v>
      </c>
      <c r="R672" s="85">
        <v>2</v>
      </c>
      <c r="S672" s="85">
        <v>355</v>
      </c>
      <c r="T672" s="2">
        <v>44145</v>
      </c>
      <c r="U672" s="2">
        <v>44164</v>
      </c>
    </row>
    <row r="673" spans="1:21" x14ac:dyDescent="0.2">
      <c r="A673" s="3" t="str">
        <f>HYPERLINK("http://www.ofsted.gov.uk/inspection-reports/find-inspection-report/provider/ELS/133280 ","Ofsted School Webpage")</f>
        <v>Ofsted School Webpage</v>
      </c>
      <c r="B673" s="85">
        <v>133280</v>
      </c>
      <c r="C673" s="85">
        <v>8913297</v>
      </c>
      <c r="D673" s="85" t="s">
        <v>1974</v>
      </c>
      <c r="E673" s="85" t="s">
        <v>81</v>
      </c>
      <c r="F673" s="85" t="s">
        <v>254</v>
      </c>
      <c r="G673" s="2">
        <v>37135</v>
      </c>
      <c r="H673" s="85" t="s">
        <v>255</v>
      </c>
      <c r="I673" s="85" t="s">
        <v>256</v>
      </c>
      <c r="J673" s="85" t="s">
        <v>257</v>
      </c>
      <c r="K673" s="85" t="s">
        <v>257</v>
      </c>
      <c r="L673" s="85" t="s">
        <v>258</v>
      </c>
      <c r="M673" s="85" t="s">
        <v>85</v>
      </c>
      <c r="N673" s="85" t="s">
        <v>85</v>
      </c>
      <c r="O673" s="85" t="s">
        <v>90</v>
      </c>
      <c r="P673" s="85" t="s">
        <v>947</v>
      </c>
      <c r="Q673" s="85" t="s">
        <v>1975</v>
      </c>
      <c r="R673" s="85">
        <v>4</v>
      </c>
      <c r="S673" s="85">
        <v>477</v>
      </c>
      <c r="T673" s="2">
        <v>44145</v>
      </c>
      <c r="U673" s="2">
        <v>44167</v>
      </c>
    </row>
    <row r="674" spans="1:21" x14ac:dyDescent="0.2">
      <c r="A674" s="3" t="str">
        <f>HYPERLINK("http://www.ofsted.gov.uk/inspection-reports/find-inspection-report/provider/ELS/130302 ","Ofsted School Webpage")</f>
        <v>Ofsted School Webpage</v>
      </c>
      <c r="B674" s="85">
        <v>130302</v>
      </c>
      <c r="C674" s="85">
        <v>2042533</v>
      </c>
      <c r="D674" s="85" t="s">
        <v>1976</v>
      </c>
      <c r="E674" s="85" t="s">
        <v>81</v>
      </c>
      <c r="F674" s="85" t="s">
        <v>254</v>
      </c>
      <c r="G674" s="2">
        <v>34943</v>
      </c>
      <c r="H674" s="85" t="s">
        <v>255</v>
      </c>
      <c r="I674" s="85" t="s">
        <v>256</v>
      </c>
      <c r="J674" s="85" t="s">
        <v>257</v>
      </c>
      <c r="K674" s="85" t="s">
        <v>257</v>
      </c>
      <c r="L674" s="85" t="s">
        <v>258</v>
      </c>
      <c r="M674" s="85" t="s">
        <v>107</v>
      </c>
      <c r="N674" s="85" t="s">
        <v>107</v>
      </c>
      <c r="O674" s="85" t="s">
        <v>111</v>
      </c>
      <c r="P674" s="85" t="s">
        <v>297</v>
      </c>
      <c r="Q674" s="85" t="s">
        <v>1977</v>
      </c>
      <c r="R674" s="85">
        <v>4</v>
      </c>
      <c r="S674" s="85">
        <v>461</v>
      </c>
      <c r="T674" s="2">
        <v>44145</v>
      </c>
      <c r="U674" s="2">
        <v>44167</v>
      </c>
    </row>
    <row r="675" spans="1:21" x14ac:dyDescent="0.2">
      <c r="A675" s="3" t="str">
        <f>HYPERLINK("http://www.ofsted.gov.uk/inspection-reports/find-inspection-report/provider/ELS/109014 ","Ofsted School Webpage")</f>
        <v>Ofsted School Webpage</v>
      </c>
      <c r="B675" s="85">
        <v>109014</v>
      </c>
      <c r="C675" s="85">
        <v>8032172</v>
      </c>
      <c r="D675" s="85" t="s">
        <v>1978</v>
      </c>
      <c r="E675" s="85" t="s">
        <v>81</v>
      </c>
      <c r="F675" s="85" t="s">
        <v>254</v>
      </c>
      <c r="G675" s="85" t="s">
        <v>262</v>
      </c>
      <c r="H675" s="85" t="s">
        <v>255</v>
      </c>
      <c r="I675" s="85" t="s">
        <v>256</v>
      </c>
      <c r="J675" s="85" t="s">
        <v>257</v>
      </c>
      <c r="K675" s="85" t="s">
        <v>257</v>
      </c>
      <c r="L675" s="85" t="s">
        <v>258</v>
      </c>
      <c r="M675" s="85" t="s">
        <v>188</v>
      </c>
      <c r="N675" s="85" t="s">
        <v>188</v>
      </c>
      <c r="O675" s="85" t="s">
        <v>193</v>
      </c>
      <c r="P675" s="85" t="s">
        <v>1979</v>
      </c>
      <c r="Q675" s="85" t="s">
        <v>1980</v>
      </c>
      <c r="R675" s="85">
        <v>4</v>
      </c>
      <c r="S675" s="85">
        <v>227</v>
      </c>
      <c r="T675" s="2">
        <v>44145</v>
      </c>
      <c r="U675" s="2">
        <v>44164</v>
      </c>
    </row>
    <row r="676" spans="1:21" x14ac:dyDescent="0.2">
      <c r="A676" s="3" t="str">
        <f>HYPERLINK("http://www.ofsted.gov.uk/inspection-reports/find-inspection-report/provider/ELS/110814 ","Ofsted School Webpage")</f>
        <v>Ofsted School Webpage</v>
      </c>
      <c r="B676" s="85">
        <v>110814</v>
      </c>
      <c r="C676" s="85">
        <v>8733067</v>
      </c>
      <c r="D676" s="85" t="s">
        <v>1981</v>
      </c>
      <c r="E676" s="85" t="s">
        <v>81</v>
      </c>
      <c r="F676" s="85" t="s">
        <v>360</v>
      </c>
      <c r="G676" s="85" t="s">
        <v>262</v>
      </c>
      <c r="H676" s="85" t="s">
        <v>255</v>
      </c>
      <c r="I676" s="85" t="s">
        <v>256</v>
      </c>
      <c r="J676" s="85" t="s">
        <v>342</v>
      </c>
      <c r="K676" s="85" t="s">
        <v>257</v>
      </c>
      <c r="L676" s="85" t="s">
        <v>335</v>
      </c>
      <c r="M676" s="85" t="s">
        <v>95</v>
      </c>
      <c r="N676" s="85" t="s">
        <v>95</v>
      </c>
      <c r="O676" s="85" t="s">
        <v>97</v>
      </c>
      <c r="P676" s="85" t="s">
        <v>1919</v>
      </c>
      <c r="Q676" s="85" t="s">
        <v>1982</v>
      </c>
      <c r="R676" s="85">
        <v>1</v>
      </c>
      <c r="S676" s="85">
        <v>141</v>
      </c>
      <c r="T676" s="2">
        <v>44145</v>
      </c>
      <c r="U676" s="2">
        <v>44168</v>
      </c>
    </row>
    <row r="677" spans="1:21" x14ac:dyDescent="0.2">
      <c r="A677" s="3" t="str">
        <f>HYPERLINK("http://www.ofsted.gov.uk/inspection-reports/find-inspection-report/provider/ELS/119577 ","Ofsted School Webpage")</f>
        <v>Ofsted School Webpage</v>
      </c>
      <c r="B677" s="85">
        <v>119577</v>
      </c>
      <c r="C677" s="85">
        <v>8883599</v>
      </c>
      <c r="D677" s="85" t="s">
        <v>1983</v>
      </c>
      <c r="E677" s="85" t="s">
        <v>81</v>
      </c>
      <c r="F677" s="85" t="s">
        <v>333</v>
      </c>
      <c r="G677" s="85" t="s">
        <v>262</v>
      </c>
      <c r="H677" s="85" t="s">
        <v>255</v>
      </c>
      <c r="I677" s="85" t="s">
        <v>256</v>
      </c>
      <c r="J677" s="85" t="s">
        <v>342</v>
      </c>
      <c r="K677" s="85" t="s">
        <v>257</v>
      </c>
      <c r="L677" s="85" t="s">
        <v>335</v>
      </c>
      <c r="M677" s="85" t="s">
        <v>148</v>
      </c>
      <c r="N677" s="85" t="s">
        <v>148</v>
      </c>
      <c r="O677" s="85" t="s">
        <v>149</v>
      </c>
      <c r="P677" s="85" t="s">
        <v>352</v>
      </c>
      <c r="Q677" s="85" t="s">
        <v>1984</v>
      </c>
      <c r="R677" s="85">
        <v>3</v>
      </c>
      <c r="S677" s="85">
        <v>63</v>
      </c>
      <c r="T677" s="2">
        <v>44145</v>
      </c>
      <c r="U677" s="2">
        <v>44165</v>
      </c>
    </row>
    <row r="678" spans="1:21" x14ac:dyDescent="0.2">
      <c r="A678" s="3" t="str">
        <f>HYPERLINK("http://www.ofsted.gov.uk/inspection-reports/find-inspection-report/provider/ELS/135037 ","Ofsted School Webpage")</f>
        <v>Ofsted School Webpage</v>
      </c>
      <c r="B678" s="85">
        <v>135037</v>
      </c>
      <c r="C678" s="85">
        <v>8853109</v>
      </c>
      <c r="D678" s="85" t="s">
        <v>1985</v>
      </c>
      <c r="E678" s="85" t="s">
        <v>81</v>
      </c>
      <c r="F678" s="85" t="s">
        <v>360</v>
      </c>
      <c r="G678" s="2">
        <v>39326</v>
      </c>
      <c r="H678" s="85" t="s">
        <v>255</v>
      </c>
      <c r="I678" s="85" t="s">
        <v>256</v>
      </c>
      <c r="J678" s="85" t="s">
        <v>342</v>
      </c>
      <c r="K678" s="85" t="s">
        <v>257</v>
      </c>
      <c r="L678" s="85" t="s">
        <v>335</v>
      </c>
      <c r="M678" s="85" t="s">
        <v>203</v>
      </c>
      <c r="N678" s="85" t="s">
        <v>203</v>
      </c>
      <c r="O678" s="85" t="s">
        <v>215</v>
      </c>
      <c r="P678" s="85" t="s">
        <v>1418</v>
      </c>
      <c r="Q678" s="85" t="s">
        <v>1986</v>
      </c>
      <c r="R678" s="85">
        <v>2</v>
      </c>
      <c r="S678" s="85">
        <v>59</v>
      </c>
      <c r="T678" s="2">
        <v>44146</v>
      </c>
      <c r="U678" s="2">
        <v>44168</v>
      </c>
    </row>
    <row r="679" spans="1:21" x14ac:dyDescent="0.2">
      <c r="A679" s="3" t="str">
        <f>HYPERLINK("http://www.ofsted.gov.uk/inspection-reports/find-inspection-report/provider/ELS/142905 ","Ofsted School Webpage")</f>
        <v>Ofsted School Webpage</v>
      </c>
      <c r="B679" s="85">
        <v>142905</v>
      </c>
      <c r="C679" s="85">
        <v>2084005</v>
      </c>
      <c r="D679" s="85" t="s">
        <v>1987</v>
      </c>
      <c r="E679" s="85" t="s">
        <v>82</v>
      </c>
      <c r="F679" s="85" t="s">
        <v>1988</v>
      </c>
      <c r="G679" s="2">
        <v>42614</v>
      </c>
      <c r="H679" s="85" t="s">
        <v>450</v>
      </c>
      <c r="I679" s="85" t="s">
        <v>276</v>
      </c>
      <c r="J679" s="85" t="s">
        <v>257</v>
      </c>
      <c r="K679" s="85" t="s">
        <v>257</v>
      </c>
      <c r="L679" s="85" t="s">
        <v>258</v>
      </c>
      <c r="M679" s="85" t="s">
        <v>107</v>
      </c>
      <c r="N679" s="85" t="s">
        <v>107</v>
      </c>
      <c r="O679" s="85" t="s">
        <v>134</v>
      </c>
      <c r="P679" s="85" t="s">
        <v>1968</v>
      </c>
      <c r="Q679" s="85" t="s">
        <v>1989</v>
      </c>
      <c r="R679" s="85">
        <v>5</v>
      </c>
      <c r="S679" s="85">
        <v>218</v>
      </c>
      <c r="T679" s="2">
        <v>44146</v>
      </c>
      <c r="U679" s="2">
        <v>44165</v>
      </c>
    </row>
    <row r="680" spans="1:21" x14ac:dyDescent="0.2">
      <c r="A680" s="3" t="str">
        <f>HYPERLINK("http://www.ofsted.gov.uk/inspection-reports/find-inspection-report/provider/ELS/144646 ","Ofsted School Webpage")</f>
        <v>Ofsted School Webpage</v>
      </c>
      <c r="B680" s="85">
        <v>144646</v>
      </c>
      <c r="C680" s="85">
        <v>8884022</v>
      </c>
      <c r="D680" s="85" t="s">
        <v>1990</v>
      </c>
      <c r="E680" s="85" t="s">
        <v>82</v>
      </c>
      <c r="F680" s="85" t="s">
        <v>404</v>
      </c>
      <c r="G680" s="2">
        <v>43252</v>
      </c>
      <c r="H680" s="85" t="s">
        <v>275</v>
      </c>
      <c r="I680" s="85" t="s">
        <v>276</v>
      </c>
      <c r="J680" s="85" t="s">
        <v>257</v>
      </c>
      <c r="K680" s="85" t="s">
        <v>450</v>
      </c>
      <c r="L680" s="85" t="s">
        <v>258</v>
      </c>
      <c r="M680" s="85" t="s">
        <v>148</v>
      </c>
      <c r="N680" s="85" t="s">
        <v>148</v>
      </c>
      <c r="O680" s="85" t="s">
        <v>149</v>
      </c>
      <c r="P680" s="85" t="s">
        <v>953</v>
      </c>
      <c r="Q680" s="85" t="s">
        <v>1991</v>
      </c>
      <c r="R680" s="85">
        <v>5</v>
      </c>
      <c r="S680" s="85">
        <v>689</v>
      </c>
      <c r="T680" s="2">
        <v>44146</v>
      </c>
      <c r="U680" s="2">
        <v>44168</v>
      </c>
    </row>
    <row r="681" spans="1:21" x14ac:dyDescent="0.2">
      <c r="A681" s="3" t="str">
        <f>HYPERLINK("http://www.ofsted.gov.uk/inspection-reports/find-inspection-report/provider/ELS/143143 ","Ofsted School Webpage")</f>
        <v>Ofsted School Webpage</v>
      </c>
      <c r="B681" s="85">
        <v>143143</v>
      </c>
      <c r="C681" s="85">
        <v>9332024</v>
      </c>
      <c r="D681" s="85" t="s">
        <v>1992</v>
      </c>
      <c r="E681" s="85" t="s">
        <v>81</v>
      </c>
      <c r="F681" s="85" t="s">
        <v>404</v>
      </c>
      <c r="G681" s="2">
        <v>42614</v>
      </c>
      <c r="H681" s="85" t="s">
        <v>255</v>
      </c>
      <c r="I681" s="85" t="s">
        <v>256</v>
      </c>
      <c r="J681" s="85" t="s">
        <v>257</v>
      </c>
      <c r="K681" s="85" t="s">
        <v>450</v>
      </c>
      <c r="L681" s="85" t="s">
        <v>258</v>
      </c>
      <c r="M681" s="85" t="s">
        <v>188</v>
      </c>
      <c r="N681" s="85" t="s">
        <v>188</v>
      </c>
      <c r="O681" s="85" t="s">
        <v>195</v>
      </c>
      <c r="P681" s="85" t="s">
        <v>509</v>
      </c>
      <c r="Q681" s="85" t="s">
        <v>1993</v>
      </c>
      <c r="R681" s="85">
        <v>5</v>
      </c>
      <c r="S681" s="85">
        <v>166</v>
      </c>
      <c r="T681" s="2">
        <v>44147</v>
      </c>
      <c r="U681" s="2">
        <v>44165</v>
      </c>
    </row>
    <row r="682" spans="1:21" x14ac:dyDescent="0.2">
      <c r="A682" s="3" t="str">
        <f>HYPERLINK("http://www.ofsted.gov.uk/inspection-reports/find-inspection-report/provider/ELS/145630 ","Ofsted School Webpage")</f>
        <v>Ofsted School Webpage</v>
      </c>
      <c r="B682" s="85">
        <v>145630</v>
      </c>
      <c r="C682" s="85">
        <v>8022332</v>
      </c>
      <c r="D682" s="85" t="s">
        <v>1994</v>
      </c>
      <c r="E682" s="85" t="s">
        <v>81</v>
      </c>
      <c r="F682" s="85" t="s">
        <v>400</v>
      </c>
      <c r="G682" s="2">
        <v>43191</v>
      </c>
      <c r="H682" s="85" t="s">
        <v>255</v>
      </c>
      <c r="I682" s="85" t="s">
        <v>256</v>
      </c>
      <c r="J682" s="85" t="s">
        <v>257</v>
      </c>
      <c r="K682" s="85" t="s">
        <v>257</v>
      </c>
      <c r="L682" s="85" t="s">
        <v>258</v>
      </c>
      <c r="M682" s="85" t="s">
        <v>188</v>
      </c>
      <c r="N682" s="85" t="s">
        <v>188</v>
      </c>
      <c r="O682" s="85" t="s">
        <v>199</v>
      </c>
      <c r="P682" s="85" t="s">
        <v>809</v>
      </c>
      <c r="Q682" s="85" t="s">
        <v>1995</v>
      </c>
      <c r="R682" s="85">
        <v>2</v>
      </c>
      <c r="S682" s="85">
        <v>420</v>
      </c>
      <c r="T682" s="2">
        <v>44147</v>
      </c>
      <c r="U682" s="2">
        <v>44167</v>
      </c>
    </row>
    <row r="683" spans="1:21" x14ac:dyDescent="0.2">
      <c r="A683" s="3" t="str">
        <f>HYPERLINK("http://www.ofsted.gov.uk/inspection-reports/find-inspection-report/provider/ELS/145792 ","Ofsted School Webpage")</f>
        <v>Ofsted School Webpage</v>
      </c>
      <c r="B683" s="85">
        <v>145792</v>
      </c>
      <c r="C683" s="85">
        <v>8932070</v>
      </c>
      <c r="D683" s="85" t="s">
        <v>1996</v>
      </c>
      <c r="E683" s="85" t="s">
        <v>81</v>
      </c>
      <c r="F683" s="85" t="s">
        <v>400</v>
      </c>
      <c r="G683" s="2">
        <v>43252</v>
      </c>
      <c r="H683" s="85" t="s">
        <v>255</v>
      </c>
      <c r="I683" s="85" t="s">
        <v>256</v>
      </c>
      <c r="J683" s="85" t="s">
        <v>257</v>
      </c>
      <c r="K683" s="85" t="s">
        <v>257</v>
      </c>
      <c r="L683" s="85" t="s">
        <v>258</v>
      </c>
      <c r="M683" s="85" t="s">
        <v>203</v>
      </c>
      <c r="N683" s="85" t="s">
        <v>203</v>
      </c>
      <c r="O683" s="85" t="s">
        <v>214</v>
      </c>
      <c r="P683" s="85" t="s">
        <v>580</v>
      </c>
      <c r="Q683" s="85" t="s">
        <v>1997</v>
      </c>
      <c r="R683" s="85">
        <v>4</v>
      </c>
      <c r="S683" s="85">
        <v>442</v>
      </c>
      <c r="T683" s="2">
        <v>44147</v>
      </c>
      <c r="U683" s="2">
        <v>44164</v>
      </c>
    </row>
    <row r="684" spans="1:21" x14ac:dyDescent="0.2">
      <c r="A684" s="3" t="str">
        <f>HYPERLINK("http://www.ofsted.gov.uk/inspection-reports/find-inspection-report/provider/ELS/146098 ","Ofsted School Webpage")</f>
        <v>Ofsted School Webpage</v>
      </c>
      <c r="B684" s="85">
        <v>146098</v>
      </c>
      <c r="C684" s="85">
        <v>8652046</v>
      </c>
      <c r="D684" s="85" t="s">
        <v>1998</v>
      </c>
      <c r="E684" s="85" t="s">
        <v>81</v>
      </c>
      <c r="F684" s="85" t="s">
        <v>404</v>
      </c>
      <c r="G684" s="2">
        <v>43313</v>
      </c>
      <c r="H684" s="85" t="s">
        <v>255</v>
      </c>
      <c r="I684" s="85" t="s">
        <v>256</v>
      </c>
      <c r="J684" s="85" t="s">
        <v>342</v>
      </c>
      <c r="K684" s="85" t="s">
        <v>342</v>
      </c>
      <c r="L684" s="85" t="s">
        <v>335</v>
      </c>
      <c r="M684" s="85" t="s">
        <v>188</v>
      </c>
      <c r="N684" s="85" t="s">
        <v>188</v>
      </c>
      <c r="O684" s="85" t="s">
        <v>202</v>
      </c>
      <c r="P684" s="85" t="s">
        <v>1711</v>
      </c>
      <c r="Q684" s="85" t="s">
        <v>1999</v>
      </c>
      <c r="R684" s="85">
        <v>2</v>
      </c>
      <c r="S684" s="85">
        <v>160</v>
      </c>
      <c r="T684" s="2">
        <v>44147</v>
      </c>
      <c r="U684" s="2">
        <v>44165</v>
      </c>
    </row>
    <row r="685" spans="1:21" x14ac:dyDescent="0.2">
      <c r="A685" s="3" t="str">
        <f>HYPERLINK("http://www.ofsted.gov.uk/inspection-reports/find-inspection-report/provider/ELS/138799 ","Ofsted School Webpage")</f>
        <v>Ofsted School Webpage</v>
      </c>
      <c r="B685" s="85">
        <v>138799</v>
      </c>
      <c r="C685" s="85">
        <v>3302038</v>
      </c>
      <c r="D685" s="85" t="s">
        <v>2000</v>
      </c>
      <c r="E685" s="85" t="s">
        <v>81</v>
      </c>
      <c r="F685" s="85" t="s">
        <v>404</v>
      </c>
      <c r="G685" s="2">
        <v>41183</v>
      </c>
      <c r="H685" s="85" t="s">
        <v>255</v>
      </c>
      <c r="I685" s="85" t="s">
        <v>255</v>
      </c>
      <c r="J685" s="85" t="s">
        <v>405</v>
      </c>
      <c r="K685" s="85" t="s">
        <v>405</v>
      </c>
      <c r="L685" s="85" t="s">
        <v>258</v>
      </c>
      <c r="M685" s="85" t="s">
        <v>203</v>
      </c>
      <c r="N685" s="85" t="s">
        <v>203</v>
      </c>
      <c r="O685" s="85" t="s">
        <v>209</v>
      </c>
      <c r="P685" s="85" t="s">
        <v>1036</v>
      </c>
      <c r="Q685" s="85" t="s">
        <v>1037</v>
      </c>
      <c r="R685" s="85">
        <v>5</v>
      </c>
      <c r="S685" s="85">
        <v>860</v>
      </c>
      <c r="T685" s="2">
        <v>44147</v>
      </c>
      <c r="U685" s="2">
        <v>44168</v>
      </c>
    </row>
    <row r="686" spans="1:21" x14ac:dyDescent="0.2">
      <c r="A686" s="3" t="str">
        <f>HYPERLINK("http://www.ofsted.gov.uk/inspection-reports/find-inspection-report/provider/ELS/145021 ","Ofsted School Webpage")</f>
        <v>Ofsted School Webpage</v>
      </c>
      <c r="B686" s="85">
        <v>145021</v>
      </c>
      <c r="C686" s="85">
        <v>8022007</v>
      </c>
      <c r="D686" s="85" t="s">
        <v>2001</v>
      </c>
      <c r="E686" s="85" t="s">
        <v>81</v>
      </c>
      <c r="F686" s="85" t="s">
        <v>404</v>
      </c>
      <c r="G686" s="2">
        <v>42522</v>
      </c>
      <c r="H686" s="85" t="s">
        <v>450</v>
      </c>
      <c r="I686" s="85" t="s">
        <v>255</v>
      </c>
      <c r="J686" s="85" t="s">
        <v>342</v>
      </c>
      <c r="K686" s="85" t="s">
        <v>405</v>
      </c>
      <c r="L686" s="85" t="s">
        <v>335</v>
      </c>
      <c r="M686" s="85" t="s">
        <v>188</v>
      </c>
      <c r="N686" s="85" t="s">
        <v>188</v>
      </c>
      <c r="O686" s="85" t="s">
        <v>199</v>
      </c>
      <c r="P686" s="85" t="s">
        <v>199</v>
      </c>
      <c r="Q686" s="85" t="s">
        <v>2002</v>
      </c>
      <c r="R686" s="85">
        <v>5</v>
      </c>
      <c r="S686" s="85">
        <v>78</v>
      </c>
      <c r="T686" s="2">
        <v>44147</v>
      </c>
      <c r="U686" s="2">
        <v>44165</v>
      </c>
    </row>
    <row r="687" spans="1:21" x14ac:dyDescent="0.2">
      <c r="A687" s="3" t="str">
        <f>HYPERLINK("http://www.ofsted.gov.uk/inspection-reports/find-inspection-report/provider/ELS/136597 ","Ofsted School Webpage")</f>
        <v>Ofsted School Webpage</v>
      </c>
      <c r="B687" s="85">
        <v>136597</v>
      </c>
      <c r="C687" s="85">
        <v>9082313</v>
      </c>
      <c r="D687" s="85" t="s">
        <v>2003</v>
      </c>
      <c r="E687" s="85" t="s">
        <v>81</v>
      </c>
      <c r="F687" s="85" t="s">
        <v>400</v>
      </c>
      <c r="G687" s="2">
        <v>40634</v>
      </c>
      <c r="H687" s="85" t="s">
        <v>255</v>
      </c>
      <c r="I687" s="85" t="s">
        <v>255</v>
      </c>
      <c r="J687" s="85" t="s">
        <v>257</v>
      </c>
      <c r="K687" s="85" t="s">
        <v>257</v>
      </c>
      <c r="L687" s="85" t="s">
        <v>258</v>
      </c>
      <c r="M687" s="85" t="s">
        <v>188</v>
      </c>
      <c r="N687" s="85" t="s">
        <v>188</v>
      </c>
      <c r="O687" s="85" t="s">
        <v>196</v>
      </c>
      <c r="P687" s="85" t="s">
        <v>873</v>
      </c>
      <c r="Q687" s="85" t="s">
        <v>2004</v>
      </c>
      <c r="R687" s="85">
        <v>2</v>
      </c>
      <c r="S687" s="85">
        <v>283</v>
      </c>
      <c r="T687" s="2">
        <v>44147</v>
      </c>
      <c r="U687" s="2">
        <v>44167</v>
      </c>
    </row>
    <row r="688" spans="1:21" x14ac:dyDescent="0.2">
      <c r="A688" s="3" t="str">
        <f>HYPERLINK("http://www.ofsted.gov.uk/inspection-reports/find-inspection-report/provider/ELS/103957 ","Ofsted School Webpage")</f>
        <v>Ofsted School Webpage</v>
      </c>
      <c r="B688" s="85">
        <v>103957</v>
      </c>
      <c r="C688" s="85">
        <v>3332148</v>
      </c>
      <c r="D688" s="85" t="s">
        <v>2005</v>
      </c>
      <c r="E688" s="85" t="s">
        <v>81</v>
      </c>
      <c r="F688" s="85" t="s">
        <v>382</v>
      </c>
      <c r="G688" s="85" t="s">
        <v>262</v>
      </c>
      <c r="H688" s="85" t="s">
        <v>255</v>
      </c>
      <c r="I688" s="85" t="s">
        <v>256</v>
      </c>
      <c r="J688" s="85" t="s">
        <v>257</v>
      </c>
      <c r="K688" s="85" t="s">
        <v>257</v>
      </c>
      <c r="L688" s="85" t="s">
        <v>258</v>
      </c>
      <c r="M688" s="85" t="s">
        <v>203</v>
      </c>
      <c r="N688" s="85" t="s">
        <v>203</v>
      </c>
      <c r="O688" s="85" t="s">
        <v>205</v>
      </c>
      <c r="P688" s="85" t="s">
        <v>2006</v>
      </c>
      <c r="Q688" s="85" t="s">
        <v>2007</v>
      </c>
      <c r="R688" s="85">
        <v>5</v>
      </c>
      <c r="S688" s="85">
        <v>405</v>
      </c>
      <c r="T688" s="2">
        <v>44147</v>
      </c>
      <c r="U688" s="2">
        <v>44166</v>
      </c>
    </row>
    <row r="689" spans="1:21" x14ac:dyDescent="0.2">
      <c r="A689" s="3" t="str">
        <f>HYPERLINK("http://www.ofsted.gov.uk/inspection-reports/find-inspection-report/provider/ELS/108002 ","Ofsted School Webpage")</f>
        <v>Ofsted School Webpage</v>
      </c>
      <c r="B689" s="85">
        <v>108002</v>
      </c>
      <c r="C689" s="85">
        <v>3833053</v>
      </c>
      <c r="D689" s="85" t="s">
        <v>2008</v>
      </c>
      <c r="E689" s="85" t="s">
        <v>81</v>
      </c>
      <c r="F689" s="85" t="s">
        <v>360</v>
      </c>
      <c r="G689" s="85" t="s">
        <v>262</v>
      </c>
      <c r="H689" s="85" t="s">
        <v>255</v>
      </c>
      <c r="I689" s="85" t="s">
        <v>256</v>
      </c>
      <c r="J689" s="85" t="s">
        <v>342</v>
      </c>
      <c r="K689" s="85" t="s">
        <v>257</v>
      </c>
      <c r="L689" s="85" t="s">
        <v>335</v>
      </c>
      <c r="M689" s="85" t="s">
        <v>236</v>
      </c>
      <c r="N689" s="85" t="s">
        <v>218</v>
      </c>
      <c r="O689" s="85" t="s">
        <v>221</v>
      </c>
      <c r="P689" s="85" t="s">
        <v>1957</v>
      </c>
      <c r="Q689" s="85" t="s">
        <v>2009</v>
      </c>
      <c r="R689" s="85">
        <v>5</v>
      </c>
      <c r="S689" s="85">
        <v>442</v>
      </c>
      <c r="T689" s="2">
        <v>44147</v>
      </c>
      <c r="U689" s="2">
        <v>44168</v>
      </c>
    </row>
    <row r="690" spans="1:21" x14ac:dyDescent="0.2">
      <c r="A690" s="3" t="str">
        <f>HYPERLINK("http://www.ofsted.gov.uk/inspection-reports/find-inspection-report/provider/ELS/141287 ","Ofsted School Webpage")</f>
        <v>Ofsted School Webpage</v>
      </c>
      <c r="B690" s="85">
        <v>141287</v>
      </c>
      <c r="C690" s="85">
        <v>8782419</v>
      </c>
      <c r="D690" s="85" t="s">
        <v>2010</v>
      </c>
      <c r="E690" s="85" t="s">
        <v>81</v>
      </c>
      <c r="F690" s="85" t="s">
        <v>400</v>
      </c>
      <c r="G690" s="2">
        <v>41883</v>
      </c>
      <c r="H690" s="85" t="s">
        <v>255</v>
      </c>
      <c r="I690" s="85" t="s">
        <v>256</v>
      </c>
      <c r="J690" s="85" t="s">
        <v>257</v>
      </c>
      <c r="K690" s="85" t="s">
        <v>257</v>
      </c>
      <c r="L690" s="85" t="s">
        <v>258</v>
      </c>
      <c r="M690" s="85" t="s">
        <v>188</v>
      </c>
      <c r="N690" s="85" t="s">
        <v>188</v>
      </c>
      <c r="O690" s="85" t="s">
        <v>197</v>
      </c>
      <c r="P690" s="85" t="s">
        <v>418</v>
      </c>
      <c r="Q690" s="85" t="s">
        <v>2011</v>
      </c>
      <c r="R690" s="85">
        <v>2</v>
      </c>
      <c r="S690" s="85">
        <v>99</v>
      </c>
      <c r="T690" s="2">
        <v>44147</v>
      </c>
      <c r="U690" s="2">
        <v>44165</v>
      </c>
    </row>
    <row r="691" spans="1:21" x14ac:dyDescent="0.2">
      <c r="A691" s="3" t="str">
        <f>HYPERLINK("http://www.ofsted.gov.uk/inspection-reports/find-inspection-report/provider/ELS/122743 ","Ofsted School Webpage")</f>
        <v>Ofsted School Webpage</v>
      </c>
      <c r="B691" s="85">
        <v>122743</v>
      </c>
      <c r="C691" s="85">
        <v>8913018</v>
      </c>
      <c r="D691" s="85" t="s">
        <v>2012</v>
      </c>
      <c r="E691" s="85" t="s">
        <v>81</v>
      </c>
      <c r="F691" s="85" t="s">
        <v>360</v>
      </c>
      <c r="G691" s="85" t="s">
        <v>262</v>
      </c>
      <c r="H691" s="85" t="s">
        <v>255</v>
      </c>
      <c r="I691" s="85" t="s">
        <v>256</v>
      </c>
      <c r="J691" s="85" t="s">
        <v>342</v>
      </c>
      <c r="K691" s="85" t="s">
        <v>257</v>
      </c>
      <c r="L691" s="85" t="s">
        <v>335</v>
      </c>
      <c r="M691" s="85" t="s">
        <v>85</v>
      </c>
      <c r="N691" s="85" t="s">
        <v>85</v>
      </c>
      <c r="O691" s="85" t="s">
        <v>90</v>
      </c>
      <c r="P691" s="85" t="s">
        <v>1947</v>
      </c>
      <c r="Q691" s="85" t="s">
        <v>2013</v>
      </c>
      <c r="R691" s="85">
        <v>2</v>
      </c>
      <c r="S691" s="85">
        <v>210</v>
      </c>
      <c r="T691" s="2">
        <v>44147</v>
      </c>
      <c r="U691" s="2">
        <v>44168</v>
      </c>
    </row>
    <row r="692" spans="1:21" x14ac:dyDescent="0.2">
      <c r="A692" s="3" t="str">
        <f>HYPERLINK("http://www.ofsted.gov.uk/inspection-reports/find-inspection-report/provider/ELS/105203 ","Ofsted School Webpage")</f>
        <v>Ofsted School Webpage</v>
      </c>
      <c r="B692" s="85">
        <v>105203</v>
      </c>
      <c r="C692" s="85">
        <v>3503000</v>
      </c>
      <c r="D692" s="85" t="s">
        <v>2014</v>
      </c>
      <c r="E692" s="85" t="s">
        <v>81</v>
      </c>
      <c r="F692" s="85" t="s">
        <v>360</v>
      </c>
      <c r="G692" s="85" t="s">
        <v>262</v>
      </c>
      <c r="H692" s="85" t="s">
        <v>255</v>
      </c>
      <c r="I692" s="85" t="s">
        <v>256</v>
      </c>
      <c r="J692" s="85" t="s">
        <v>342</v>
      </c>
      <c r="K692" s="85" t="s">
        <v>257</v>
      </c>
      <c r="L692" s="85" t="s">
        <v>335</v>
      </c>
      <c r="M692" s="85" t="s">
        <v>148</v>
      </c>
      <c r="N692" s="85" t="s">
        <v>148</v>
      </c>
      <c r="O692" s="85" t="s">
        <v>167</v>
      </c>
      <c r="P692" s="85" t="s">
        <v>2015</v>
      </c>
      <c r="Q692" s="85" t="s">
        <v>2016</v>
      </c>
      <c r="R692" s="85">
        <v>5</v>
      </c>
      <c r="S692" s="85">
        <v>466</v>
      </c>
      <c r="T692" s="2">
        <v>44147</v>
      </c>
      <c r="U692" s="2">
        <v>44166</v>
      </c>
    </row>
    <row r="693" spans="1:21" x14ac:dyDescent="0.2">
      <c r="A693" s="3" t="str">
        <f>HYPERLINK("http://www.ofsted.gov.uk/inspection-reports/find-inspection-report/provider/ELS/121901 ","Ofsted School Webpage")</f>
        <v>Ofsted School Webpage</v>
      </c>
      <c r="B693" s="85">
        <v>121901</v>
      </c>
      <c r="C693" s="85">
        <v>9282144</v>
      </c>
      <c r="D693" s="85" t="s">
        <v>2017</v>
      </c>
      <c r="E693" s="85" t="s">
        <v>81</v>
      </c>
      <c r="F693" s="85" t="s">
        <v>254</v>
      </c>
      <c r="G693" s="85" t="s">
        <v>262</v>
      </c>
      <c r="H693" s="85" t="s">
        <v>255</v>
      </c>
      <c r="I693" s="85" t="s">
        <v>256</v>
      </c>
      <c r="J693" s="85" t="s">
        <v>257</v>
      </c>
      <c r="K693" s="85" t="s">
        <v>257</v>
      </c>
      <c r="L693" s="85" t="s">
        <v>258</v>
      </c>
      <c r="M693" s="85" t="s">
        <v>85</v>
      </c>
      <c r="N693" s="85" t="s">
        <v>85</v>
      </c>
      <c r="O693" s="85" t="s">
        <v>92</v>
      </c>
      <c r="P693" s="85" t="s">
        <v>1963</v>
      </c>
      <c r="Q693" s="85" t="s">
        <v>2018</v>
      </c>
      <c r="R693" s="85">
        <v>3</v>
      </c>
      <c r="S693" s="85">
        <v>372</v>
      </c>
      <c r="T693" s="2">
        <v>44147</v>
      </c>
      <c r="U693" s="2">
        <v>44166</v>
      </c>
    </row>
    <row r="694" spans="1:21" x14ac:dyDescent="0.2">
      <c r="A694" s="3" t="str">
        <f>HYPERLINK("http://www.ofsted.gov.uk/inspection-reports/find-inspection-report/provider/ELS/116078 ","Ofsted School Webpage")</f>
        <v>Ofsted School Webpage</v>
      </c>
      <c r="B694" s="85">
        <v>116078</v>
      </c>
      <c r="C694" s="85">
        <v>8502387</v>
      </c>
      <c r="D694" s="85" t="s">
        <v>911</v>
      </c>
      <c r="E694" s="85" t="s">
        <v>81</v>
      </c>
      <c r="F694" s="85" t="s">
        <v>254</v>
      </c>
      <c r="G694" s="85" t="s">
        <v>262</v>
      </c>
      <c r="H694" s="85" t="s">
        <v>255</v>
      </c>
      <c r="I694" s="85" t="s">
        <v>256</v>
      </c>
      <c r="J694" s="85" t="s">
        <v>257</v>
      </c>
      <c r="K694" s="85" t="s">
        <v>257</v>
      </c>
      <c r="L694" s="85" t="s">
        <v>258</v>
      </c>
      <c r="M694" s="85" t="s">
        <v>169</v>
      </c>
      <c r="N694" s="85" t="s">
        <v>169</v>
      </c>
      <c r="O694" s="85" t="s">
        <v>170</v>
      </c>
      <c r="P694" s="85" t="s">
        <v>2019</v>
      </c>
      <c r="Q694" s="85" t="s">
        <v>2020</v>
      </c>
      <c r="R694" s="85">
        <v>3</v>
      </c>
      <c r="S694" s="85">
        <v>401</v>
      </c>
      <c r="T694" s="2">
        <v>44147</v>
      </c>
      <c r="U694" s="2">
        <v>44167</v>
      </c>
    </row>
    <row r="695" spans="1:21" x14ac:dyDescent="0.2">
      <c r="A695" s="3" t="str">
        <f>HYPERLINK("http://www.ofsted.gov.uk/inspection-reports/find-inspection-report/provider/ELS/111964 ","Ofsted School Webpage")</f>
        <v>Ofsted School Webpage</v>
      </c>
      <c r="B695" s="85">
        <v>111964</v>
      </c>
      <c r="C695" s="85">
        <v>9082719</v>
      </c>
      <c r="D695" s="85" t="s">
        <v>2021</v>
      </c>
      <c r="E695" s="85" t="s">
        <v>81</v>
      </c>
      <c r="F695" s="85" t="s">
        <v>254</v>
      </c>
      <c r="G695" s="85" t="s">
        <v>262</v>
      </c>
      <c r="H695" s="85" t="s">
        <v>255</v>
      </c>
      <c r="I695" s="85" t="s">
        <v>256</v>
      </c>
      <c r="J695" s="85" t="s">
        <v>257</v>
      </c>
      <c r="K695" s="85" t="s">
        <v>257</v>
      </c>
      <c r="L695" s="85" t="s">
        <v>258</v>
      </c>
      <c r="M695" s="85" t="s">
        <v>188</v>
      </c>
      <c r="N695" s="85" t="s">
        <v>188</v>
      </c>
      <c r="O695" s="85" t="s">
        <v>196</v>
      </c>
      <c r="P695" s="85" t="s">
        <v>555</v>
      </c>
      <c r="Q695" s="85" t="s">
        <v>2022</v>
      </c>
      <c r="R695" s="85">
        <v>3</v>
      </c>
      <c r="S695" s="85">
        <v>97</v>
      </c>
      <c r="T695" s="2">
        <v>44147</v>
      </c>
      <c r="U695" s="2">
        <v>44165</v>
      </c>
    </row>
    <row r="696" spans="1:21" x14ac:dyDescent="0.2">
      <c r="A696" s="3" t="str">
        <f>HYPERLINK("http://www.ofsted.gov.uk/inspection-reports/find-inspection-report/provider/ELS/112736 ","Ofsted School Webpage")</f>
        <v>Ofsted School Webpage</v>
      </c>
      <c r="B696" s="85">
        <v>112736</v>
      </c>
      <c r="C696" s="85">
        <v>8312432</v>
      </c>
      <c r="D696" s="85" t="s">
        <v>2023</v>
      </c>
      <c r="E696" s="85" t="s">
        <v>81</v>
      </c>
      <c r="F696" s="85" t="s">
        <v>254</v>
      </c>
      <c r="G696" s="85" t="s">
        <v>262</v>
      </c>
      <c r="H696" s="85" t="s">
        <v>255</v>
      </c>
      <c r="I696" s="85" t="s">
        <v>256</v>
      </c>
      <c r="J696" s="85" t="s">
        <v>257</v>
      </c>
      <c r="K696" s="85" t="s">
        <v>257</v>
      </c>
      <c r="L696" s="85" t="s">
        <v>258</v>
      </c>
      <c r="M696" s="85" t="s">
        <v>85</v>
      </c>
      <c r="N696" s="85" t="s">
        <v>85</v>
      </c>
      <c r="O696" s="85" t="s">
        <v>91</v>
      </c>
      <c r="P696" s="85" t="s">
        <v>2024</v>
      </c>
      <c r="Q696" s="85" t="s">
        <v>2025</v>
      </c>
      <c r="R696" s="85">
        <v>4</v>
      </c>
      <c r="S696" s="85">
        <v>489</v>
      </c>
      <c r="T696" s="2">
        <v>44147</v>
      </c>
      <c r="U696" s="2">
        <v>44167</v>
      </c>
    </row>
    <row r="697" spans="1:21" x14ac:dyDescent="0.2">
      <c r="A697" s="3" t="str">
        <f>HYPERLINK("http://www.ofsted.gov.uk/inspection-reports/find-inspection-report/provider/ELS/124008 ","Ofsted School Webpage")</f>
        <v>Ofsted School Webpage</v>
      </c>
      <c r="B697" s="85">
        <v>124008</v>
      </c>
      <c r="C697" s="85">
        <v>8612075</v>
      </c>
      <c r="D697" s="85" t="s">
        <v>2026</v>
      </c>
      <c r="E697" s="85" t="s">
        <v>81</v>
      </c>
      <c r="F697" s="85" t="s">
        <v>254</v>
      </c>
      <c r="G697" s="85" t="s">
        <v>262</v>
      </c>
      <c r="H697" s="85" t="s">
        <v>255</v>
      </c>
      <c r="I697" s="85" t="s">
        <v>256</v>
      </c>
      <c r="J697" s="85" t="s">
        <v>257</v>
      </c>
      <c r="K697" s="85" t="s">
        <v>257</v>
      </c>
      <c r="L697" s="85" t="s">
        <v>258</v>
      </c>
      <c r="M697" s="85" t="s">
        <v>203</v>
      </c>
      <c r="N697" s="85" t="s">
        <v>203</v>
      </c>
      <c r="O697" s="85" t="s">
        <v>211</v>
      </c>
      <c r="P697" s="85" t="s">
        <v>424</v>
      </c>
      <c r="Q697" s="85" t="s">
        <v>2027</v>
      </c>
      <c r="R697" s="85">
        <v>5</v>
      </c>
      <c r="S697" s="85">
        <v>437</v>
      </c>
      <c r="T697" s="2">
        <v>44147</v>
      </c>
      <c r="U697" s="2">
        <v>44168</v>
      </c>
    </row>
    <row r="698" spans="1:21" x14ac:dyDescent="0.2">
      <c r="A698" s="3" t="str">
        <f>HYPERLINK("http://www.ofsted.gov.uk/inspection-reports/find-inspection-report/provider/ELS/113250 ","Ofsted School Webpage")</f>
        <v>Ofsted School Webpage</v>
      </c>
      <c r="B698" s="85">
        <v>113250</v>
      </c>
      <c r="C698" s="85">
        <v>8782604</v>
      </c>
      <c r="D698" s="85" t="s">
        <v>2028</v>
      </c>
      <c r="E698" s="85" t="s">
        <v>81</v>
      </c>
      <c r="F698" s="85" t="s">
        <v>254</v>
      </c>
      <c r="G698" s="85" t="s">
        <v>262</v>
      </c>
      <c r="H698" s="85" t="s">
        <v>255</v>
      </c>
      <c r="I698" s="85" t="s">
        <v>256</v>
      </c>
      <c r="J698" s="85" t="s">
        <v>257</v>
      </c>
      <c r="K698" s="85" t="s">
        <v>257</v>
      </c>
      <c r="L698" s="85" t="s">
        <v>258</v>
      </c>
      <c r="M698" s="85" t="s">
        <v>188</v>
      </c>
      <c r="N698" s="85" t="s">
        <v>188</v>
      </c>
      <c r="O698" s="85" t="s">
        <v>197</v>
      </c>
      <c r="P698" s="85" t="s">
        <v>1276</v>
      </c>
      <c r="Q698" s="85" t="s">
        <v>2029</v>
      </c>
      <c r="R698" s="85">
        <v>3</v>
      </c>
      <c r="S698" s="85">
        <v>75</v>
      </c>
      <c r="T698" s="2">
        <v>44147</v>
      </c>
      <c r="U698" s="2">
        <v>44166</v>
      </c>
    </row>
    <row r="699" spans="1:21" x14ac:dyDescent="0.2">
      <c r="A699" s="3" t="str">
        <f>HYPERLINK("http://www.ofsted.gov.uk/inspection-reports/find-inspection-report/provider/ELS/109920 ","Ofsted School Webpage")</f>
        <v>Ofsted School Webpage</v>
      </c>
      <c r="B699" s="85">
        <v>109920</v>
      </c>
      <c r="C699" s="85">
        <v>8702226</v>
      </c>
      <c r="D699" s="85" t="s">
        <v>2030</v>
      </c>
      <c r="E699" s="85" t="s">
        <v>81</v>
      </c>
      <c r="F699" s="85" t="s">
        <v>254</v>
      </c>
      <c r="G699" s="85" t="s">
        <v>262</v>
      </c>
      <c r="H699" s="85" t="s">
        <v>255</v>
      </c>
      <c r="I699" s="85" t="s">
        <v>256</v>
      </c>
      <c r="J699" s="85" t="s">
        <v>257</v>
      </c>
      <c r="K699" s="85" t="s">
        <v>257</v>
      </c>
      <c r="L699" s="85" t="s">
        <v>258</v>
      </c>
      <c r="M699" s="85" t="s">
        <v>169</v>
      </c>
      <c r="N699" s="85" t="s">
        <v>169</v>
      </c>
      <c r="O699" s="85" t="s">
        <v>183</v>
      </c>
      <c r="P699" s="85" t="s">
        <v>2031</v>
      </c>
      <c r="Q699" s="85" t="s">
        <v>2032</v>
      </c>
      <c r="R699" s="85">
        <v>3</v>
      </c>
      <c r="S699" s="85">
        <v>664</v>
      </c>
      <c r="T699" s="2">
        <v>44147</v>
      </c>
      <c r="U699" s="2">
        <v>44165</v>
      </c>
    </row>
    <row r="700" spans="1:21" x14ac:dyDescent="0.2">
      <c r="A700" s="3" t="str">
        <f>HYPERLINK("http://www.ofsted.gov.uk/inspection-reports/find-inspection-report/provider/ELS/104863 ","Ofsted School Webpage")</f>
        <v>Ofsted School Webpage</v>
      </c>
      <c r="B700" s="85">
        <v>104863</v>
      </c>
      <c r="C700" s="85">
        <v>3432035</v>
      </c>
      <c r="D700" s="85" t="s">
        <v>2033</v>
      </c>
      <c r="E700" s="85" t="s">
        <v>81</v>
      </c>
      <c r="F700" s="85" t="s">
        <v>254</v>
      </c>
      <c r="G700" s="85" t="s">
        <v>262</v>
      </c>
      <c r="H700" s="85" t="s">
        <v>255</v>
      </c>
      <c r="I700" s="85" t="s">
        <v>256</v>
      </c>
      <c r="J700" s="85" t="s">
        <v>257</v>
      </c>
      <c r="K700" s="85" t="s">
        <v>257</v>
      </c>
      <c r="L700" s="85" t="s">
        <v>258</v>
      </c>
      <c r="M700" s="85" t="s">
        <v>148</v>
      </c>
      <c r="N700" s="85" t="s">
        <v>148</v>
      </c>
      <c r="O700" s="85" t="s">
        <v>163</v>
      </c>
      <c r="P700" s="85" t="s">
        <v>2034</v>
      </c>
      <c r="Q700" s="85" t="s">
        <v>2035</v>
      </c>
      <c r="R700" s="85">
        <v>3</v>
      </c>
      <c r="S700" s="85">
        <v>464</v>
      </c>
      <c r="T700" s="2">
        <v>44147</v>
      </c>
      <c r="U700" s="2">
        <v>44168</v>
      </c>
    </row>
    <row r="701" spans="1:21" x14ac:dyDescent="0.2">
      <c r="A701" s="3"/>
      <c r="B701" s="85"/>
      <c r="C701" s="85"/>
      <c r="D701" s="85"/>
      <c r="E701" s="85"/>
      <c r="F701" s="85"/>
      <c r="G701" s="85"/>
      <c r="H701" s="85"/>
      <c r="I701" s="85"/>
      <c r="J701" s="85"/>
      <c r="K701" s="85"/>
      <c r="L701" s="85"/>
      <c r="M701" s="85"/>
      <c r="N701" s="85"/>
      <c r="O701" s="85"/>
      <c r="P701" s="85"/>
      <c r="Q701" s="85"/>
      <c r="R701" s="85"/>
      <c r="S701" s="85"/>
      <c r="T701" s="85"/>
      <c r="U701" s="85"/>
    </row>
    <row r="702" spans="1:21" x14ac:dyDescent="0.2">
      <c r="A702" s="3"/>
      <c r="B702" s="85"/>
      <c r="C702" s="85"/>
      <c r="D702" s="85"/>
      <c r="E702" s="85"/>
      <c r="F702" s="85"/>
      <c r="G702" s="85"/>
      <c r="H702" s="85"/>
      <c r="I702" s="85"/>
      <c r="J702" s="85"/>
      <c r="K702" s="85"/>
      <c r="L702" s="85"/>
      <c r="M702" s="85"/>
      <c r="N702" s="85"/>
      <c r="O702" s="85"/>
      <c r="P702" s="85"/>
      <c r="Q702" s="85"/>
      <c r="R702" s="85"/>
      <c r="S702" s="85"/>
      <c r="T702" s="85"/>
      <c r="U702" s="85"/>
    </row>
    <row r="703" spans="1:21" x14ac:dyDescent="0.2">
      <c r="A703" s="3"/>
      <c r="B703" s="85"/>
      <c r="C703" s="85"/>
      <c r="D703" s="85"/>
      <c r="E703" s="85"/>
      <c r="F703" s="85"/>
      <c r="G703" s="85"/>
      <c r="H703" s="85"/>
      <c r="I703" s="85"/>
      <c r="J703" s="85"/>
      <c r="K703" s="85"/>
      <c r="L703" s="85"/>
      <c r="M703" s="85"/>
      <c r="N703" s="85"/>
      <c r="O703" s="85"/>
      <c r="P703" s="85"/>
      <c r="Q703" s="85"/>
      <c r="R703" s="85"/>
      <c r="S703" s="85"/>
      <c r="T703" s="85"/>
      <c r="U703" s="85"/>
    </row>
    <row r="704" spans="1:21" x14ac:dyDescent="0.2">
      <c r="A704" s="3"/>
      <c r="B704" s="85"/>
      <c r="C704" s="85"/>
      <c r="D704" s="85"/>
      <c r="E704" s="85"/>
      <c r="F704" s="85"/>
      <c r="G704" s="85"/>
      <c r="H704" s="85"/>
      <c r="I704" s="85"/>
      <c r="J704" s="85"/>
      <c r="K704" s="85"/>
      <c r="L704" s="85"/>
      <c r="M704" s="85"/>
      <c r="N704" s="85"/>
      <c r="O704" s="85"/>
      <c r="P704" s="85"/>
      <c r="Q704" s="85"/>
      <c r="R704" s="85"/>
      <c r="S704" s="85"/>
      <c r="T704" s="85"/>
      <c r="U704" s="85"/>
    </row>
    <row r="705" spans="1:1" x14ac:dyDescent="0.2">
      <c r="A705" s="3"/>
    </row>
    <row r="706" spans="1:1" x14ac:dyDescent="0.2">
      <c r="A706" s="3"/>
    </row>
    <row r="707" spans="1:1" x14ac:dyDescent="0.2">
      <c r="A707" s="3"/>
    </row>
    <row r="708" spans="1:1" x14ac:dyDescent="0.2">
      <c r="A708" s="3"/>
    </row>
    <row r="709" spans="1:1" x14ac:dyDescent="0.2">
      <c r="A709" s="3"/>
    </row>
    <row r="710" spans="1:1" x14ac:dyDescent="0.2">
      <c r="A710" s="3"/>
    </row>
    <row r="711" spans="1:1" x14ac:dyDescent="0.2">
      <c r="A711" s="3"/>
    </row>
    <row r="712" spans="1:1" x14ac:dyDescent="0.2">
      <c r="A712" s="3"/>
    </row>
    <row r="713" spans="1:1" x14ac:dyDescent="0.2">
      <c r="A713" s="3"/>
    </row>
    <row r="714" spans="1:1" x14ac:dyDescent="0.2">
      <c r="A714" s="3"/>
    </row>
    <row r="715" spans="1:1" x14ac:dyDescent="0.2">
      <c r="A715" s="3"/>
    </row>
    <row r="716" spans="1:1" x14ac:dyDescent="0.2">
      <c r="A716" s="3"/>
    </row>
    <row r="717" spans="1:1" x14ac:dyDescent="0.2">
      <c r="A717" s="3"/>
    </row>
    <row r="718" spans="1:1" x14ac:dyDescent="0.2">
      <c r="A718" s="3"/>
    </row>
    <row r="719" spans="1:1" x14ac:dyDescent="0.2">
      <c r="A719" s="3"/>
    </row>
    <row r="720" spans="1:1" x14ac:dyDescent="0.2">
      <c r="A720" s="3"/>
    </row>
    <row r="721" spans="1:1" x14ac:dyDescent="0.2">
      <c r="A721" s="3"/>
    </row>
    <row r="722" spans="1:1" x14ac:dyDescent="0.2">
      <c r="A722" s="3"/>
    </row>
    <row r="723" spans="1:1" x14ac:dyDescent="0.2">
      <c r="A723" s="3"/>
    </row>
    <row r="724" spans="1:1" x14ac:dyDescent="0.2">
      <c r="A724" s="3"/>
    </row>
    <row r="725" spans="1:1" x14ac:dyDescent="0.2">
      <c r="A725" s="3"/>
    </row>
    <row r="726" spans="1:1" x14ac:dyDescent="0.2">
      <c r="A726" s="3"/>
    </row>
    <row r="727" spans="1:1" x14ac:dyDescent="0.2">
      <c r="A727" s="3"/>
    </row>
    <row r="728" spans="1:1" x14ac:dyDescent="0.2">
      <c r="A728" s="3"/>
    </row>
    <row r="729" spans="1:1" x14ac:dyDescent="0.2">
      <c r="A729" s="3"/>
    </row>
    <row r="730" spans="1:1" x14ac:dyDescent="0.2">
      <c r="A730" s="3"/>
    </row>
    <row r="731" spans="1:1" x14ac:dyDescent="0.2">
      <c r="A731" s="3"/>
    </row>
    <row r="732" spans="1:1" x14ac:dyDescent="0.2">
      <c r="A732" s="3"/>
    </row>
    <row r="733" spans="1:1" x14ac:dyDescent="0.2">
      <c r="A733" s="3"/>
    </row>
    <row r="734" spans="1:1" x14ac:dyDescent="0.2">
      <c r="A734" s="3"/>
    </row>
    <row r="735" spans="1:1" x14ac:dyDescent="0.2">
      <c r="A735" s="3"/>
    </row>
    <row r="736" spans="1:1" x14ac:dyDescent="0.2">
      <c r="A736" s="3"/>
    </row>
    <row r="737" spans="1:1" x14ac:dyDescent="0.2">
      <c r="A737" s="3"/>
    </row>
    <row r="738" spans="1:1" x14ac:dyDescent="0.2">
      <c r="A738" s="3"/>
    </row>
    <row r="739" spans="1:1" x14ac:dyDescent="0.2">
      <c r="A739" s="3"/>
    </row>
    <row r="740" spans="1:1" x14ac:dyDescent="0.2">
      <c r="A740" s="3"/>
    </row>
    <row r="741" spans="1:1" x14ac:dyDescent="0.2">
      <c r="A741" s="3"/>
    </row>
    <row r="742" spans="1:1" x14ac:dyDescent="0.2">
      <c r="A742" s="3"/>
    </row>
    <row r="743" spans="1:1" x14ac:dyDescent="0.2">
      <c r="A743" s="3"/>
    </row>
    <row r="744" spans="1:1" x14ac:dyDescent="0.2">
      <c r="A744" s="3"/>
    </row>
    <row r="745" spans="1:1" x14ac:dyDescent="0.2">
      <c r="A745" s="3"/>
    </row>
    <row r="746" spans="1:1" x14ac:dyDescent="0.2">
      <c r="A746" s="3"/>
    </row>
    <row r="747" spans="1:1" x14ac:dyDescent="0.2">
      <c r="A747" s="3"/>
    </row>
    <row r="748" spans="1:1" x14ac:dyDescent="0.2">
      <c r="A748" s="3"/>
    </row>
    <row r="749" spans="1:1" x14ac:dyDescent="0.2">
      <c r="A749" s="3"/>
    </row>
    <row r="750" spans="1:1" x14ac:dyDescent="0.2">
      <c r="A750" s="3"/>
    </row>
    <row r="751" spans="1:1" x14ac:dyDescent="0.2">
      <c r="A751" s="3"/>
    </row>
    <row r="752" spans="1:1" x14ac:dyDescent="0.2">
      <c r="A752" s="3"/>
    </row>
    <row r="753" spans="1:1" x14ac:dyDescent="0.2">
      <c r="A753" s="3"/>
    </row>
    <row r="754" spans="1:1" x14ac:dyDescent="0.2">
      <c r="A754" s="3"/>
    </row>
    <row r="755" spans="1:1" x14ac:dyDescent="0.2">
      <c r="A755" s="3"/>
    </row>
    <row r="756" spans="1:1" x14ac:dyDescent="0.2">
      <c r="A756" s="3"/>
    </row>
    <row r="757" spans="1:1" x14ac:dyDescent="0.2">
      <c r="A757" s="3"/>
    </row>
    <row r="758" spans="1:1" x14ac:dyDescent="0.2">
      <c r="A758" s="3"/>
    </row>
    <row r="759" spans="1:1" x14ac:dyDescent="0.2">
      <c r="A759" s="3"/>
    </row>
    <row r="760" spans="1:1" x14ac:dyDescent="0.2">
      <c r="A760" s="3"/>
    </row>
    <row r="761" spans="1:1" x14ac:dyDescent="0.2">
      <c r="A761" s="3"/>
    </row>
    <row r="762" spans="1:1" x14ac:dyDescent="0.2">
      <c r="A762" s="3"/>
    </row>
    <row r="763" spans="1:1" x14ac:dyDescent="0.2">
      <c r="A763" s="3"/>
    </row>
    <row r="764" spans="1:1" x14ac:dyDescent="0.2">
      <c r="A764" s="3"/>
    </row>
    <row r="765" spans="1:1" x14ac:dyDescent="0.2">
      <c r="A765" s="3"/>
    </row>
    <row r="766" spans="1:1" x14ac:dyDescent="0.2">
      <c r="A766" s="3"/>
    </row>
    <row r="767" spans="1:1" x14ac:dyDescent="0.2">
      <c r="A767" s="3"/>
    </row>
    <row r="768" spans="1:1" x14ac:dyDescent="0.2">
      <c r="A768" s="3"/>
    </row>
    <row r="769" spans="1:1" x14ac:dyDescent="0.2">
      <c r="A769" s="3"/>
    </row>
    <row r="770" spans="1:1" x14ac:dyDescent="0.2">
      <c r="A770" s="3"/>
    </row>
    <row r="771" spans="1:1" x14ac:dyDescent="0.2">
      <c r="A771" s="3"/>
    </row>
    <row r="772" spans="1:1" x14ac:dyDescent="0.2">
      <c r="A772" s="3"/>
    </row>
    <row r="773" spans="1:1" x14ac:dyDescent="0.2">
      <c r="A773" s="3"/>
    </row>
    <row r="774" spans="1:1" x14ac:dyDescent="0.2">
      <c r="A774" s="3"/>
    </row>
    <row r="775" spans="1:1" x14ac:dyDescent="0.2">
      <c r="A775" s="3"/>
    </row>
    <row r="776" spans="1:1" x14ac:dyDescent="0.2">
      <c r="A776" s="3"/>
    </row>
    <row r="777" spans="1:1" x14ac:dyDescent="0.2">
      <c r="A777" s="3"/>
    </row>
    <row r="778" spans="1:1" x14ac:dyDescent="0.2">
      <c r="A778" s="3"/>
    </row>
    <row r="779" spans="1:1" x14ac:dyDescent="0.2">
      <c r="A779" s="3"/>
    </row>
    <row r="780" spans="1:1" x14ac:dyDescent="0.2">
      <c r="A780" s="3"/>
    </row>
    <row r="781" spans="1:1" x14ac:dyDescent="0.2">
      <c r="A781" s="3"/>
    </row>
    <row r="782" spans="1:1" x14ac:dyDescent="0.2">
      <c r="A782" s="3"/>
    </row>
    <row r="783" spans="1:1" x14ac:dyDescent="0.2">
      <c r="A783" s="3"/>
    </row>
    <row r="784" spans="1:1" x14ac:dyDescent="0.2">
      <c r="A784" s="3"/>
    </row>
    <row r="785" spans="1:1" x14ac:dyDescent="0.2">
      <c r="A785" s="3"/>
    </row>
    <row r="786" spans="1:1" x14ac:dyDescent="0.2">
      <c r="A786" s="3"/>
    </row>
    <row r="787" spans="1:1" x14ac:dyDescent="0.2">
      <c r="A787" s="3"/>
    </row>
    <row r="788" spans="1:1" x14ac:dyDescent="0.2">
      <c r="A788" s="3"/>
    </row>
    <row r="789" spans="1:1" x14ac:dyDescent="0.2">
      <c r="A789" s="3"/>
    </row>
    <row r="790" spans="1:1" x14ac:dyDescent="0.2">
      <c r="A790" s="3"/>
    </row>
    <row r="791" spans="1:1" x14ac:dyDescent="0.2">
      <c r="A791" s="3"/>
    </row>
    <row r="792" spans="1:1" x14ac:dyDescent="0.2">
      <c r="A792" s="3"/>
    </row>
    <row r="793" spans="1:1" x14ac:dyDescent="0.2">
      <c r="A793" s="3"/>
    </row>
    <row r="794" spans="1:1" x14ac:dyDescent="0.2">
      <c r="A794" s="3"/>
    </row>
    <row r="795" spans="1:1" x14ac:dyDescent="0.2">
      <c r="A795" s="3"/>
    </row>
    <row r="796" spans="1:1" x14ac:dyDescent="0.2">
      <c r="A796" s="3"/>
    </row>
    <row r="797" spans="1:1" x14ac:dyDescent="0.2">
      <c r="A797" s="3"/>
    </row>
    <row r="798" spans="1:1" x14ac:dyDescent="0.2">
      <c r="A798" s="3"/>
    </row>
    <row r="799" spans="1:1" x14ac:dyDescent="0.2">
      <c r="A799" s="3"/>
    </row>
    <row r="800" spans="1:1" x14ac:dyDescent="0.2">
      <c r="A800" s="3"/>
    </row>
    <row r="801" spans="1:1" x14ac:dyDescent="0.2">
      <c r="A801" s="3"/>
    </row>
    <row r="802" spans="1:1" x14ac:dyDescent="0.2">
      <c r="A802" s="3"/>
    </row>
    <row r="803" spans="1:1" x14ac:dyDescent="0.2">
      <c r="A803" s="3"/>
    </row>
    <row r="804" spans="1:1" x14ac:dyDescent="0.2">
      <c r="A804" s="3"/>
    </row>
    <row r="805" spans="1:1" x14ac:dyDescent="0.2">
      <c r="A805" s="3"/>
    </row>
    <row r="806" spans="1:1" x14ac:dyDescent="0.2">
      <c r="A806" s="3"/>
    </row>
    <row r="807" spans="1:1" x14ac:dyDescent="0.2">
      <c r="A807" s="3"/>
    </row>
    <row r="808" spans="1:1" x14ac:dyDescent="0.2">
      <c r="A808" s="3"/>
    </row>
    <row r="809" spans="1:1" x14ac:dyDescent="0.2">
      <c r="A809" s="3"/>
    </row>
    <row r="810" spans="1:1" x14ac:dyDescent="0.2">
      <c r="A810" s="3"/>
    </row>
    <row r="811" spans="1:1" x14ac:dyDescent="0.2">
      <c r="A811" s="3"/>
    </row>
    <row r="812" spans="1:1" x14ac:dyDescent="0.2">
      <c r="A812" s="3"/>
    </row>
    <row r="813" spans="1:1" x14ac:dyDescent="0.2">
      <c r="A813" s="3"/>
    </row>
    <row r="814" spans="1:1" x14ac:dyDescent="0.2">
      <c r="A814" s="3"/>
    </row>
    <row r="815" spans="1:1" x14ac:dyDescent="0.2">
      <c r="A815" s="3"/>
    </row>
    <row r="816" spans="1:1" x14ac:dyDescent="0.2">
      <c r="A816" s="3"/>
    </row>
    <row r="817" spans="1:1" x14ac:dyDescent="0.2">
      <c r="A817" s="3"/>
    </row>
    <row r="818" spans="1:1" x14ac:dyDescent="0.2">
      <c r="A818" s="3"/>
    </row>
    <row r="819" spans="1:1" x14ac:dyDescent="0.2">
      <c r="A819" s="3"/>
    </row>
    <row r="820" spans="1:1" x14ac:dyDescent="0.2">
      <c r="A820" s="3"/>
    </row>
    <row r="821" spans="1:1" x14ac:dyDescent="0.2">
      <c r="A821" s="3"/>
    </row>
    <row r="822" spans="1:1" x14ac:dyDescent="0.2">
      <c r="A822" s="3"/>
    </row>
    <row r="823" spans="1:1" x14ac:dyDescent="0.2">
      <c r="A823" s="3"/>
    </row>
    <row r="824" spans="1:1" x14ac:dyDescent="0.2">
      <c r="A824" s="3"/>
    </row>
    <row r="825" spans="1:1" x14ac:dyDescent="0.2">
      <c r="A825" s="3"/>
    </row>
    <row r="826" spans="1:1" x14ac:dyDescent="0.2">
      <c r="A826" s="3"/>
    </row>
    <row r="827" spans="1:1" x14ac:dyDescent="0.2">
      <c r="A827" s="3"/>
    </row>
    <row r="828" spans="1:1" x14ac:dyDescent="0.2">
      <c r="A828" s="3"/>
    </row>
    <row r="829" spans="1:1" x14ac:dyDescent="0.2">
      <c r="A829" s="3"/>
    </row>
    <row r="830" spans="1:1" x14ac:dyDescent="0.2">
      <c r="A830" s="3"/>
    </row>
    <row r="831" spans="1:1" x14ac:dyDescent="0.2">
      <c r="A831" s="3"/>
    </row>
    <row r="832" spans="1:1" x14ac:dyDescent="0.2">
      <c r="A832" s="3"/>
    </row>
    <row r="833" spans="1:1" x14ac:dyDescent="0.2">
      <c r="A833" s="3"/>
    </row>
    <row r="834" spans="1:1" x14ac:dyDescent="0.2">
      <c r="A834" s="3"/>
    </row>
    <row r="835" spans="1:1" x14ac:dyDescent="0.2">
      <c r="A835" s="3"/>
    </row>
    <row r="836" spans="1:1" x14ac:dyDescent="0.2">
      <c r="A836" s="3"/>
    </row>
    <row r="837" spans="1:1" x14ac:dyDescent="0.2">
      <c r="A837" s="3"/>
    </row>
    <row r="838" spans="1:1" x14ac:dyDescent="0.2">
      <c r="A838" s="3"/>
    </row>
    <row r="839" spans="1:1" x14ac:dyDescent="0.2">
      <c r="A839" s="3"/>
    </row>
    <row r="840" spans="1:1" x14ac:dyDescent="0.2">
      <c r="A840" s="3"/>
    </row>
    <row r="841" spans="1:1" x14ac:dyDescent="0.2">
      <c r="A841" s="3"/>
    </row>
    <row r="842" spans="1:1" x14ac:dyDescent="0.2">
      <c r="A842" s="3"/>
    </row>
    <row r="843" spans="1:1" x14ac:dyDescent="0.2">
      <c r="A843" s="3"/>
    </row>
    <row r="844" spans="1:1" x14ac:dyDescent="0.2">
      <c r="A844" s="3"/>
    </row>
    <row r="845" spans="1:1" x14ac:dyDescent="0.2">
      <c r="A845" s="3"/>
    </row>
    <row r="846" spans="1:1" x14ac:dyDescent="0.2">
      <c r="A846" s="3"/>
    </row>
    <row r="847" spans="1:1" x14ac:dyDescent="0.2">
      <c r="A847" s="3"/>
    </row>
    <row r="848" spans="1:1" x14ac:dyDescent="0.2">
      <c r="A848" s="3"/>
    </row>
    <row r="849" spans="1:1" x14ac:dyDescent="0.2">
      <c r="A849" s="3"/>
    </row>
    <row r="850" spans="1:1" x14ac:dyDescent="0.2">
      <c r="A850" s="3"/>
    </row>
    <row r="851" spans="1:1" x14ac:dyDescent="0.2">
      <c r="A851" s="3"/>
    </row>
    <row r="852" spans="1:1" x14ac:dyDescent="0.2">
      <c r="A852" s="3"/>
    </row>
    <row r="853" spans="1:1" x14ac:dyDescent="0.2">
      <c r="A853" s="3"/>
    </row>
    <row r="854" spans="1:1" x14ac:dyDescent="0.2">
      <c r="A854" s="3"/>
    </row>
    <row r="855" spans="1:1" x14ac:dyDescent="0.2">
      <c r="A855" s="3"/>
    </row>
    <row r="856" spans="1:1" x14ac:dyDescent="0.2">
      <c r="A856" s="3"/>
    </row>
    <row r="857" spans="1:1" x14ac:dyDescent="0.2">
      <c r="A857" s="3"/>
    </row>
    <row r="858" spans="1:1" x14ac:dyDescent="0.2">
      <c r="A858" s="3"/>
    </row>
    <row r="859" spans="1:1" x14ac:dyDescent="0.2">
      <c r="A859" s="3"/>
    </row>
    <row r="860" spans="1:1" x14ac:dyDescent="0.2">
      <c r="A860" s="3"/>
    </row>
    <row r="861" spans="1:1" x14ac:dyDescent="0.2">
      <c r="A861" s="3"/>
    </row>
    <row r="862" spans="1:1" x14ac:dyDescent="0.2">
      <c r="A862" s="3"/>
    </row>
    <row r="863" spans="1:1" x14ac:dyDescent="0.2">
      <c r="A863" s="3"/>
    </row>
    <row r="864" spans="1:1" x14ac:dyDescent="0.2">
      <c r="A864" s="3"/>
    </row>
    <row r="865" spans="1:1" x14ac:dyDescent="0.2">
      <c r="A865" s="3"/>
    </row>
    <row r="866" spans="1:1" x14ac:dyDescent="0.2">
      <c r="A866" s="3"/>
    </row>
    <row r="867" spans="1:1" x14ac:dyDescent="0.2">
      <c r="A867" s="3"/>
    </row>
    <row r="868" spans="1:1" x14ac:dyDescent="0.2">
      <c r="A868" s="3"/>
    </row>
    <row r="869" spans="1:1" x14ac:dyDescent="0.2">
      <c r="A869" s="3"/>
    </row>
    <row r="870" spans="1:1" x14ac:dyDescent="0.2">
      <c r="A870" s="3"/>
    </row>
    <row r="871" spans="1:1" x14ac:dyDescent="0.2">
      <c r="A871" s="3"/>
    </row>
    <row r="872" spans="1:1" x14ac:dyDescent="0.2">
      <c r="A872" s="3"/>
    </row>
    <row r="873" spans="1:1" x14ac:dyDescent="0.2">
      <c r="A873" s="3"/>
    </row>
    <row r="874" spans="1:1" x14ac:dyDescent="0.2">
      <c r="A874" s="3"/>
    </row>
    <row r="875" spans="1:1" x14ac:dyDescent="0.2">
      <c r="A875" s="3"/>
    </row>
    <row r="876" spans="1:1" x14ac:dyDescent="0.2">
      <c r="A876" s="3"/>
    </row>
    <row r="877" spans="1:1" x14ac:dyDescent="0.2">
      <c r="A877" s="3"/>
    </row>
    <row r="878" spans="1:1" x14ac:dyDescent="0.2">
      <c r="A878" s="3"/>
    </row>
    <row r="879" spans="1:1" x14ac:dyDescent="0.2">
      <c r="A879" s="3"/>
    </row>
    <row r="880" spans="1:1" x14ac:dyDescent="0.2">
      <c r="A880" s="3"/>
    </row>
    <row r="881" spans="1:1" x14ac:dyDescent="0.2">
      <c r="A881" s="3"/>
    </row>
    <row r="882" spans="1:1" x14ac:dyDescent="0.2">
      <c r="A882" s="3"/>
    </row>
    <row r="883" spans="1:1" x14ac:dyDescent="0.2">
      <c r="A883" s="3"/>
    </row>
    <row r="884" spans="1:1" x14ac:dyDescent="0.2">
      <c r="A884" s="3"/>
    </row>
    <row r="885" spans="1:1" x14ac:dyDescent="0.2">
      <c r="A885" s="3"/>
    </row>
    <row r="886" spans="1:1" x14ac:dyDescent="0.2">
      <c r="A886" s="3"/>
    </row>
    <row r="887" spans="1:1" x14ac:dyDescent="0.2">
      <c r="A887" s="3"/>
    </row>
    <row r="888" spans="1:1" x14ac:dyDescent="0.2">
      <c r="A888" s="3"/>
    </row>
    <row r="889" spans="1:1" x14ac:dyDescent="0.2">
      <c r="A889" s="3"/>
    </row>
    <row r="890" spans="1:1" x14ac:dyDescent="0.2">
      <c r="A890" s="3"/>
    </row>
    <row r="891" spans="1:1" x14ac:dyDescent="0.2">
      <c r="A891" s="3"/>
    </row>
    <row r="892" spans="1:1" x14ac:dyDescent="0.2">
      <c r="A892" s="3"/>
    </row>
    <row r="893" spans="1:1" x14ac:dyDescent="0.2">
      <c r="A893" s="3"/>
    </row>
    <row r="894" spans="1:1" x14ac:dyDescent="0.2">
      <c r="A894" s="3"/>
    </row>
    <row r="895" spans="1:1" x14ac:dyDescent="0.2">
      <c r="A895" s="3"/>
    </row>
    <row r="896" spans="1:1" x14ac:dyDescent="0.2">
      <c r="A896" s="3"/>
    </row>
    <row r="897" spans="1:1" x14ac:dyDescent="0.2">
      <c r="A897" s="3"/>
    </row>
    <row r="898" spans="1:1" x14ac:dyDescent="0.2">
      <c r="A898" s="3"/>
    </row>
    <row r="899" spans="1:1" x14ac:dyDescent="0.2">
      <c r="A899" s="3"/>
    </row>
    <row r="900" spans="1:1" x14ac:dyDescent="0.2">
      <c r="A900" s="3"/>
    </row>
    <row r="901" spans="1:1" x14ac:dyDescent="0.2">
      <c r="A901" s="3"/>
    </row>
    <row r="902" spans="1:1" x14ac:dyDescent="0.2">
      <c r="A902" s="3"/>
    </row>
    <row r="903" spans="1:1" x14ac:dyDescent="0.2">
      <c r="A903" s="3"/>
    </row>
    <row r="904" spans="1:1" x14ac:dyDescent="0.2">
      <c r="A904" s="3"/>
    </row>
    <row r="905" spans="1:1" x14ac:dyDescent="0.2">
      <c r="A905" s="3"/>
    </row>
    <row r="906" spans="1:1" x14ac:dyDescent="0.2">
      <c r="A906" s="3"/>
    </row>
    <row r="907" spans="1:1" x14ac:dyDescent="0.2">
      <c r="A907" s="3"/>
    </row>
    <row r="908" spans="1:1" x14ac:dyDescent="0.2">
      <c r="A908" s="3"/>
    </row>
    <row r="909" spans="1:1" x14ac:dyDescent="0.2">
      <c r="A909" s="3"/>
    </row>
    <row r="910" spans="1:1" x14ac:dyDescent="0.2">
      <c r="A910" s="3"/>
    </row>
    <row r="911" spans="1:1" x14ac:dyDescent="0.2">
      <c r="A911" s="3"/>
    </row>
    <row r="912" spans="1:1" x14ac:dyDescent="0.2">
      <c r="A912" s="3"/>
    </row>
    <row r="913" spans="1:1" x14ac:dyDescent="0.2">
      <c r="A913" s="3"/>
    </row>
    <row r="914" spans="1:1" x14ac:dyDescent="0.2">
      <c r="A914" s="3"/>
    </row>
    <row r="915" spans="1:1" x14ac:dyDescent="0.2">
      <c r="A915" s="3"/>
    </row>
    <row r="916" spans="1:1" x14ac:dyDescent="0.2">
      <c r="A916" s="3"/>
    </row>
    <row r="917" spans="1:1" x14ac:dyDescent="0.2">
      <c r="A917" s="3"/>
    </row>
    <row r="918" spans="1:1" x14ac:dyDescent="0.2">
      <c r="A918" s="3"/>
    </row>
    <row r="919" spans="1:1" x14ac:dyDescent="0.2">
      <c r="A919" s="3"/>
    </row>
    <row r="920" spans="1:1" x14ac:dyDescent="0.2">
      <c r="A920" s="3"/>
    </row>
    <row r="921" spans="1:1" x14ac:dyDescent="0.2">
      <c r="A921" s="3"/>
    </row>
    <row r="922" spans="1:1" x14ac:dyDescent="0.2">
      <c r="A922" s="3"/>
    </row>
    <row r="923" spans="1:1" x14ac:dyDescent="0.2">
      <c r="A923" s="3"/>
    </row>
    <row r="924" spans="1:1" x14ac:dyDescent="0.2">
      <c r="A924" s="3"/>
    </row>
    <row r="925" spans="1:1" x14ac:dyDescent="0.2">
      <c r="A925" s="3"/>
    </row>
    <row r="926" spans="1:1" x14ac:dyDescent="0.2">
      <c r="A926" s="3"/>
    </row>
    <row r="927" spans="1:1" x14ac:dyDescent="0.2">
      <c r="A927" s="3"/>
    </row>
    <row r="928" spans="1:1" x14ac:dyDescent="0.2">
      <c r="A928" s="3"/>
    </row>
    <row r="929" spans="1:1" x14ac:dyDescent="0.2">
      <c r="A929" s="3"/>
    </row>
    <row r="930" spans="1:1" x14ac:dyDescent="0.2">
      <c r="A930" s="3"/>
    </row>
    <row r="931" spans="1:1" x14ac:dyDescent="0.2">
      <c r="A931" s="3"/>
    </row>
    <row r="932" spans="1:1" x14ac:dyDescent="0.2">
      <c r="A932" s="3"/>
    </row>
    <row r="933" spans="1:1" x14ac:dyDescent="0.2">
      <c r="A933" s="3"/>
    </row>
    <row r="934" spans="1:1" x14ac:dyDescent="0.2">
      <c r="A934" s="3"/>
    </row>
    <row r="935" spans="1:1" x14ac:dyDescent="0.2">
      <c r="A935" s="3"/>
    </row>
    <row r="936" spans="1:1" x14ac:dyDescent="0.2">
      <c r="A936" s="3"/>
    </row>
    <row r="937" spans="1:1" x14ac:dyDescent="0.2">
      <c r="A937" s="3"/>
    </row>
    <row r="938" spans="1:1" x14ac:dyDescent="0.2">
      <c r="A938" s="3"/>
    </row>
    <row r="939" spans="1:1" x14ac:dyDescent="0.2">
      <c r="A939" s="3"/>
    </row>
    <row r="940" spans="1:1" x14ac:dyDescent="0.2">
      <c r="A940" s="3"/>
    </row>
    <row r="941" spans="1:1" x14ac:dyDescent="0.2">
      <c r="A941" s="3"/>
    </row>
    <row r="942" spans="1:1" x14ac:dyDescent="0.2">
      <c r="A942" s="3"/>
    </row>
    <row r="943" spans="1:1" x14ac:dyDescent="0.2">
      <c r="A943" s="3"/>
    </row>
    <row r="944" spans="1:1" x14ac:dyDescent="0.2">
      <c r="A944" s="3"/>
    </row>
    <row r="945" spans="1:1" x14ac:dyDescent="0.2">
      <c r="A945" s="3"/>
    </row>
    <row r="946" spans="1:1" x14ac:dyDescent="0.2">
      <c r="A946" s="3"/>
    </row>
    <row r="947" spans="1:1" x14ac:dyDescent="0.2">
      <c r="A947" s="3"/>
    </row>
    <row r="948" spans="1:1" x14ac:dyDescent="0.2">
      <c r="A948" s="3"/>
    </row>
    <row r="949" spans="1:1" x14ac:dyDescent="0.2">
      <c r="A949" s="3"/>
    </row>
    <row r="950" spans="1:1" x14ac:dyDescent="0.2">
      <c r="A950" s="3"/>
    </row>
    <row r="951" spans="1:1" x14ac:dyDescent="0.2">
      <c r="A951" s="3"/>
    </row>
    <row r="952" spans="1:1" x14ac:dyDescent="0.2">
      <c r="A952" s="3"/>
    </row>
    <row r="953" spans="1:1" x14ac:dyDescent="0.2">
      <c r="A953" s="3"/>
    </row>
    <row r="954" spans="1:1" x14ac:dyDescent="0.2">
      <c r="A954" s="3"/>
    </row>
    <row r="955" spans="1:1" x14ac:dyDescent="0.2">
      <c r="A955" s="3"/>
    </row>
    <row r="956" spans="1:1" x14ac:dyDescent="0.2">
      <c r="A956" s="3"/>
    </row>
    <row r="957" spans="1:1" x14ac:dyDescent="0.2">
      <c r="A957" s="3"/>
    </row>
    <row r="958" spans="1:1" x14ac:dyDescent="0.2">
      <c r="A958" s="3"/>
    </row>
    <row r="959" spans="1:1" x14ac:dyDescent="0.2">
      <c r="A959" s="3"/>
    </row>
    <row r="960" spans="1:1" x14ac:dyDescent="0.2">
      <c r="A960" s="3"/>
    </row>
    <row r="961" spans="1:1" x14ac:dyDescent="0.2">
      <c r="A961" s="3"/>
    </row>
    <row r="962" spans="1:1" x14ac:dyDescent="0.2">
      <c r="A962" s="3"/>
    </row>
    <row r="963" spans="1:1" x14ac:dyDescent="0.2">
      <c r="A963" s="3"/>
    </row>
    <row r="964" spans="1:1" x14ac:dyDescent="0.2">
      <c r="A964" s="3"/>
    </row>
    <row r="965" spans="1:1" x14ac:dyDescent="0.2">
      <c r="A965" s="3"/>
    </row>
    <row r="966" spans="1:1" x14ac:dyDescent="0.2">
      <c r="A966" s="3"/>
    </row>
    <row r="967" spans="1:1" x14ac:dyDescent="0.2">
      <c r="A967" s="3"/>
    </row>
    <row r="968" spans="1:1" x14ac:dyDescent="0.2">
      <c r="A968" s="3"/>
    </row>
    <row r="969" spans="1:1" x14ac:dyDescent="0.2">
      <c r="A969" s="3"/>
    </row>
    <row r="970" spans="1:1" x14ac:dyDescent="0.2">
      <c r="A970" s="3"/>
    </row>
    <row r="971" spans="1:1" x14ac:dyDescent="0.2">
      <c r="A971" s="3"/>
    </row>
    <row r="972" spans="1:1" x14ac:dyDescent="0.2">
      <c r="A972" s="3"/>
    </row>
    <row r="973" spans="1:1" x14ac:dyDescent="0.2">
      <c r="A973" s="3"/>
    </row>
    <row r="974" spans="1:1" x14ac:dyDescent="0.2">
      <c r="A974" s="3"/>
    </row>
    <row r="975" spans="1:1" x14ac:dyDescent="0.2">
      <c r="A975" s="3"/>
    </row>
    <row r="976" spans="1:1" x14ac:dyDescent="0.2">
      <c r="A976" s="3"/>
    </row>
    <row r="977" spans="1:1" x14ac:dyDescent="0.2">
      <c r="A977" s="3"/>
    </row>
    <row r="978" spans="1:1" x14ac:dyDescent="0.2">
      <c r="A978" s="3"/>
    </row>
    <row r="979" spans="1:1" x14ac:dyDescent="0.2">
      <c r="A979" s="3"/>
    </row>
    <row r="980" spans="1:1" x14ac:dyDescent="0.2">
      <c r="A980" s="3"/>
    </row>
    <row r="981" spans="1:1" x14ac:dyDescent="0.2">
      <c r="A981" s="3"/>
    </row>
    <row r="982" spans="1:1" x14ac:dyDescent="0.2">
      <c r="A982" s="3"/>
    </row>
    <row r="983" spans="1:1" x14ac:dyDescent="0.2">
      <c r="A983" s="3"/>
    </row>
    <row r="984" spans="1:1" x14ac:dyDescent="0.2">
      <c r="A984" s="3"/>
    </row>
    <row r="985" spans="1:1" x14ac:dyDescent="0.2">
      <c r="A985" s="3"/>
    </row>
    <row r="986" spans="1:1" x14ac:dyDescent="0.2">
      <c r="A986" s="3"/>
    </row>
    <row r="987" spans="1:1" x14ac:dyDescent="0.2">
      <c r="A987" s="3"/>
    </row>
    <row r="988" spans="1:1" x14ac:dyDescent="0.2">
      <c r="A988" s="3"/>
    </row>
    <row r="989" spans="1:1" x14ac:dyDescent="0.2">
      <c r="A989" s="3"/>
    </row>
    <row r="990" spans="1:1" x14ac:dyDescent="0.2">
      <c r="A990" s="3"/>
    </row>
    <row r="991" spans="1:1" x14ac:dyDescent="0.2">
      <c r="A991" s="3"/>
    </row>
    <row r="992" spans="1:1" x14ac:dyDescent="0.2">
      <c r="A992" s="3"/>
    </row>
    <row r="993" spans="1:1" x14ac:dyDescent="0.2">
      <c r="A993" s="3"/>
    </row>
    <row r="994" spans="1:1" x14ac:dyDescent="0.2">
      <c r="A994" s="3"/>
    </row>
    <row r="995" spans="1:1" x14ac:dyDescent="0.2">
      <c r="A995" s="3"/>
    </row>
    <row r="996" spans="1:1" x14ac:dyDescent="0.2">
      <c r="A996" s="3"/>
    </row>
    <row r="997" spans="1:1" x14ac:dyDescent="0.2">
      <c r="A997" s="3"/>
    </row>
    <row r="998" spans="1:1" x14ac:dyDescent="0.2">
      <c r="A998" s="3"/>
    </row>
    <row r="999" spans="1:1" x14ac:dyDescent="0.2">
      <c r="A999" s="3"/>
    </row>
    <row r="1000" spans="1:1" x14ac:dyDescent="0.2">
      <c r="A1000" s="3"/>
    </row>
    <row r="1001" spans="1:1" x14ac:dyDescent="0.2">
      <c r="A1001" s="3"/>
    </row>
    <row r="1002" spans="1:1" x14ac:dyDescent="0.2">
      <c r="A1002" s="3"/>
    </row>
    <row r="1003" spans="1:1" x14ac:dyDescent="0.2">
      <c r="A1003" s="3"/>
    </row>
    <row r="1004" spans="1:1" x14ac:dyDescent="0.2">
      <c r="A1004" s="3"/>
    </row>
    <row r="1005" spans="1:1" x14ac:dyDescent="0.2">
      <c r="A1005" s="3"/>
    </row>
    <row r="1006" spans="1:1" x14ac:dyDescent="0.2">
      <c r="A1006" s="3"/>
    </row>
    <row r="1007" spans="1:1" x14ac:dyDescent="0.2">
      <c r="A1007" s="3"/>
    </row>
    <row r="1008" spans="1:1" x14ac:dyDescent="0.2">
      <c r="A1008" s="3"/>
    </row>
    <row r="1009" spans="1:1" x14ac:dyDescent="0.2">
      <c r="A1009" s="3"/>
    </row>
    <row r="1010" spans="1:1" x14ac:dyDescent="0.2">
      <c r="A1010" s="3"/>
    </row>
    <row r="1011" spans="1:1" x14ac:dyDescent="0.2">
      <c r="A1011" s="3"/>
    </row>
    <row r="1012" spans="1:1" x14ac:dyDescent="0.2">
      <c r="A1012" s="3"/>
    </row>
    <row r="1013" spans="1:1" x14ac:dyDescent="0.2">
      <c r="A1013" s="3"/>
    </row>
    <row r="1014" spans="1:1" x14ac:dyDescent="0.2">
      <c r="A1014" s="3"/>
    </row>
    <row r="1015" spans="1:1" x14ac:dyDescent="0.2">
      <c r="A1015" s="3"/>
    </row>
    <row r="1016" spans="1:1" x14ac:dyDescent="0.2">
      <c r="A1016" s="3"/>
    </row>
    <row r="1017" spans="1:1" x14ac:dyDescent="0.2">
      <c r="A1017" s="3"/>
    </row>
    <row r="1018" spans="1:1" x14ac:dyDescent="0.2">
      <c r="A1018" s="3"/>
    </row>
    <row r="1019" spans="1:1" x14ac:dyDescent="0.2">
      <c r="A1019" s="3"/>
    </row>
    <row r="1020" spans="1:1" x14ac:dyDescent="0.2">
      <c r="A1020" s="3"/>
    </row>
    <row r="1021" spans="1:1" x14ac:dyDescent="0.2">
      <c r="A1021" s="3"/>
    </row>
    <row r="1022" spans="1:1" x14ac:dyDescent="0.2">
      <c r="A1022" s="3"/>
    </row>
    <row r="1023" spans="1:1" x14ac:dyDescent="0.2">
      <c r="A1023" s="3"/>
    </row>
    <row r="1024" spans="1:1" x14ac:dyDescent="0.2">
      <c r="A1024" s="3"/>
    </row>
    <row r="1025" spans="1:1" x14ac:dyDescent="0.2">
      <c r="A1025" s="3"/>
    </row>
    <row r="1026" spans="1:1" x14ac:dyDescent="0.2">
      <c r="A1026" s="3"/>
    </row>
    <row r="1027" spans="1:1" x14ac:dyDescent="0.2">
      <c r="A1027" s="3"/>
    </row>
    <row r="1028" spans="1:1" x14ac:dyDescent="0.2">
      <c r="A1028" s="3"/>
    </row>
    <row r="1029" spans="1:1" x14ac:dyDescent="0.2">
      <c r="A1029" s="3"/>
    </row>
    <row r="1030" spans="1:1" x14ac:dyDescent="0.2">
      <c r="A1030" s="3"/>
    </row>
    <row r="1031" spans="1:1" x14ac:dyDescent="0.2">
      <c r="A1031" s="3"/>
    </row>
    <row r="1032" spans="1:1" x14ac:dyDescent="0.2">
      <c r="A1032" s="3"/>
    </row>
    <row r="1033" spans="1:1" x14ac:dyDescent="0.2">
      <c r="A1033" s="3"/>
    </row>
    <row r="1034" spans="1:1" x14ac:dyDescent="0.2">
      <c r="A1034" s="3"/>
    </row>
    <row r="1035" spans="1:1" x14ac:dyDescent="0.2">
      <c r="A1035" s="3"/>
    </row>
    <row r="1036" spans="1:1" x14ac:dyDescent="0.2">
      <c r="A1036" s="3"/>
    </row>
    <row r="1037" spans="1:1" x14ac:dyDescent="0.2">
      <c r="A1037" s="3"/>
    </row>
    <row r="1038" spans="1:1" x14ac:dyDescent="0.2">
      <c r="A1038" s="3"/>
    </row>
    <row r="1039" spans="1:1" x14ac:dyDescent="0.2">
      <c r="A1039" s="3"/>
    </row>
    <row r="1040" spans="1:1" x14ac:dyDescent="0.2">
      <c r="A1040" s="3"/>
    </row>
    <row r="1041" spans="1:1" x14ac:dyDescent="0.2">
      <c r="A1041" s="3"/>
    </row>
    <row r="1042" spans="1:1" x14ac:dyDescent="0.2">
      <c r="A1042" s="3"/>
    </row>
    <row r="1043" spans="1:1" x14ac:dyDescent="0.2">
      <c r="A1043" s="3"/>
    </row>
    <row r="1044" spans="1:1" x14ac:dyDescent="0.2">
      <c r="A1044" s="3"/>
    </row>
    <row r="1045" spans="1:1" x14ac:dyDescent="0.2">
      <c r="A1045" s="3"/>
    </row>
    <row r="1046" spans="1:1" x14ac:dyDescent="0.2">
      <c r="A1046" s="3"/>
    </row>
    <row r="1047" spans="1:1" x14ac:dyDescent="0.2">
      <c r="A1047" s="3"/>
    </row>
    <row r="1048" spans="1:1" x14ac:dyDescent="0.2">
      <c r="A1048" s="3"/>
    </row>
    <row r="1049" spans="1:1" x14ac:dyDescent="0.2">
      <c r="A1049" s="3"/>
    </row>
    <row r="1050" spans="1:1" x14ac:dyDescent="0.2">
      <c r="A1050" s="3"/>
    </row>
    <row r="1051" spans="1:1" x14ac:dyDescent="0.2">
      <c r="A1051" s="3"/>
    </row>
    <row r="1052" spans="1:1" x14ac:dyDescent="0.2">
      <c r="A1052" s="3"/>
    </row>
    <row r="1053" spans="1:1" x14ac:dyDescent="0.2">
      <c r="A1053" s="3"/>
    </row>
    <row r="1054" spans="1:1" x14ac:dyDescent="0.2">
      <c r="A1054" s="3"/>
    </row>
    <row r="1055" spans="1:1" x14ac:dyDescent="0.2">
      <c r="A1055" s="3"/>
    </row>
    <row r="1056" spans="1:1" x14ac:dyDescent="0.2">
      <c r="A1056" s="3"/>
    </row>
    <row r="1057" spans="1:1" x14ac:dyDescent="0.2">
      <c r="A1057" s="3"/>
    </row>
    <row r="1058" spans="1:1" x14ac:dyDescent="0.2">
      <c r="A1058" s="3"/>
    </row>
    <row r="1059" spans="1:1" x14ac:dyDescent="0.2">
      <c r="A1059" s="3"/>
    </row>
    <row r="1060" spans="1:1" x14ac:dyDescent="0.2">
      <c r="A1060" s="3"/>
    </row>
    <row r="1061" spans="1:1" x14ac:dyDescent="0.2">
      <c r="A1061" s="3"/>
    </row>
    <row r="1062" spans="1:1" x14ac:dyDescent="0.2">
      <c r="A1062" s="3"/>
    </row>
    <row r="1063" spans="1:1" x14ac:dyDescent="0.2">
      <c r="A1063" s="3"/>
    </row>
    <row r="1064" spans="1:1" x14ac:dyDescent="0.2">
      <c r="A1064" s="3"/>
    </row>
    <row r="1065" spans="1:1" x14ac:dyDescent="0.2">
      <c r="A1065" s="3"/>
    </row>
    <row r="1066" spans="1:1" x14ac:dyDescent="0.2">
      <c r="A1066" s="3"/>
    </row>
    <row r="1067" spans="1:1" x14ac:dyDescent="0.2">
      <c r="A1067" s="3"/>
    </row>
    <row r="1068" spans="1:1" x14ac:dyDescent="0.2">
      <c r="A1068" s="3"/>
    </row>
    <row r="1069" spans="1:1" x14ac:dyDescent="0.2">
      <c r="A1069" s="3"/>
    </row>
    <row r="1070" spans="1:1" x14ac:dyDescent="0.2">
      <c r="A1070" s="3"/>
    </row>
    <row r="1071" spans="1:1" x14ac:dyDescent="0.2">
      <c r="A1071" s="3"/>
    </row>
    <row r="1072" spans="1:1" x14ac:dyDescent="0.2">
      <c r="A1072" s="3"/>
    </row>
    <row r="1073" spans="1:1" x14ac:dyDescent="0.2">
      <c r="A1073" s="3"/>
    </row>
    <row r="1074" spans="1:1" x14ac:dyDescent="0.2">
      <c r="A1074" s="3"/>
    </row>
    <row r="1075" spans="1:1" x14ac:dyDescent="0.2">
      <c r="A1075" s="3"/>
    </row>
    <row r="1076" spans="1:1" x14ac:dyDescent="0.2">
      <c r="A1076" s="3"/>
    </row>
    <row r="1077" spans="1:1" x14ac:dyDescent="0.2">
      <c r="A1077" s="3"/>
    </row>
    <row r="1078" spans="1:1" x14ac:dyDescent="0.2">
      <c r="A1078" s="3"/>
    </row>
    <row r="1079" spans="1:1" x14ac:dyDescent="0.2">
      <c r="A1079" s="3"/>
    </row>
    <row r="1080" spans="1:1" x14ac:dyDescent="0.2">
      <c r="A1080" s="3"/>
    </row>
    <row r="1081" spans="1:1" x14ac:dyDescent="0.2">
      <c r="A1081" s="3"/>
    </row>
    <row r="1082" spans="1:1" x14ac:dyDescent="0.2">
      <c r="A1082" s="3"/>
    </row>
    <row r="1083" spans="1:1" x14ac:dyDescent="0.2">
      <c r="A1083" s="3"/>
    </row>
    <row r="1084" spans="1:1" x14ac:dyDescent="0.2">
      <c r="A1084" s="3"/>
    </row>
    <row r="1085" spans="1:1" x14ac:dyDescent="0.2">
      <c r="A1085" s="3"/>
    </row>
    <row r="1086" spans="1:1" x14ac:dyDescent="0.2">
      <c r="A1086" s="3"/>
    </row>
    <row r="1087" spans="1:1" x14ac:dyDescent="0.2">
      <c r="A1087" s="3"/>
    </row>
    <row r="1088" spans="1:1" x14ac:dyDescent="0.2">
      <c r="A1088" s="3"/>
    </row>
    <row r="1089" spans="1:1" x14ac:dyDescent="0.2">
      <c r="A1089" s="3"/>
    </row>
    <row r="1090" spans="1:1" x14ac:dyDescent="0.2">
      <c r="A1090" s="3"/>
    </row>
    <row r="1091" spans="1:1" x14ac:dyDescent="0.2">
      <c r="A1091" s="3"/>
    </row>
    <row r="1092" spans="1:1" x14ac:dyDescent="0.2">
      <c r="A1092" s="3"/>
    </row>
    <row r="1093" spans="1:1" x14ac:dyDescent="0.2">
      <c r="A1093" s="3"/>
    </row>
    <row r="1094" spans="1:1" x14ac:dyDescent="0.2">
      <c r="A1094" s="3"/>
    </row>
    <row r="1095" spans="1:1" x14ac:dyDescent="0.2">
      <c r="A1095" s="3"/>
    </row>
    <row r="1096" spans="1:1" x14ac:dyDescent="0.2">
      <c r="A1096" s="3"/>
    </row>
    <row r="1097" spans="1:1" x14ac:dyDescent="0.2">
      <c r="A1097" s="3"/>
    </row>
    <row r="1098" spans="1:1" x14ac:dyDescent="0.2">
      <c r="A1098" s="3"/>
    </row>
    <row r="1099" spans="1:1" x14ac:dyDescent="0.2">
      <c r="A1099" s="3"/>
    </row>
    <row r="1100" spans="1:1" x14ac:dyDescent="0.2">
      <c r="A1100" s="3"/>
    </row>
    <row r="1101" spans="1:1" x14ac:dyDescent="0.2">
      <c r="A1101" s="3"/>
    </row>
    <row r="1102" spans="1:1" x14ac:dyDescent="0.2">
      <c r="A1102" s="3"/>
    </row>
    <row r="1103" spans="1:1" x14ac:dyDescent="0.2">
      <c r="A1103" s="3"/>
    </row>
    <row r="1104" spans="1:1" x14ac:dyDescent="0.2">
      <c r="A1104" s="3"/>
    </row>
    <row r="1105" spans="1:1" x14ac:dyDescent="0.2">
      <c r="A1105" s="3"/>
    </row>
    <row r="1106" spans="1:1" x14ac:dyDescent="0.2">
      <c r="A1106" s="3"/>
    </row>
    <row r="1107" spans="1:1" x14ac:dyDescent="0.2">
      <c r="A1107" s="3"/>
    </row>
    <row r="1108" spans="1:1" x14ac:dyDescent="0.2">
      <c r="A1108" s="3"/>
    </row>
    <row r="1109" spans="1:1" x14ac:dyDescent="0.2">
      <c r="A1109" s="3"/>
    </row>
    <row r="1110" spans="1:1" x14ac:dyDescent="0.2">
      <c r="A1110" s="3"/>
    </row>
    <row r="1111" spans="1:1" x14ac:dyDescent="0.2">
      <c r="A1111" s="3"/>
    </row>
    <row r="1112" spans="1:1" x14ac:dyDescent="0.2">
      <c r="A1112" s="3"/>
    </row>
    <row r="1113" spans="1:1" x14ac:dyDescent="0.2">
      <c r="A1113" s="3"/>
    </row>
    <row r="1114" spans="1:1" x14ac:dyDescent="0.2">
      <c r="A1114" s="3"/>
    </row>
    <row r="1115" spans="1:1" x14ac:dyDescent="0.2">
      <c r="A1115" s="3"/>
    </row>
    <row r="1116" spans="1:1" x14ac:dyDescent="0.2">
      <c r="A1116" s="3"/>
    </row>
    <row r="1117" spans="1:1" x14ac:dyDescent="0.2">
      <c r="A1117" s="3"/>
    </row>
    <row r="1118" spans="1:1" x14ac:dyDescent="0.2">
      <c r="A1118" s="3"/>
    </row>
    <row r="1119" spans="1:1" x14ac:dyDescent="0.2">
      <c r="A1119" s="3"/>
    </row>
    <row r="1120" spans="1:1" x14ac:dyDescent="0.2">
      <c r="A1120" s="3"/>
    </row>
    <row r="1121" spans="1:1" x14ac:dyDescent="0.2">
      <c r="A1121" s="3"/>
    </row>
    <row r="1122" spans="1:1" x14ac:dyDescent="0.2">
      <c r="A1122" s="3"/>
    </row>
    <row r="1123" spans="1:1" x14ac:dyDescent="0.2">
      <c r="A1123" s="3"/>
    </row>
    <row r="1124" spans="1:1" x14ac:dyDescent="0.2">
      <c r="A1124" s="3"/>
    </row>
    <row r="1125" spans="1:1" x14ac:dyDescent="0.2">
      <c r="A1125" s="3"/>
    </row>
    <row r="1126" spans="1:1" x14ac:dyDescent="0.2">
      <c r="A1126" s="3"/>
    </row>
    <row r="1127" spans="1:1" x14ac:dyDescent="0.2">
      <c r="A1127" s="3"/>
    </row>
    <row r="1128" spans="1:1" x14ac:dyDescent="0.2">
      <c r="A1128" s="3"/>
    </row>
    <row r="1129" spans="1:1" x14ac:dyDescent="0.2">
      <c r="A1129" s="3"/>
    </row>
    <row r="1130" spans="1:1" x14ac:dyDescent="0.2">
      <c r="A1130" s="3"/>
    </row>
    <row r="1131" spans="1:1" x14ac:dyDescent="0.2">
      <c r="A1131" s="3"/>
    </row>
    <row r="1132" spans="1:1" x14ac:dyDescent="0.2">
      <c r="A1132" s="3"/>
    </row>
    <row r="1133" spans="1:1" x14ac:dyDescent="0.2">
      <c r="A1133" s="3"/>
    </row>
    <row r="1134" spans="1:1" x14ac:dyDescent="0.2">
      <c r="A1134" s="3"/>
    </row>
    <row r="1135" spans="1:1" x14ac:dyDescent="0.2">
      <c r="A1135" s="3"/>
    </row>
    <row r="1136" spans="1:1" x14ac:dyDescent="0.2">
      <c r="A1136" s="3"/>
    </row>
    <row r="1137" spans="1:1" x14ac:dyDescent="0.2">
      <c r="A1137" s="3"/>
    </row>
    <row r="1138" spans="1:1" x14ac:dyDescent="0.2">
      <c r="A1138" s="3"/>
    </row>
    <row r="1139" spans="1:1" x14ac:dyDescent="0.2">
      <c r="A1139" s="3"/>
    </row>
    <row r="1140" spans="1:1" x14ac:dyDescent="0.2">
      <c r="A1140" s="3"/>
    </row>
    <row r="1141" spans="1:1" x14ac:dyDescent="0.2">
      <c r="A1141" s="3"/>
    </row>
    <row r="1142" spans="1:1" x14ac:dyDescent="0.2">
      <c r="A1142" s="3"/>
    </row>
    <row r="1143" spans="1:1" x14ac:dyDescent="0.2">
      <c r="A1143" s="3"/>
    </row>
    <row r="1144" spans="1:1" x14ac:dyDescent="0.2">
      <c r="A1144" s="3"/>
    </row>
    <row r="1145" spans="1:1" x14ac:dyDescent="0.2">
      <c r="A1145" s="3"/>
    </row>
    <row r="1146" spans="1:1" x14ac:dyDescent="0.2">
      <c r="A1146" s="3"/>
    </row>
    <row r="1147" spans="1:1" x14ac:dyDescent="0.2">
      <c r="A1147" s="3"/>
    </row>
    <row r="1148" spans="1:1" x14ac:dyDescent="0.2">
      <c r="A1148" s="3"/>
    </row>
    <row r="1149" spans="1:1" x14ac:dyDescent="0.2">
      <c r="A1149" s="3"/>
    </row>
    <row r="1150" spans="1:1" x14ac:dyDescent="0.2">
      <c r="A1150" s="3"/>
    </row>
    <row r="1151" spans="1:1" x14ac:dyDescent="0.2">
      <c r="A1151" s="3"/>
    </row>
    <row r="1152" spans="1:1" x14ac:dyDescent="0.2">
      <c r="A1152" s="3"/>
    </row>
    <row r="1153" spans="1:1" x14ac:dyDescent="0.2">
      <c r="A1153" s="3"/>
    </row>
    <row r="1154" spans="1:1" x14ac:dyDescent="0.2">
      <c r="A1154" s="3"/>
    </row>
    <row r="1155" spans="1:1" x14ac:dyDescent="0.2">
      <c r="A1155" s="3"/>
    </row>
    <row r="1156" spans="1:1" x14ac:dyDescent="0.2">
      <c r="A1156" s="3"/>
    </row>
    <row r="1157" spans="1:1" x14ac:dyDescent="0.2">
      <c r="A1157" s="3"/>
    </row>
    <row r="1158" spans="1:1" x14ac:dyDescent="0.2">
      <c r="A1158" s="3"/>
    </row>
    <row r="1159" spans="1:1" x14ac:dyDescent="0.2">
      <c r="A1159" s="3"/>
    </row>
    <row r="1160" spans="1:1" x14ac:dyDescent="0.2">
      <c r="A1160" s="3"/>
    </row>
    <row r="1161" spans="1:1" x14ac:dyDescent="0.2">
      <c r="A1161" s="3"/>
    </row>
    <row r="1162" spans="1:1" x14ac:dyDescent="0.2">
      <c r="A1162" s="3"/>
    </row>
    <row r="1163" spans="1:1" x14ac:dyDescent="0.2">
      <c r="A1163" s="3"/>
    </row>
    <row r="1164" spans="1:1" x14ac:dyDescent="0.2">
      <c r="A1164" s="3"/>
    </row>
    <row r="1165" spans="1:1" x14ac:dyDescent="0.2">
      <c r="A1165" s="3"/>
    </row>
    <row r="1166" spans="1:1" x14ac:dyDescent="0.2">
      <c r="A1166" s="3"/>
    </row>
    <row r="1167" spans="1:1" x14ac:dyDescent="0.2">
      <c r="A1167" s="3"/>
    </row>
    <row r="1168" spans="1:1" x14ac:dyDescent="0.2">
      <c r="A1168" s="3"/>
    </row>
    <row r="1169" spans="1:1" x14ac:dyDescent="0.2">
      <c r="A1169" s="3"/>
    </row>
    <row r="1170" spans="1:1" x14ac:dyDescent="0.2">
      <c r="A1170" s="3"/>
    </row>
    <row r="1171" spans="1:1" x14ac:dyDescent="0.2">
      <c r="A1171" s="3"/>
    </row>
    <row r="1172" spans="1:1" x14ac:dyDescent="0.2">
      <c r="A1172" s="3"/>
    </row>
    <row r="1173" spans="1:1" x14ac:dyDescent="0.2">
      <c r="A1173" s="3"/>
    </row>
    <row r="1174" spans="1:1" x14ac:dyDescent="0.2">
      <c r="A1174" s="3"/>
    </row>
    <row r="1175" spans="1:1" x14ac:dyDescent="0.2">
      <c r="A1175" s="3"/>
    </row>
    <row r="1176" spans="1:1" x14ac:dyDescent="0.2">
      <c r="A1176" s="3"/>
    </row>
    <row r="1177" spans="1:1" x14ac:dyDescent="0.2">
      <c r="A1177" s="3"/>
    </row>
    <row r="1178" spans="1:1" x14ac:dyDescent="0.2">
      <c r="A1178" s="3"/>
    </row>
    <row r="1179" spans="1:1" x14ac:dyDescent="0.2">
      <c r="A1179" s="3"/>
    </row>
    <row r="1180" spans="1:1" x14ac:dyDescent="0.2">
      <c r="A1180" s="3"/>
    </row>
    <row r="1181" spans="1:1" x14ac:dyDescent="0.2">
      <c r="A1181" s="3"/>
    </row>
    <row r="1182" spans="1:1" x14ac:dyDescent="0.2">
      <c r="A1182" s="3"/>
    </row>
    <row r="1183" spans="1:1" x14ac:dyDescent="0.2">
      <c r="A1183" s="3"/>
    </row>
    <row r="1184" spans="1:1" x14ac:dyDescent="0.2">
      <c r="A1184" s="3"/>
    </row>
    <row r="1185" spans="1:1" x14ac:dyDescent="0.2">
      <c r="A1185" s="3"/>
    </row>
    <row r="1186" spans="1:1" x14ac:dyDescent="0.2">
      <c r="A1186" s="3"/>
    </row>
    <row r="1187" spans="1:1" x14ac:dyDescent="0.2">
      <c r="A1187" s="3"/>
    </row>
    <row r="1188" spans="1:1" x14ac:dyDescent="0.2">
      <c r="A1188" s="3"/>
    </row>
    <row r="1189" spans="1:1" x14ac:dyDescent="0.2">
      <c r="A1189" s="3"/>
    </row>
    <row r="1190" spans="1:1" x14ac:dyDescent="0.2">
      <c r="A1190" s="3"/>
    </row>
    <row r="1191" spans="1:1" x14ac:dyDescent="0.2">
      <c r="A1191" s="3"/>
    </row>
    <row r="1192" spans="1:1" x14ac:dyDescent="0.2">
      <c r="A1192" s="3"/>
    </row>
    <row r="1193" spans="1:1" x14ac:dyDescent="0.2">
      <c r="A1193" s="3"/>
    </row>
    <row r="1194" spans="1:1" x14ac:dyDescent="0.2">
      <c r="A1194" s="3"/>
    </row>
    <row r="1195" spans="1:1" x14ac:dyDescent="0.2">
      <c r="A1195" s="3"/>
    </row>
    <row r="1196" spans="1:1" x14ac:dyDescent="0.2">
      <c r="A1196" s="3"/>
    </row>
    <row r="1197" spans="1:1" x14ac:dyDescent="0.2">
      <c r="A1197" s="3"/>
    </row>
    <row r="1198" spans="1:1" x14ac:dyDescent="0.2">
      <c r="A1198" s="3"/>
    </row>
    <row r="1199" spans="1:1" x14ac:dyDescent="0.2">
      <c r="A1199" s="3"/>
    </row>
    <row r="1200" spans="1:1" x14ac:dyDescent="0.2">
      <c r="A1200" s="3"/>
    </row>
    <row r="1201" spans="1:1" x14ac:dyDescent="0.2">
      <c r="A1201" s="3"/>
    </row>
    <row r="1202" spans="1:1" x14ac:dyDescent="0.2">
      <c r="A1202" s="3"/>
    </row>
    <row r="1203" spans="1:1" x14ac:dyDescent="0.2">
      <c r="A1203" s="3"/>
    </row>
    <row r="1204" spans="1:1" x14ac:dyDescent="0.2">
      <c r="A1204" s="3"/>
    </row>
    <row r="1205" spans="1:1" x14ac:dyDescent="0.2">
      <c r="A1205" s="3"/>
    </row>
    <row r="1206" spans="1:1" x14ac:dyDescent="0.2">
      <c r="A1206" s="3"/>
    </row>
    <row r="1207" spans="1:1" x14ac:dyDescent="0.2">
      <c r="A1207" s="3"/>
    </row>
    <row r="1208" spans="1:1" x14ac:dyDescent="0.2">
      <c r="A1208" s="3"/>
    </row>
    <row r="1209" spans="1:1" x14ac:dyDescent="0.2">
      <c r="A1209" s="3"/>
    </row>
    <row r="1210" spans="1:1" x14ac:dyDescent="0.2">
      <c r="A1210" s="3"/>
    </row>
    <row r="1211" spans="1:1" x14ac:dyDescent="0.2">
      <c r="A1211" s="3"/>
    </row>
    <row r="1212" spans="1:1" x14ac:dyDescent="0.2">
      <c r="A1212" s="3"/>
    </row>
    <row r="1213" spans="1:1" x14ac:dyDescent="0.2">
      <c r="A1213" s="3"/>
    </row>
    <row r="1214" spans="1:1" x14ac:dyDescent="0.2">
      <c r="A1214" s="3"/>
    </row>
    <row r="1215" spans="1:1" x14ac:dyDescent="0.2">
      <c r="A1215" s="3"/>
    </row>
    <row r="1216" spans="1:1" x14ac:dyDescent="0.2">
      <c r="A1216" s="3"/>
    </row>
    <row r="1217" spans="1:1" x14ac:dyDescent="0.2">
      <c r="A1217" s="3"/>
    </row>
    <row r="1218" spans="1:1" x14ac:dyDescent="0.2">
      <c r="A1218" s="3"/>
    </row>
    <row r="1219" spans="1:1" x14ac:dyDescent="0.2">
      <c r="A1219" s="3"/>
    </row>
    <row r="1220" spans="1:1" x14ac:dyDescent="0.2">
      <c r="A1220" s="3"/>
    </row>
    <row r="1221" spans="1:1" x14ac:dyDescent="0.2">
      <c r="A1221" s="3"/>
    </row>
    <row r="1222" spans="1:1" x14ac:dyDescent="0.2">
      <c r="A1222" s="3"/>
    </row>
    <row r="1223" spans="1:1" x14ac:dyDescent="0.2">
      <c r="A1223" s="3"/>
    </row>
    <row r="1224" spans="1:1" x14ac:dyDescent="0.2">
      <c r="A1224" s="3"/>
    </row>
    <row r="1225" spans="1:1" x14ac:dyDescent="0.2">
      <c r="A1225" s="3"/>
    </row>
    <row r="1226" spans="1:1" x14ac:dyDescent="0.2">
      <c r="A1226" s="3"/>
    </row>
    <row r="1227" spans="1:1" x14ac:dyDescent="0.2">
      <c r="A1227" s="3"/>
    </row>
    <row r="1228" spans="1:1" x14ac:dyDescent="0.2">
      <c r="A1228" s="3"/>
    </row>
    <row r="1229" spans="1:1" x14ac:dyDescent="0.2">
      <c r="A1229" s="3"/>
    </row>
    <row r="1230" spans="1:1" x14ac:dyDescent="0.2">
      <c r="A1230" s="3"/>
    </row>
    <row r="1231" spans="1:1" x14ac:dyDescent="0.2">
      <c r="A1231" s="3"/>
    </row>
    <row r="1232" spans="1:1" x14ac:dyDescent="0.2">
      <c r="A1232" s="3"/>
    </row>
    <row r="1233" spans="1:1" x14ac:dyDescent="0.2">
      <c r="A1233" s="3"/>
    </row>
    <row r="1234" spans="1:1" x14ac:dyDescent="0.2">
      <c r="A1234" s="3"/>
    </row>
    <row r="1235" spans="1:1" x14ac:dyDescent="0.2">
      <c r="A1235" s="3"/>
    </row>
    <row r="1236" spans="1:1" x14ac:dyDescent="0.2">
      <c r="A1236" s="3"/>
    </row>
    <row r="1237" spans="1:1" x14ac:dyDescent="0.2">
      <c r="A1237" s="3"/>
    </row>
    <row r="1238" spans="1:1" x14ac:dyDescent="0.2">
      <c r="A1238" s="3"/>
    </row>
    <row r="1239" spans="1:1" x14ac:dyDescent="0.2">
      <c r="A1239" s="3"/>
    </row>
    <row r="1240" spans="1:1" x14ac:dyDescent="0.2">
      <c r="A1240" s="3"/>
    </row>
    <row r="1241" spans="1:1" x14ac:dyDescent="0.2">
      <c r="A1241" s="3"/>
    </row>
    <row r="1242" spans="1:1" x14ac:dyDescent="0.2">
      <c r="A1242" s="3"/>
    </row>
    <row r="1243" spans="1:1" x14ac:dyDescent="0.2">
      <c r="A1243" s="3"/>
    </row>
    <row r="1244" spans="1:1" x14ac:dyDescent="0.2">
      <c r="A1244" s="3"/>
    </row>
    <row r="1245" spans="1:1" x14ac:dyDescent="0.2">
      <c r="A1245" s="3"/>
    </row>
    <row r="1246" spans="1:1" x14ac:dyDescent="0.2">
      <c r="A1246" s="3"/>
    </row>
    <row r="1247" spans="1:1" x14ac:dyDescent="0.2">
      <c r="A1247" s="3"/>
    </row>
    <row r="1248" spans="1:1" x14ac:dyDescent="0.2">
      <c r="A1248" s="3"/>
    </row>
    <row r="1249" spans="1:1" x14ac:dyDescent="0.2">
      <c r="A1249" s="3"/>
    </row>
    <row r="1250" spans="1:1" x14ac:dyDescent="0.2">
      <c r="A1250" s="3"/>
    </row>
    <row r="1251" spans="1:1" x14ac:dyDescent="0.2">
      <c r="A1251" s="3"/>
    </row>
    <row r="1252" spans="1:1" x14ac:dyDescent="0.2">
      <c r="A1252" s="3"/>
    </row>
    <row r="1253" spans="1:1" x14ac:dyDescent="0.2">
      <c r="A1253" s="3"/>
    </row>
    <row r="1254" spans="1:1" x14ac:dyDescent="0.2">
      <c r="A1254" s="3"/>
    </row>
    <row r="1255" spans="1:1" x14ac:dyDescent="0.2">
      <c r="A1255" s="3"/>
    </row>
    <row r="1256" spans="1:1" x14ac:dyDescent="0.2">
      <c r="A1256" s="3"/>
    </row>
    <row r="1257" spans="1:1" x14ac:dyDescent="0.2">
      <c r="A1257" s="3"/>
    </row>
    <row r="1258" spans="1:1" x14ac:dyDescent="0.2">
      <c r="A1258" s="3"/>
    </row>
    <row r="1259" spans="1:1" x14ac:dyDescent="0.2">
      <c r="A1259" s="3"/>
    </row>
    <row r="1260" spans="1:1" x14ac:dyDescent="0.2">
      <c r="A1260" s="3"/>
    </row>
    <row r="1261" spans="1:1" x14ac:dyDescent="0.2">
      <c r="A1261" s="3"/>
    </row>
    <row r="1262" spans="1:1" x14ac:dyDescent="0.2">
      <c r="A1262" s="3"/>
    </row>
    <row r="1263" spans="1:1" x14ac:dyDescent="0.2">
      <c r="A1263" s="3"/>
    </row>
    <row r="1264" spans="1:1" x14ac:dyDescent="0.2">
      <c r="A1264" s="3"/>
    </row>
    <row r="1265" spans="1:1" x14ac:dyDescent="0.2">
      <c r="A1265" s="3"/>
    </row>
    <row r="1266" spans="1:1" x14ac:dyDescent="0.2">
      <c r="A1266" s="3"/>
    </row>
    <row r="1267" spans="1:1" x14ac:dyDescent="0.2">
      <c r="A1267" s="3"/>
    </row>
    <row r="1268" spans="1:1" x14ac:dyDescent="0.2">
      <c r="A1268" s="3"/>
    </row>
    <row r="1269" spans="1:1" x14ac:dyDescent="0.2">
      <c r="A1269" s="3"/>
    </row>
    <row r="1270" spans="1:1" x14ac:dyDescent="0.2">
      <c r="A1270" s="3"/>
    </row>
    <row r="1271" spans="1:1" x14ac:dyDescent="0.2">
      <c r="A1271" s="3"/>
    </row>
    <row r="1272" spans="1:1" x14ac:dyDescent="0.2">
      <c r="A1272" s="3"/>
    </row>
    <row r="1273" spans="1:1" x14ac:dyDescent="0.2">
      <c r="A1273" s="3"/>
    </row>
    <row r="1274" spans="1:1" x14ac:dyDescent="0.2">
      <c r="A1274" s="3"/>
    </row>
    <row r="1275" spans="1:1" x14ac:dyDescent="0.2">
      <c r="A1275" s="3"/>
    </row>
    <row r="1276" spans="1:1" x14ac:dyDescent="0.2">
      <c r="A1276" s="3"/>
    </row>
    <row r="1277" spans="1:1" x14ac:dyDescent="0.2">
      <c r="A1277" s="3"/>
    </row>
    <row r="1278" spans="1:1" x14ac:dyDescent="0.2">
      <c r="A1278" s="3"/>
    </row>
    <row r="1279" spans="1:1" x14ac:dyDescent="0.2">
      <c r="A1279" s="3"/>
    </row>
    <row r="1280" spans="1:1" x14ac:dyDescent="0.2">
      <c r="A1280" s="3"/>
    </row>
    <row r="1281" spans="1:1" x14ac:dyDescent="0.2">
      <c r="A1281" s="3"/>
    </row>
    <row r="1282" spans="1:1" x14ac:dyDescent="0.2">
      <c r="A1282" s="3"/>
    </row>
    <row r="1283" spans="1:1" x14ac:dyDescent="0.2">
      <c r="A1283" s="3"/>
    </row>
    <row r="1284" spans="1:1" x14ac:dyDescent="0.2">
      <c r="A1284" s="3"/>
    </row>
    <row r="1285" spans="1:1" x14ac:dyDescent="0.2">
      <c r="A1285" s="3"/>
    </row>
    <row r="1286" spans="1:1" x14ac:dyDescent="0.2">
      <c r="A1286" s="3"/>
    </row>
    <row r="1287" spans="1:1" x14ac:dyDescent="0.2">
      <c r="A1287" s="3"/>
    </row>
    <row r="1288" spans="1:1" x14ac:dyDescent="0.2">
      <c r="A1288" s="3"/>
    </row>
    <row r="1289" spans="1:1" x14ac:dyDescent="0.2">
      <c r="A1289" s="3"/>
    </row>
    <row r="1290" spans="1:1" x14ac:dyDescent="0.2">
      <c r="A1290" s="3"/>
    </row>
    <row r="1291" spans="1:1" x14ac:dyDescent="0.2">
      <c r="A1291" s="3"/>
    </row>
    <row r="1292" spans="1:1" x14ac:dyDescent="0.2">
      <c r="A1292" s="3"/>
    </row>
    <row r="1293" spans="1:1" x14ac:dyDescent="0.2">
      <c r="A1293" s="3"/>
    </row>
    <row r="1294" spans="1:1" x14ac:dyDescent="0.2">
      <c r="A1294" s="3"/>
    </row>
    <row r="1295" spans="1:1" x14ac:dyDescent="0.2">
      <c r="A1295" s="3"/>
    </row>
    <row r="1296" spans="1:1" x14ac:dyDescent="0.2">
      <c r="A1296" s="3"/>
    </row>
    <row r="1297" spans="1:1" x14ac:dyDescent="0.2">
      <c r="A1297" s="3"/>
    </row>
    <row r="1298" spans="1:1" x14ac:dyDescent="0.2">
      <c r="A1298" s="3"/>
    </row>
    <row r="1299" spans="1:1" x14ac:dyDescent="0.2">
      <c r="A1299" s="3"/>
    </row>
    <row r="1300" spans="1:1" x14ac:dyDescent="0.2">
      <c r="A1300" s="3"/>
    </row>
    <row r="1301" spans="1:1" x14ac:dyDescent="0.2">
      <c r="A1301" s="3"/>
    </row>
    <row r="1302" spans="1:1" x14ac:dyDescent="0.2">
      <c r="A1302" s="3"/>
    </row>
    <row r="1303" spans="1:1" x14ac:dyDescent="0.2">
      <c r="A1303" s="3"/>
    </row>
    <row r="1304" spans="1:1" x14ac:dyDescent="0.2">
      <c r="A1304" s="3"/>
    </row>
    <row r="1305" spans="1:1" x14ac:dyDescent="0.2">
      <c r="A1305" s="3"/>
    </row>
    <row r="1306" spans="1:1" x14ac:dyDescent="0.2">
      <c r="A1306" s="3"/>
    </row>
    <row r="1307" spans="1:1" x14ac:dyDescent="0.2">
      <c r="A1307" s="3"/>
    </row>
    <row r="1308" spans="1:1" x14ac:dyDescent="0.2">
      <c r="A1308" s="3"/>
    </row>
    <row r="1309" spans="1:1" x14ac:dyDescent="0.2">
      <c r="A1309" s="3"/>
    </row>
    <row r="1310" spans="1:1" x14ac:dyDescent="0.2">
      <c r="A1310" s="3"/>
    </row>
    <row r="1311" spans="1:1" x14ac:dyDescent="0.2">
      <c r="A1311" s="3"/>
    </row>
    <row r="1312" spans="1:1" x14ac:dyDescent="0.2">
      <c r="A1312" s="3"/>
    </row>
    <row r="1313" spans="1:1" x14ac:dyDescent="0.2">
      <c r="A1313" s="3"/>
    </row>
    <row r="1314" spans="1:1" x14ac:dyDescent="0.2">
      <c r="A1314" s="3"/>
    </row>
    <row r="1315" spans="1:1" x14ac:dyDescent="0.2">
      <c r="A1315" s="3"/>
    </row>
    <row r="1316" spans="1:1" x14ac:dyDescent="0.2">
      <c r="A1316" s="3"/>
    </row>
    <row r="1317" spans="1:1" x14ac:dyDescent="0.2">
      <c r="A1317" s="3"/>
    </row>
    <row r="1318" spans="1:1" x14ac:dyDescent="0.2">
      <c r="A1318" s="3"/>
    </row>
    <row r="1319" spans="1:1" x14ac:dyDescent="0.2">
      <c r="A1319" s="3"/>
    </row>
    <row r="1320" spans="1:1" x14ac:dyDescent="0.2">
      <c r="A1320" s="3"/>
    </row>
    <row r="1321" spans="1:1" x14ac:dyDescent="0.2">
      <c r="A1321" s="3"/>
    </row>
    <row r="1322" spans="1:1" x14ac:dyDescent="0.2">
      <c r="A1322" s="3"/>
    </row>
    <row r="1323" spans="1:1" x14ac:dyDescent="0.2">
      <c r="A1323" s="3"/>
    </row>
    <row r="1324" spans="1:1" x14ac:dyDescent="0.2">
      <c r="A1324" s="3"/>
    </row>
    <row r="1325" spans="1:1" x14ac:dyDescent="0.2">
      <c r="A1325" s="3"/>
    </row>
    <row r="1326" spans="1:1" x14ac:dyDescent="0.2">
      <c r="A1326" s="3"/>
    </row>
    <row r="1327" spans="1:1" x14ac:dyDescent="0.2">
      <c r="A1327" s="3"/>
    </row>
    <row r="1328" spans="1:1" x14ac:dyDescent="0.2">
      <c r="A1328" s="3"/>
    </row>
    <row r="1329" spans="1:1" x14ac:dyDescent="0.2">
      <c r="A1329" s="3"/>
    </row>
    <row r="1330" spans="1:1" x14ac:dyDescent="0.2">
      <c r="A1330" s="3"/>
    </row>
    <row r="1331" spans="1:1" x14ac:dyDescent="0.2">
      <c r="A1331" s="3"/>
    </row>
    <row r="1332" spans="1:1" x14ac:dyDescent="0.2">
      <c r="A1332" s="3"/>
    </row>
    <row r="1333" spans="1:1" x14ac:dyDescent="0.2">
      <c r="A1333" s="3"/>
    </row>
    <row r="1334" spans="1:1" x14ac:dyDescent="0.2">
      <c r="A1334" s="3"/>
    </row>
    <row r="1335" spans="1:1" x14ac:dyDescent="0.2">
      <c r="A1335" s="3"/>
    </row>
    <row r="1336" spans="1:1" x14ac:dyDescent="0.2">
      <c r="A1336" s="3"/>
    </row>
    <row r="1337" spans="1:1" x14ac:dyDescent="0.2">
      <c r="A1337" s="3"/>
    </row>
    <row r="1338" spans="1:1" x14ac:dyDescent="0.2">
      <c r="A1338" s="3"/>
    </row>
    <row r="1339" spans="1:1" x14ac:dyDescent="0.2">
      <c r="A1339" s="3"/>
    </row>
    <row r="1340" spans="1:1" x14ac:dyDescent="0.2">
      <c r="A1340" s="3"/>
    </row>
    <row r="1341" spans="1:1" x14ac:dyDescent="0.2">
      <c r="A1341" s="3"/>
    </row>
    <row r="1342" spans="1:1" x14ac:dyDescent="0.2">
      <c r="A1342" s="3"/>
    </row>
    <row r="1343" spans="1:1" x14ac:dyDescent="0.2">
      <c r="A1343" s="3"/>
    </row>
    <row r="1344" spans="1:1" x14ac:dyDescent="0.2">
      <c r="A1344" s="3"/>
    </row>
    <row r="1345" spans="1:1" x14ac:dyDescent="0.2">
      <c r="A1345" s="3"/>
    </row>
    <row r="1346" spans="1:1" x14ac:dyDescent="0.2">
      <c r="A1346" s="3"/>
    </row>
    <row r="1347" spans="1:1" x14ac:dyDescent="0.2">
      <c r="A1347" s="3"/>
    </row>
    <row r="1348" spans="1:1" x14ac:dyDescent="0.2">
      <c r="A1348" s="3"/>
    </row>
    <row r="1349" spans="1:1" x14ac:dyDescent="0.2">
      <c r="A1349" s="3"/>
    </row>
    <row r="1350" spans="1:1" x14ac:dyDescent="0.2">
      <c r="A1350" s="3"/>
    </row>
    <row r="1351" spans="1:1" x14ac:dyDescent="0.2">
      <c r="A1351" s="3"/>
    </row>
    <row r="1352" spans="1:1" x14ac:dyDescent="0.2">
      <c r="A1352" s="3"/>
    </row>
    <row r="1353" spans="1:1" x14ac:dyDescent="0.2">
      <c r="A1353" s="3"/>
    </row>
    <row r="1354" spans="1:1" x14ac:dyDescent="0.2">
      <c r="A1354" s="3"/>
    </row>
    <row r="1355" spans="1:1" x14ac:dyDescent="0.2">
      <c r="A1355" s="3"/>
    </row>
    <row r="1356" spans="1:1" x14ac:dyDescent="0.2">
      <c r="A1356" s="3"/>
    </row>
    <row r="1357" spans="1:1" x14ac:dyDescent="0.2">
      <c r="A1357" s="3"/>
    </row>
    <row r="1358" spans="1:1" x14ac:dyDescent="0.2">
      <c r="A1358" s="3"/>
    </row>
    <row r="1359" spans="1:1" x14ac:dyDescent="0.2">
      <c r="A1359" s="3"/>
    </row>
    <row r="1360" spans="1:1" x14ac:dyDescent="0.2">
      <c r="A1360" s="3"/>
    </row>
    <row r="1361" spans="1:1" x14ac:dyDescent="0.2">
      <c r="A1361" s="3"/>
    </row>
    <row r="1362" spans="1:1" x14ac:dyDescent="0.2">
      <c r="A1362" s="3"/>
    </row>
    <row r="1363" spans="1:1" x14ac:dyDescent="0.2">
      <c r="A1363" s="3"/>
    </row>
    <row r="1364" spans="1:1" x14ac:dyDescent="0.2">
      <c r="A1364" s="3"/>
    </row>
    <row r="1365" spans="1:1" x14ac:dyDescent="0.2">
      <c r="A1365" s="3"/>
    </row>
    <row r="1366" spans="1:1" x14ac:dyDescent="0.2">
      <c r="A1366" s="3"/>
    </row>
    <row r="1367" spans="1:1" x14ac:dyDescent="0.2">
      <c r="A1367" s="3"/>
    </row>
    <row r="1368" spans="1:1" x14ac:dyDescent="0.2">
      <c r="A1368" s="3"/>
    </row>
    <row r="1369" spans="1:1" x14ac:dyDescent="0.2">
      <c r="A1369" s="3"/>
    </row>
    <row r="1370" spans="1:1" x14ac:dyDescent="0.2">
      <c r="A1370" s="3"/>
    </row>
    <row r="1371" spans="1:1" x14ac:dyDescent="0.2">
      <c r="A1371" s="3"/>
    </row>
    <row r="1372" spans="1:1" x14ac:dyDescent="0.2">
      <c r="A1372" s="3"/>
    </row>
    <row r="1373" spans="1:1" x14ac:dyDescent="0.2">
      <c r="A1373" s="3"/>
    </row>
    <row r="1374" spans="1:1" x14ac:dyDescent="0.2">
      <c r="A1374" s="3"/>
    </row>
    <row r="1375" spans="1:1" x14ac:dyDescent="0.2">
      <c r="A1375" s="3"/>
    </row>
    <row r="1376" spans="1:1" x14ac:dyDescent="0.2">
      <c r="A1376" s="3"/>
    </row>
    <row r="1377" spans="1:1" x14ac:dyDescent="0.2">
      <c r="A1377" s="3"/>
    </row>
    <row r="1378" spans="1:1" x14ac:dyDescent="0.2">
      <c r="A1378" s="3"/>
    </row>
    <row r="1379" spans="1:1" x14ac:dyDescent="0.2">
      <c r="A1379" s="3"/>
    </row>
    <row r="1380" spans="1:1" x14ac:dyDescent="0.2">
      <c r="A1380" s="3"/>
    </row>
    <row r="1381" spans="1:1" x14ac:dyDescent="0.2">
      <c r="A1381" s="3"/>
    </row>
    <row r="1382" spans="1:1" x14ac:dyDescent="0.2">
      <c r="A1382" s="3"/>
    </row>
    <row r="1383" spans="1:1" x14ac:dyDescent="0.2">
      <c r="A1383" s="3"/>
    </row>
    <row r="1384" spans="1:1" x14ac:dyDescent="0.2">
      <c r="A1384" s="3"/>
    </row>
    <row r="1385" spans="1:1" x14ac:dyDescent="0.2">
      <c r="A1385" s="3"/>
    </row>
    <row r="1386" spans="1:1" x14ac:dyDescent="0.2">
      <c r="A1386" s="3"/>
    </row>
    <row r="1387" spans="1:1" x14ac:dyDescent="0.2">
      <c r="A1387" s="3"/>
    </row>
    <row r="1388" spans="1:1" x14ac:dyDescent="0.2">
      <c r="A1388" s="3"/>
    </row>
    <row r="1389" spans="1:1" x14ac:dyDescent="0.2">
      <c r="A1389" s="3"/>
    </row>
    <row r="1390" spans="1:1" x14ac:dyDescent="0.2">
      <c r="A1390" s="3"/>
    </row>
    <row r="1391" spans="1:1" x14ac:dyDescent="0.2">
      <c r="A1391" s="3"/>
    </row>
    <row r="1392" spans="1:1" x14ac:dyDescent="0.2">
      <c r="A1392" s="3"/>
    </row>
    <row r="1393" spans="1:1" x14ac:dyDescent="0.2">
      <c r="A1393" s="3"/>
    </row>
    <row r="1394" spans="1:1" x14ac:dyDescent="0.2">
      <c r="A1394" s="3"/>
    </row>
    <row r="1395" spans="1:1" x14ac:dyDescent="0.2">
      <c r="A1395" s="3"/>
    </row>
    <row r="1396" spans="1:1" x14ac:dyDescent="0.2">
      <c r="A1396" s="3"/>
    </row>
    <row r="1397" spans="1:1" x14ac:dyDescent="0.2">
      <c r="A1397" s="3"/>
    </row>
    <row r="1398" spans="1:1" x14ac:dyDescent="0.2">
      <c r="A1398" s="3"/>
    </row>
    <row r="1399" spans="1:1" x14ac:dyDescent="0.2">
      <c r="A1399" s="3"/>
    </row>
    <row r="1400" spans="1:1" x14ac:dyDescent="0.2">
      <c r="A1400" s="3"/>
    </row>
    <row r="1401" spans="1:1" x14ac:dyDescent="0.2">
      <c r="A1401" s="3"/>
    </row>
    <row r="1402" spans="1:1" x14ac:dyDescent="0.2">
      <c r="A1402" s="3"/>
    </row>
    <row r="1403" spans="1:1" x14ac:dyDescent="0.2">
      <c r="A1403" s="3"/>
    </row>
    <row r="1404" spans="1:1" x14ac:dyDescent="0.2">
      <c r="A1404" s="3"/>
    </row>
    <row r="1405" spans="1:1" x14ac:dyDescent="0.2">
      <c r="A1405" s="3"/>
    </row>
    <row r="1406" spans="1:1" x14ac:dyDescent="0.2">
      <c r="A1406" s="3"/>
    </row>
    <row r="1407" spans="1:1" x14ac:dyDescent="0.2">
      <c r="A1407" s="3"/>
    </row>
    <row r="1408" spans="1:1" x14ac:dyDescent="0.2">
      <c r="A1408" s="3"/>
    </row>
    <row r="1409" spans="1:1" x14ac:dyDescent="0.2">
      <c r="A1409" s="3"/>
    </row>
    <row r="1410" spans="1:1" x14ac:dyDescent="0.2">
      <c r="A1410" s="3"/>
    </row>
    <row r="1411" spans="1:1" x14ac:dyDescent="0.2">
      <c r="A1411" s="3"/>
    </row>
    <row r="1412" spans="1:1" x14ac:dyDescent="0.2">
      <c r="A1412" s="3"/>
    </row>
    <row r="1413" spans="1:1" x14ac:dyDescent="0.2">
      <c r="A1413" s="3"/>
    </row>
    <row r="1414" spans="1:1" x14ac:dyDescent="0.2">
      <c r="A1414" s="3"/>
    </row>
    <row r="1415" spans="1:1" x14ac:dyDescent="0.2">
      <c r="A1415" s="3"/>
    </row>
    <row r="1416" spans="1:1" x14ac:dyDescent="0.2">
      <c r="A1416" s="3"/>
    </row>
    <row r="1417" spans="1:1" x14ac:dyDescent="0.2">
      <c r="A1417" s="3"/>
    </row>
    <row r="1418" spans="1:1" x14ac:dyDescent="0.2">
      <c r="A1418" s="3"/>
    </row>
    <row r="1419" spans="1:1" x14ac:dyDescent="0.2">
      <c r="A1419" s="3"/>
    </row>
    <row r="1420" spans="1:1" x14ac:dyDescent="0.2">
      <c r="A1420" s="3"/>
    </row>
    <row r="1421" spans="1:1" x14ac:dyDescent="0.2">
      <c r="A1421" s="3"/>
    </row>
    <row r="1422" spans="1:1" x14ac:dyDescent="0.2">
      <c r="A1422" s="3"/>
    </row>
    <row r="1423" spans="1:1" x14ac:dyDescent="0.2">
      <c r="A1423" s="3"/>
    </row>
    <row r="1424" spans="1:1" x14ac:dyDescent="0.2">
      <c r="A1424" s="3"/>
    </row>
    <row r="1425" spans="1:1" x14ac:dyDescent="0.2">
      <c r="A1425" s="3"/>
    </row>
    <row r="1426" spans="1:1" x14ac:dyDescent="0.2">
      <c r="A1426" s="3"/>
    </row>
    <row r="1427" spans="1:1" x14ac:dyDescent="0.2">
      <c r="A1427" s="3"/>
    </row>
    <row r="1428" spans="1:1" x14ac:dyDescent="0.2">
      <c r="A1428" s="3"/>
    </row>
    <row r="1429" spans="1:1" x14ac:dyDescent="0.2">
      <c r="A1429" s="3"/>
    </row>
    <row r="1430" spans="1:1" x14ac:dyDescent="0.2">
      <c r="A1430" s="3"/>
    </row>
    <row r="1431" spans="1:1" x14ac:dyDescent="0.2">
      <c r="A1431" s="3"/>
    </row>
    <row r="1432" spans="1:1" x14ac:dyDescent="0.2">
      <c r="A1432" s="3"/>
    </row>
    <row r="1433" spans="1:1" x14ac:dyDescent="0.2">
      <c r="A1433" s="3"/>
    </row>
    <row r="1434" spans="1:1" x14ac:dyDescent="0.2">
      <c r="A1434" s="3"/>
    </row>
    <row r="1435" spans="1:1" x14ac:dyDescent="0.2">
      <c r="A1435" s="3"/>
    </row>
    <row r="1436" spans="1:1" x14ac:dyDescent="0.2">
      <c r="A1436" s="3"/>
    </row>
    <row r="1437" spans="1:1" x14ac:dyDescent="0.2">
      <c r="A1437" s="3"/>
    </row>
    <row r="1438" spans="1:1" x14ac:dyDescent="0.2">
      <c r="A1438" s="3"/>
    </row>
    <row r="1439" spans="1:1" x14ac:dyDescent="0.2">
      <c r="A1439" s="3"/>
    </row>
    <row r="1440" spans="1:1" x14ac:dyDescent="0.2">
      <c r="A1440" s="3"/>
    </row>
    <row r="1441" spans="1:1" x14ac:dyDescent="0.2">
      <c r="A1441" s="3"/>
    </row>
    <row r="1442" spans="1:1" x14ac:dyDescent="0.2">
      <c r="A1442" s="3"/>
    </row>
    <row r="1443" spans="1:1" x14ac:dyDescent="0.2">
      <c r="A1443" s="3"/>
    </row>
    <row r="1444" spans="1:1" x14ac:dyDescent="0.2">
      <c r="A1444" s="3"/>
    </row>
    <row r="1445" spans="1:1" x14ac:dyDescent="0.2">
      <c r="A1445" s="3"/>
    </row>
    <row r="1446" spans="1:1" x14ac:dyDescent="0.2">
      <c r="A1446" s="3"/>
    </row>
    <row r="1447" spans="1:1" x14ac:dyDescent="0.2">
      <c r="A1447" s="3"/>
    </row>
    <row r="1448" spans="1:1" x14ac:dyDescent="0.2">
      <c r="A1448" s="3"/>
    </row>
    <row r="1449" spans="1:1" x14ac:dyDescent="0.2">
      <c r="A1449" s="3"/>
    </row>
    <row r="1450" spans="1:1" x14ac:dyDescent="0.2">
      <c r="A1450" s="3"/>
    </row>
    <row r="1451" spans="1:1" x14ac:dyDescent="0.2">
      <c r="A1451" s="3"/>
    </row>
    <row r="1452" spans="1:1" x14ac:dyDescent="0.2">
      <c r="A1452" s="3"/>
    </row>
    <row r="1453" spans="1:1" x14ac:dyDescent="0.2">
      <c r="A1453" s="3"/>
    </row>
    <row r="1454" spans="1:1" x14ac:dyDescent="0.2">
      <c r="A1454" s="3"/>
    </row>
    <row r="1455" spans="1:1" x14ac:dyDescent="0.2">
      <c r="A1455" s="3"/>
    </row>
    <row r="1456" spans="1:1" x14ac:dyDescent="0.2">
      <c r="A1456" s="3"/>
    </row>
    <row r="1457" spans="1:1" x14ac:dyDescent="0.2">
      <c r="A1457" s="3"/>
    </row>
    <row r="1458" spans="1:1" x14ac:dyDescent="0.2">
      <c r="A1458" s="3"/>
    </row>
    <row r="1459" spans="1:1" x14ac:dyDescent="0.2">
      <c r="A1459" s="3"/>
    </row>
    <row r="1460" spans="1:1" x14ac:dyDescent="0.2">
      <c r="A1460" s="3"/>
    </row>
    <row r="1461" spans="1:1" x14ac:dyDescent="0.2">
      <c r="A1461" s="3"/>
    </row>
    <row r="1462" spans="1:1" x14ac:dyDescent="0.2">
      <c r="A1462" s="3"/>
    </row>
    <row r="1463" spans="1:1" x14ac:dyDescent="0.2">
      <c r="A1463" s="3"/>
    </row>
    <row r="1464" spans="1:1" x14ac:dyDescent="0.2">
      <c r="A1464" s="3"/>
    </row>
    <row r="1465" spans="1:1" x14ac:dyDescent="0.2">
      <c r="A1465" s="3"/>
    </row>
    <row r="1466" spans="1:1" x14ac:dyDescent="0.2">
      <c r="A1466" s="3"/>
    </row>
    <row r="1467" spans="1:1" x14ac:dyDescent="0.2">
      <c r="A1467" s="3"/>
    </row>
    <row r="1468" spans="1:1" x14ac:dyDescent="0.2">
      <c r="A1468" s="3"/>
    </row>
    <row r="1469" spans="1:1" x14ac:dyDescent="0.2">
      <c r="A1469" s="3"/>
    </row>
    <row r="1470" spans="1:1" x14ac:dyDescent="0.2">
      <c r="A1470" s="3"/>
    </row>
    <row r="1471" spans="1:1" x14ac:dyDescent="0.2">
      <c r="A1471" s="3"/>
    </row>
    <row r="1472" spans="1:1" x14ac:dyDescent="0.2">
      <c r="A1472" s="3"/>
    </row>
    <row r="1473" spans="1:1" x14ac:dyDescent="0.2">
      <c r="A1473" s="3"/>
    </row>
    <row r="1474" spans="1:1" x14ac:dyDescent="0.2">
      <c r="A1474" s="3"/>
    </row>
    <row r="1475" spans="1:1" x14ac:dyDescent="0.2">
      <c r="A1475" s="3"/>
    </row>
    <row r="1476" spans="1:1" x14ac:dyDescent="0.2">
      <c r="A1476" s="3"/>
    </row>
    <row r="1477" spans="1:1" x14ac:dyDescent="0.2">
      <c r="A1477" s="3"/>
    </row>
    <row r="1478" spans="1:1" x14ac:dyDescent="0.2">
      <c r="A1478" s="3"/>
    </row>
    <row r="1479" spans="1:1" x14ac:dyDescent="0.2">
      <c r="A1479" s="3"/>
    </row>
    <row r="1480" spans="1:1" x14ac:dyDescent="0.2">
      <c r="A1480" s="3"/>
    </row>
    <row r="1481" spans="1:1" x14ac:dyDescent="0.2">
      <c r="A1481" s="3"/>
    </row>
    <row r="1482" spans="1:1" x14ac:dyDescent="0.2">
      <c r="A1482" s="3"/>
    </row>
    <row r="1483" spans="1:1" x14ac:dyDescent="0.2">
      <c r="A1483" s="3"/>
    </row>
    <row r="1484" spans="1:1" x14ac:dyDescent="0.2">
      <c r="A1484" s="3"/>
    </row>
    <row r="1485" spans="1:1" x14ac:dyDescent="0.2">
      <c r="A1485" s="3"/>
    </row>
    <row r="1486" spans="1:1" x14ac:dyDescent="0.2">
      <c r="A1486" s="3"/>
    </row>
    <row r="1487" spans="1:1" x14ac:dyDescent="0.2">
      <c r="A1487" s="3"/>
    </row>
    <row r="1488" spans="1:1" x14ac:dyDescent="0.2">
      <c r="A1488" s="3"/>
    </row>
    <row r="1489" spans="1:1" x14ac:dyDescent="0.2">
      <c r="A1489" s="3"/>
    </row>
    <row r="1490" spans="1:1" x14ac:dyDescent="0.2">
      <c r="A1490" s="3"/>
    </row>
    <row r="1491" spans="1:1" x14ac:dyDescent="0.2">
      <c r="A1491" s="3"/>
    </row>
    <row r="1492" spans="1:1" x14ac:dyDescent="0.2">
      <c r="A1492" s="3"/>
    </row>
    <row r="1493" spans="1:1" x14ac:dyDescent="0.2">
      <c r="A1493" s="3"/>
    </row>
    <row r="1494" spans="1:1" x14ac:dyDescent="0.2">
      <c r="A1494" s="3"/>
    </row>
    <row r="1495" spans="1:1" x14ac:dyDescent="0.2">
      <c r="A1495" s="3"/>
    </row>
    <row r="1496" spans="1:1" x14ac:dyDescent="0.2">
      <c r="A1496" s="3"/>
    </row>
    <row r="1497" spans="1:1" x14ac:dyDescent="0.2">
      <c r="A1497" s="3"/>
    </row>
    <row r="1498" spans="1:1" x14ac:dyDescent="0.2">
      <c r="A1498" s="3"/>
    </row>
    <row r="1499" spans="1:1" x14ac:dyDescent="0.2">
      <c r="A1499" s="3"/>
    </row>
    <row r="1500" spans="1:1" x14ac:dyDescent="0.2">
      <c r="A1500" s="3"/>
    </row>
    <row r="1501" spans="1:1" x14ac:dyDescent="0.2">
      <c r="A1501" s="3"/>
    </row>
    <row r="1502" spans="1:1" x14ac:dyDescent="0.2">
      <c r="A1502" s="3"/>
    </row>
    <row r="1503" spans="1:1" x14ac:dyDescent="0.2">
      <c r="A1503" s="3"/>
    </row>
    <row r="1504" spans="1:1" x14ac:dyDescent="0.2">
      <c r="A1504" s="3"/>
    </row>
    <row r="1505" spans="1:1" x14ac:dyDescent="0.2">
      <c r="A1505" s="3"/>
    </row>
    <row r="1506" spans="1:1" x14ac:dyDescent="0.2">
      <c r="A1506" s="3"/>
    </row>
    <row r="1507" spans="1:1" x14ac:dyDescent="0.2">
      <c r="A1507" s="3"/>
    </row>
    <row r="1508" spans="1:1" x14ac:dyDescent="0.2">
      <c r="A1508" s="3"/>
    </row>
    <row r="1509" spans="1:1" x14ac:dyDescent="0.2">
      <c r="A1509" s="3"/>
    </row>
    <row r="1510" spans="1:1" x14ac:dyDescent="0.2">
      <c r="A1510" s="3"/>
    </row>
    <row r="1511" spans="1:1" x14ac:dyDescent="0.2">
      <c r="A1511" s="3"/>
    </row>
    <row r="1512" spans="1:1" x14ac:dyDescent="0.2">
      <c r="A1512" s="3"/>
    </row>
    <row r="1513" spans="1:1" x14ac:dyDescent="0.2">
      <c r="A1513" s="3"/>
    </row>
    <row r="1514" spans="1:1" x14ac:dyDescent="0.2">
      <c r="A1514" s="3"/>
    </row>
    <row r="1515" spans="1:1" x14ac:dyDescent="0.2">
      <c r="A1515" s="3"/>
    </row>
    <row r="1516" spans="1:1" x14ac:dyDescent="0.2">
      <c r="A1516" s="3"/>
    </row>
    <row r="1517" spans="1:1" x14ac:dyDescent="0.2">
      <c r="A1517" s="3"/>
    </row>
    <row r="1518" spans="1:1" x14ac:dyDescent="0.2">
      <c r="A1518" s="3"/>
    </row>
    <row r="1519" spans="1:1" x14ac:dyDescent="0.2">
      <c r="A1519" s="3"/>
    </row>
    <row r="1520" spans="1:1" x14ac:dyDescent="0.2">
      <c r="A1520" s="3"/>
    </row>
    <row r="1521" spans="1:1" x14ac:dyDescent="0.2">
      <c r="A1521" s="3"/>
    </row>
    <row r="1522" spans="1:1" x14ac:dyDescent="0.2">
      <c r="A1522" s="3"/>
    </row>
    <row r="1523" spans="1:1" x14ac:dyDescent="0.2">
      <c r="A1523" s="3"/>
    </row>
    <row r="1524" spans="1:1" x14ac:dyDescent="0.2">
      <c r="A1524" s="3"/>
    </row>
    <row r="1525" spans="1:1" x14ac:dyDescent="0.2">
      <c r="A1525" s="3"/>
    </row>
    <row r="1526" spans="1:1" x14ac:dyDescent="0.2">
      <c r="A1526" s="3"/>
    </row>
    <row r="1527" spans="1:1" x14ac:dyDescent="0.2">
      <c r="A1527" s="3"/>
    </row>
    <row r="1528" spans="1:1" x14ac:dyDescent="0.2">
      <c r="A1528" s="3"/>
    </row>
    <row r="1529" spans="1:1" x14ac:dyDescent="0.2">
      <c r="A1529" s="3"/>
    </row>
    <row r="1530" spans="1:1" x14ac:dyDescent="0.2">
      <c r="A1530" s="3"/>
    </row>
    <row r="1531" spans="1:1" x14ac:dyDescent="0.2">
      <c r="A1531" s="3"/>
    </row>
    <row r="1532" spans="1:1" x14ac:dyDescent="0.2">
      <c r="A1532" s="3"/>
    </row>
    <row r="1533" spans="1:1" x14ac:dyDescent="0.2">
      <c r="A1533" s="3"/>
    </row>
    <row r="1534" spans="1:1" x14ac:dyDescent="0.2">
      <c r="A1534" s="3"/>
    </row>
    <row r="1535" spans="1:1" x14ac:dyDescent="0.2">
      <c r="A1535" s="3"/>
    </row>
    <row r="1536" spans="1:1" x14ac:dyDescent="0.2">
      <c r="A1536" s="3"/>
    </row>
    <row r="1537" spans="1:1" x14ac:dyDescent="0.2">
      <c r="A1537" s="3"/>
    </row>
    <row r="1538" spans="1:1" x14ac:dyDescent="0.2">
      <c r="A1538" s="3"/>
    </row>
    <row r="1539" spans="1:1" x14ac:dyDescent="0.2">
      <c r="A1539" s="3"/>
    </row>
    <row r="1540" spans="1:1" x14ac:dyDescent="0.2">
      <c r="A1540" s="3"/>
    </row>
    <row r="1541" spans="1:1" x14ac:dyDescent="0.2">
      <c r="A1541" s="3"/>
    </row>
    <row r="1542" spans="1:1" x14ac:dyDescent="0.2">
      <c r="A1542" s="3"/>
    </row>
    <row r="1543" spans="1:1" x14ac:dyDescent="0.2">
      <c r="A1543" s="3"/>
    </row>
    <row r="1544" spans="1:1" x14ac:dyDescent="0.2">
      <c r="A1544" s="3"/>
    </row>
    <row r="1545" spans="1:1" x14ac:dyDescent="0.2">
      <c r="A1545" s="3"/>
    </row>
    <row r="1546" spans="1:1" x14ac:dyDescent="0.2">
      <c r="A1546" s="3"/>
    </row>
    <row r="1547" spans="1:1" x14ac:dyDescent="0.2">
      <c r="A1547" s="3"/>
    </row>
    <row r="1548" spans="1:1" x14ac:dyDescent="0.2">
      <c r="A1548" s="3"/>
    </row>
    <row r="1549" spans="1:1" x14ac:dyDescent="0.2">
      <c r="A1549" s="3"/>
    </row>
    <row r="1550" spans="1:1" x14ac:dyDescent="0.2">
      <c r="A1550" s="3"/>
    </row>
    <row r="1551" spans="1:1" x14ac:dyDescent="0.2">
      <c r="A1551" s="3"/>
    </row>
    <row r="1552" spans="1:1" x14ac:dyDescent="0.2">
      <c r="A1552" s="3"/>
    </row>
    <row r="1553" spans="1:1" x14ac:dyDescent="0.2">
      <c r="A1553" s="3"/>
    </row>
    <row r="1554" spans="1:1" x14ac:dyDescent="0.2">
      <c r="A1554" s="3"/>
    </row>
    <row r="1555" spans="1:1" x14ac:dyDescent="0.2">
      <c r="A1555" s="3"/>
    </row>
    <row r="1556" spans="1:1" x14ac:dyDescent="0.2">
      <c r="A1556" s="3"/>
    </row>
    <row r="1557" spans="1:1" x14ac:dyDescent="0.2">
      <c r="A1557" s="3"/>
    </row>
    <row r="1558" spans="1:1" x14ac:dyDescent="0.2">
      <c r="A1558" s="3"/>
    </row>
    <row r="1559" spans="1:1" x14ac:dyDescent="0.2">
      <c r="A1559" s="3"/>
    </row>
    <row r="1560" spans="1:1" x14ac:dyDescent="0.2">
      <c r="A1560" s="3"/>
    </row>
    <row r="1561" spans="1:1" x14ac:dyDescent="0.2">
      <c r="A1561" s="3"/>
    </row>
    <row r="1562" spans="1:1" x14ac:dyDescent="0.2">
      <c r="A1562" s="3"/>
    </row>
    <row r="1563" spans="1:1" x14ac:dyDescent="0.2">
      <c r="A1563" s="3"/>
    </row>
    <row r="1564" spans="1:1" x14ac:dyDescent="0.2">
      <c r="A1564" s="3"/>
    </row>
    <row r="1565" spans="1:1" x14ac:dyDescent="0.2">
      <c r="A1565" s="3"/>
    </row>
    <row r="1566" spans="1:1" x14ac:dyDescent="0.2">
      <c r="A1566" s="3"/>
    </row>
    <row r="1567" spans="1:1" x14ac:dyDescent="0.2">
      <c r="A1567" s="3"/>
    </row>
    <row r="1568" spans="1:1" x14ac:dyDescent="0.2">
      <c r="A1568" s="3"/>
    </row>
    <row r="1569" spans="1:1" x14ac:dyDescent="0.2">
      <c r="A1569" s="3"/>
    </row>
    <row r="1570" spans="1:1" x14ac:dyDescent="0.2">
      <c r="A1570" s="3"/>
    </row>
    <row r="1571" spans="1:1" x14ac:dyDescent="0.2">
      <c r="A1571" s="3"/>
    </row>
    <row r="1572" spans="1:1" x14ac:dyDescent="0.2">
      <c r="A1572" s="3"/>
    </row>
    <row r="1573" spans="1:1" x14ac:dyDescent="0.2">
      <c r="A1573" s="3"/>
    </row>
    <row r="1574" spans="1:1" x14ac:dyDescent="0.2">
      <c r="A1574" s="3"/>
    </row>
    <row r="1575" spans="1:1" x14ac:dyDescent="0.2">
      <c r="A1575" s="3"/>
    </row>
    <row r="1576" spans="1:1" x14ac:dyDescent="0.2">
      <c r="A1576" s="3"/>
    </row>
    <row r="1577" spans="1:1" x14ac:dyDescent="0.2">
      <c r="A1577" s="3"/>
    </row>
    <row r="1578" spans="1:1" x14ac:dyDescent="0.2">
      <c r="A1578" s="3"/>
    </row>
    <row r="1579" spans="1:1" x14ac:dyDescent="0.2">
      <c r="A1579" s="3"/>
    </row>
    <row r="1580" spans="1:1" x14ac:dyDescent="0.2">
      <c r="A1580" s="3"/>
    </row>
    <row r="1581" spans="1:1" x14ac:dyDescent="0.2">
      <c r="A1581" s="3"/>
    </row>
    <row r="1582" spans="1:1" x14ac:dyDescent="0.2">
      <c r="A1582" s="3"/>
    </row>
    <row r="1583" spans="1:1" x14ac:dyDescent="0.2">
      <c r="A1583" s="3"/>
    </row>
    <row r="1584" spans="1:1" x14ac:dyDescent="0.2">
      <c r="A1584" s="3"/>
    </row>
    <row r="1585" spans="1:1" x14ac:dyDescent="0.2">
      <c r="A1585" s="3"/>
    </row>
    <row r="1586" spans="1:1" x14ac:dyDescent="0.2">
      <c r="A1586" s="3"/>
    </row>
    <row r="1587" spans="1:1" x14ac:dyDescent="0.2">
      <c r="A1587" s="3"/>
    </row>
    <row r="1588" spans="1:1" x14ac:dyDescent="0.2">
      <c r="A1588" s="3"/>
    </row>
    <row r="1589" spans="1:1" x14ac:dyDescent="0.2">
      <c r="A1589" s="3"/>
    </row>
    <row r="1590" spans="1:1" x14ac:dyDescent="0.2">
      <c r="A1590" s="3"/>
    </row>
    <row r="1591" spans="1:1" x14ac:dyDescent="0.2">
      <c r="A1591" s="3"/>
    </row>
    <row r="1592" spans="1:1" x14ac:dyDescent="0.2">
      <c r="A1592" s="3"/>
    </row>
    <row r="1593" spans="1:1" x14ac:dyDescent="0.2">
      <c r="A1593" s="3"/>
    </row>
    <row r="1594" spans="1:1" x14ac:dyDescent="0.2">
      <c r="A1594" s="3"/>
    </row>
    <row r="1595" spans="1:1" x14ac:dyDescent="0.2">
      <c r="A1595" s="3"/>
    </row>
    <row r="1596" spans="1:1" x14ac:dyDescent="0.2">
      <c r="A1596" s="3"/>
    </row>
    <row r="1597" spans="1:1" x14ac:dyDescent="0.2">
      <c r="A1597" s="3"/>
    </row>
    <row r="1598" spans="1:1" x14ac:dyDescent="0.2">
      <c r="A1598" s="3"/>
    </row>
    <row r="1599" spans="1:1" x14ac:dyDescent="0.2">
      <c r="A1599" s="3"/>
    </row>
    <row r="1600" spans="1:1" x14ac:dyDescent="0.2">
      <c r="A1600" s="3"/>
    </row>
    <row r="1601" spans="1:1" x14ac:dyDescent="0.2">
      <c r="A1601" s="3"/>
    </row>
    <row r="1602" spans="1:1" x14ac:dyDescent="0.2">
      <c r="A1602" s="3"/>
    </row>
    <row r="1603" spans="1:1" x14ac:dyDescent="0.2">
      <c r="A1603" s="3"/>
    </row>
    <row r="1604" spans="1:1" x14ac:dyDescent="0.2">
      <c r="A1604" s="3"/>
    </row>
    <row r="1605" spans="1:1" x14ac:dyDescent="0.2">
      <c r="A1605" s="3"/>
    </row>
    <row r="1606" spans="1:1" x14ac:dyDescent="0.2">
      <c r="A1606" s="3"/>
    </row>
    <row r="1607" spans="1:1" x14ac:dyDescent="0.2">
      <c r="A1607" s="3"/>
    </row>
    <row r="1608" spans="1:1" x14ac:dyDescent="0.2">
      <c r="A1608" s="3"/>
    </row>
    <row r="1609" spans="1:1" x14ac:dyDescent="0.2">
      <c r="A1609" s="3"/>
    </row>
    <row r="1610" spans="1:1" x14ac:dyDescent="0.2">
      <c r="A1610" s="3"/>
    </row>
    <row r="1611" spans="1:1" x14ac:dyDescent="0.2">
      <c r="A1611" s="3"/>
    </row>
    <row r="1612" spans="1:1" x14ac:dyDescent="0.2">
      <c r="A1612" s="3"/>
    </row>
    <row r="1613" spans="1:1" x14ac:dyDescent="0.2">
      <c r="A1613" s="3"/>
    </row>
    <row r="1614" spans="1:1" x14ac:dyDescent="0.2">
      <c r="A1614" s="3"/>
    </row>
    <row r="1615" spans="1:1" x14ac:dyDescent="0.2">
      <c r="A1615" s="3"/>
    </row>
    <row r="1616" spans="1:1" x14ac:dyDescent="0.2">
      <c r="A1616" s="3"/>
    </row>
    <row r="1617" spans="1:1" x14ac:dyDescent="0.2">
      <c r="A1617" s="3"/>
    </row>
    <row r="1618" spans="1:1" x14ac:dyDescent="0.2">
      <c r="A1618" s="3"/>
    </row>
    <row r="1619" spans="1:1" x14ac:dyDescent="0.2">
      <c r="A1619" s="3"/>
    </row>
    <row r="1620" spans="1:1" x14ac:dyDescent="0.2">
      <c r="A1620" s="3"/>
    </row>
    <row r="1621" spans="1:1" x14ac:dyDescent="0.2">
      <c r="A1621" s="3"/>
    </row>
    <row r="1622" spans="1:1" x14ac:dyDescent="0.2">
      <c r="A1622" s="3"/>
    </row>
    <row r="1623" spans="1:1" x14ac:dyDescent="0.2">
      <c r="A1623" s="3"/>
    </row>
    <row r="1624" spans="1:1" x14ac:dyDescent="0.2">
      <c r="A1624" s="3"/>
    </row>
    <row r="1625" spans="1:1" x14ac:dyDescent="0.2">
      <c r="A1625" s="3"/>
    </row>
    <row r="1626" spans="1:1" x14ac:dyDescent="0.2">
      <c r="A1626" s="3"/>
    </row>
    <row r="1627" spans="1:1" x14ac:dyDescent="0.2">
      <c r="A1627" s="3"/>
    </row>
    <row r="1628" spans="1:1" x14ac:dyDescent="0.2">
      <c r="A1628" s="3"/>
    </row>
    <row r="1629" spans="1:1" x14ac:dyDescent="0.2">
      <c r="A1629" s="3"/>
    </row>
    <row r="1630" spans="1:1" x14ac:dyDescent="0.2">
      <c r="A1630" s="3"/>
    </row>
    <row r="1631" spans="1:1" x14ac:dyDescent="0.2">
      <c r="A1631" s="3"/>
    </row>
    <row r="1632" spans="1:1" x14ac:dyDescent="0.2">
      <c r="A1632" s="3"/>
    </row>
    <row r="1633" spans="1:1" x14ac:dyDescent="0.2">
      <c r="A1633" s="3"/>
    </row>
    <row r="1634" spans="1:1" x14ac:dyDescent="0.2">
      <c r="A1634" s="3"/>
    </row>
    <row r="1635" spans="1:1" x14ac:dyDescent="0.2">
      <c r="A1635" s="3"/>
    </row>
    <row r="1636" spans="1:1" x14ac:dyDescent="0.2">
      <c r="A1636" s="3"/>
    </row>
    <row r="1637" spans="1:1" x14ac:dyDescent="0.2">
      <c r="A1637" s="3"/>
    </row>
    <row r="1638" spans="1:1" x14ac:dyDescent="0.2">
      <c r="A1638" s="3"/>
    </row>
    <row r="1639" spans="1:1" x14ac:dyDescent="0.2">
      <c r="A1639" s="3"/>
    </row>
    <row r="1640" spans="1:1" x14ac:dyDescent="0.2">
      <c r="A1640" s="3"/>
    </row>
    <row r="1641" spans="1:1" x14ac:dyDescent="0.2">
      <c r="A1641" s="3"/>
    </row>
    <row r="1642" spans="1:1" x14ac:dyDescent="0.2">
      <c r="A1642" s="3"/>
    </row>
    <row r="1643" spans="1:1" x14ac:dyDescent="0.2">
      <c r="A1643" s="3"/>
    </row>
    <row r="1644" spans="1:1" x14ac:dyDescent="0.2">
      <c r="A1644" s="3"/>
    </row>
    <row r="1645" spans="1:1" x14ac:dyDescent="0.2">
      <c r="A1645" s="3"/>
    </row>
    <row r="1646" spans="1:1" x14ac:dyDescent="0.2">
      <c r="A1646" s="3"/>
    </row>
    <row r="1647" spans="1:1" x14ac:dyDescent="0.2">
      <c r="A1647" s="3"/>
    </row>
    <row r="1648" spans="1:1" x14ac:dyDescent="0.2">
      <c r="A1648" s="3"/>
    </row>
    <row r="1649" spans="1:1" x14ac:dyDescent="0.2">
      <c r="A1649" s="3"/>
    </row>
    <row r="1650" spans="1:1" x14ac:dyDescent="0.2">
      <c r="A1650" s="3"/>
    </row>
    <row r="1651" spans="1:1" x14ac:dyDescent="0.2">
      <c r="A1651" s="3"/>
    </row>
    <row r="1652" spans="1:1" x14ac:dyDescent="0.2">
      <c r="A1652" s="3"/>
    </row>
    <row r="1653" spans="1:1" x14ac:dyDescent="0.2">
      <c r="A1653" s="3"/>
    </row>
    <row r="1654" spans="1:1" x14ac:dyDescent="0.2">
      <c r="A1654" s="3"/>
    </row>
    <row r="1655" spans="1:1" x14ac:dyDescent="0.2">
      <c r="A1655" s="3"/>
    </row>
    <row r="1656" spans="1:1" x14ac:dyDescent="0.2">
      <c r="A1656" s="3"/>
    </row>
    <row r="1657" spans="1:1" x14ac:dyDescent="0.2">
      <c r="A1657" s="3"/>
    </row>
    <row r="1658" spans="1:1" x14ac:dyDescent="0.2">
      <c r="A1658" s="3"/>
    </row>
    <row r="1659" spans="1:1" x14ac:dyDescent="0.2">
      <c r="A1659" s="3"/>
    </row>
    <row r="1660" spans="1:1" x14ac:dyDescent="0.2">
      <c r="A1660" s="3"/>
    </row>
    <row r="1661" spans="1:1" x14ac:dyDescent="0.2">
      <c r="A1661" s="3"/>
    </row>
    <row r="1662" spans="1:1" x14ac:dyDescent="0.2">
      <c r="A1662" s="3"/>
    </row>
    <row r="1663" spans="1:1" x14ac:dyDescent="0.2">
      <c r="A1663" s="3"/>
    </row>
    <row r="1664" spans="1:1" x14ac:dyDescent="0.2">
      <c r="A1664" s="3"/>
    </row>
    <row r="1665" spans="1:1" x14ac:dyDescent="0.2">
      <c r="A1665" s="3"/>
    </row>
    <row r="1666" spans="1:1" x14ac:dyDescent="0.2">
      <c r="A1666" s="3"/>
    </row>
    <row r="1667" spans="1:1" x14ac:dyDescent="0.2">
      <c r="A1667" s="3"/>
    </row>
    <row r="1668" spans="1:1" x14ac:dyDescent="0.2">
      <c r="A1668" s="3"/>
    </row>
    <row r="1669" spans="1:1" x14ac:dyDescent="0.2">
      <c r="A1669" s="3"/>
    </row>
    <row r="1670" spans="1:1" x14ac:dyDescent="0.2">
      <c r="A1670" s="3"/>
    </row>
    <row r="1671" spans="1:1" x14ac:dyDescent="0.2">
      <c r="A1671" s="3"/>
    </row>
    <row r="1672" spans="1:1" x14ac:dyDescent="0.2">
      <c r="A1672" s="3"/>
    </row>
    <row r="1673" spans="1:1" x14ac:dyDescent="0.2">
      <c r="A1673" s="3"/>
    </row>
    <row r="1674" spans="1:1" x14ac:dyDescent="0.2">
      <c r="A1674" s="3"/>
    </row>
    <row r="1675" spans="1:1" x14ac:dyDescent="0.2">
      <c r="A1675" s="3"/>
    </row>
    <row r="1676" spans="1:1" x14ac:dyDescent="0.2">
      <c r="A1676" s="3"/>
    </row>
    <row r="1677" spans="1:1" x14ac:dyDescent="0.2">
      <c r="A1677" s="3"/>
    </row>
    <row r="1678" spans="1:1" x14ac:dyDescent="0.2">
      <c r="A1678" s="3"/>
    </row>
    <row r="1679" spans="1:1" x14ac:dyDescent="0.2">
      <c r="A1679" s="3"/>
    </row>
    <row r="1680" spans="1:1" x14ac:dyDescent="0.2">
      <c r="A1680" s="3"/>
    </row>
    <row r="1681" spans="1:1" x14ac:dyDescent="0.2">
      <c r="A1681" s="3"/>
    </row>
    <row r="1682" spans="1:1" x14ac:dyDescent="0.2">
      <c r="A1682" s="3"/>
    </row>
    <row r="1683" spans="1:1" x14ac:dyDescent="0.2">
      <c r="A1683" s="3"/>
    </row>
    <row r="1684" spans="1:1" x14ac:dyDescent="0.2">
      <c r="A1684" s="3"/>
    </row>
    <row r="1685" spans="1:1" x14ac:dyDescent="0.2">
      <c r="A1685" s="3"/>
    </row>
    <row r="1686" spans="1:1" x14ac:dyDescent="0.2">
      <c r="A1686" s="3"/>
    </row>
    <row r="1687" spans="1:1" x14ac:dyDescent="0.2">
      <c r="A1687" s="3"/>
    </row>
    <row r="1688" spans="1:1" x14ac:dyDescent="0.2">
      <c r="A1688" s="3"/>
    </row>
    <row r="1689" spans="1:1" x14ac:dyDescent="0.2">
      <c r="A1689" s="3"/>
    </row>
    <row r="1690" spans="1:1" x14ac:dyDescent="0.2">
      <c r="A1690" s="3"/>
    </row>
    <row r="1691" spans="1:1" x14ac:dyDescent="0.2">
      <c r="A1691" s="3"/>
    </row>
    <row r="1692" spans="1:1" x14ac:dyDescent="0.2">
      <c r="A1692" s="3"/>
    </row>
    <row r="1693" spans="1:1" x14ac:dyDescent="0.2">
      <c r="A1693" s="3"/>
    </row>
    <row r="1694" spans="1:1" x14ac:dyDescent="0.2">
      <c r="A1694" s="3"/>
    </row>
    <row r="1695" spans="1:1" x14ac:dyDescent="0.2">
      <c r="A1695" s="3"/>
    </row>
    <row r="1696" spans="1:1" x14ac:dyDescent="0.2">
      <c r="A1696" s="3"/>
    </row>
    <row r="1697" spans="1:1" x14ac:dyDescent="0.2">
      <c r="A1697" s="3"/>
    </row>
    <row r="1698" spans="1:1" x14ac:dyDescent="0.2">
      <c r="A1698" s="3"/>
    </row>
    <row r="1699" spans="1:1" x14ac:dyDescent="0.2">
      <c r="A1699" s="3"/>
    </row>
    <row r="1700" spans="1:1" x14ac:dyDescent="0.2">
      <c r="A1700" s="3"/>
    </row>
    <row r="1701" spans="1:1" x14ac:dyDescent="0.2">
      <c r="A1701" s="3"/>
    </row>
    <row r="1702" spans="1:1" x14ac:dyDescent="0.2">
      <c r="A1702" s="3"/>
    </row>
    <row r="1703" spans="1:1" x14ac:dyDescent="0.2">
      <c r="A1703" s="3"/>
    </row>
    <row r="1704" spans="1:1" x14ac:dyDescent="0.2">
      <c r="A1704" s="3"/>
    </row>
    <row r="1705" spans="1:1" x14ac:dyDescent="0.2">
      <c r="A1705" s="3"/>
    </row>
    <row r="1706" spans="1:1" x14ac:dyDescent="0.2">
      <c r="A1706" s="3"/>
    </row>
    <row r="1707" spans="1:1" x14ac:dyDescent="0.2">
      <c r="A1707" s="3"/>
    </row>
    <row r="1708" spans="1:1" x14ac:dyDescent="0.2">
      <c r="A1708" s="3"/>
    </row>
    <row r="1709" spans="1:1" x14ac:dyDescent="0.2">
      <c r="A1709" s="3"/>
    </row>
    <row r="1710" spans="1:1" x14ac:dyDescent="0.2">
      <c r="A1710" s="3"/>
    </row>
    <row r="1711" spans="1:1" x14ac:dyDescent="0.2">
      <c r="A1711" s="3"/>
    </row>
    <row r="1712" spans="1:1" x14ac:dyDescent="0.2">
      <c r="A1712" s="3"/>
    </row>
    <row r="1713" spans="1:1" x14ac:dyDescent="0.2">
      <c r="A1713" s="3"/>
    </row>
    <row r="1714" spans="1:1" x14ac:dyDescent="0.2">
      <c r="A1714" s="3"/>
    </row>
    <row r="1715" spans="1:1" x14ac:dyDescent="0.2">
      <c r="A1715" s="3"/>
    </row>
    <row r="1716" spans="1:1" x14ac:dyDescent="0.2">
      <c r="A1716" s="3"/>
    </row>
    <row r="1717" spans="1:1" x14ac:dyDescent="0.2">
      <c r="A1717" s="3"/>
    </row>
    <row r="1718" spans="1:1" x14ac:dyDescent="0.2">
      <c r="A1718" s="3"/>
    </row>
    <row r="1719" spans="1:1" x14ac:dyDescent="0.2">
      <c r="A1719" s="3"/>
    </row>
    <row r="1720" spans="1:1" x14ac:dyDescent="0.2">
      <c r="A1720" s="3"/>
    </row>
    <row r="1721" spans="1:1" x14ac:dyDescent="0.2">
      <c r="A1721" s="3"/>
    </row>
    <row r="1722" spans="1:1" x14ac:dyDescent="0.2">
      <c r="A1722" s="3"/>
    </row>
    <row r="1723" spans="1:1" x14ac:dyDescent="0.2">
      <c r="A1723" s="3"/>
    </row>
    <row r="1724" spans="1:1" x14ac:dyDescent="0.2">
      <c r="A1724" s="3"/>
    </row>
    <row r="1725" spans="1:1" x14ac:dyDescent="0.2">
      <c r="A1725" s="3"/>
    </row>
    <row r="1726" spans="1:1" x14ac:dyDescent="0.2">
      <c r="A1726" s="3"/>
    </row>
    <row r="1727" spans="1:1" x14ac:dyDescent="0.2">
      <c r="A1727" s="3"/>
    </row>
    <row r="1728" spans="1:1" x14ac:dyDescent="0.2">
      <c r="A1728" s="3"/>
    </row>
    <row r="1729" spans="1:1" x14ac:dyDescent="0.2">
      <c r="A1729" s="3"/>
    </row>
    <row r="1730" spans="1:1" x14ac:dyDescent="0.2">
      <c r="A1730" s="3"/>
    </row>
    <row r="1731" spans="1:1" x14ac:dyDescent="0.2">
      <c r="A1731" s="3"/>
    </row>
    <row r="1732" spans="1:1" x14ac:dyDescent="0.2">
      <c r="A1732" s="3"/>
    </row>
    <row r="1733" spans="1:1" x14ac:dyDescent="0.2">
      <c r="A1733" s="3"/>
    </row>
    <row r="1734" spans="1:1" x14ac:dyDescent="0.2">
      <c r="A1734" s="3"/>
    </row>
    <row r="1735" spans="1:1" x14ac:dyDescent="0.2">
      <c r="A1735" s="3"/>
    </row>
    <row r="1736" spans="1:1" x14ac:dyDescent="0.2">
      <c r="A1736" s="3"/>
    </row>
    <row r="1737" spans="1:1" x14ac:dyDescent="0.2">
      <c r="A1737" s="3"/>
    </row>
    <row r="1738" spans="1:1" x14ac:dyDescent="0.2">
      <c r="A1738" s="3"/>
    </row>
    <row r="1739" spans="1:1" x14ac:dyDescent="0.2">
      <c r="A1739" s="3"/>
    </row>
    <row r="1740" spans="1:1" x14ac:dyDescent="0.2">
      <c r="A1740" s="3"/>
    </row>
    <row r="1741" spans="1:1" x14ac:dyDescent="0.2">
      <c r="A1741" s="3"/>
    </row>
    <row r="1742" spans="1:1" x14ac:dyDescent="0.2">
      <c r="A1742" s="3"/>
    </row>
    <row r="1743" spans="1:1" x14ac:dyDescent="0.2">
      <c r="A1743" s="3"/>
    </row>
    <row r="1744" spans="1:1" x14ac:dyDescent="0.2">
      <c r="A1744" s="3"/>
    </row>
    <row r="1745" spans="1:1" x14ac:dyDescent="0.2">
      <c r="A1745" s="3"/>
    </row>
    <row r="1746" spans="1:1" x14ac:dyDescent="0.2">
      <c r="A1746" s="3"/>
    </row>
    <row r="1747" spans="1:1" x14ac:dyDescent="0.2">
      <c r="A1747" s="3"/>
    </row>
    <row r="1748" spans="1:1" x14ac:dyDescent="0.2">
      <c r="A1748" s="3"/>
    </row>
    <row r="1749" spans="1:1" x14ac:dyDescent="0.2">
      <c r="A1749" s="3"/>
    </row>
    <row r="1750" spans="1:1" x14ac:dyDescent="0.2">
      <c r="A1750" s="3"/>
    </row>
    <row r="1751" spans="1:1" x14ac:dyDescent="0.2">
      <c r="A1751" s="3"/>
    </row>
    <row r="1752" spans="1:1" x14ac:dyDescent="0.2">
      <c r="A1752" s="3"/>
    </row>
    <row r="1753" spans="1:1" x14ac:dyDescent="0.2">
      <c r="A1753" s="3"/>
    </row>
    <row r="1754" spans="1:1" x14ac:dyDescent="0.2">
      <c r="A1754" s="3"/>
    </row>
    <row r="1755" spans="1:1" x14ac:dyDescent="0.2">
      <c r="A1755" s="3"/>
    </row>
    <row r="1756" spans="1:1" x14ac:dyDescent="0.2">
      <c r="A1756" s="3"/>
    </row>
    <row r="1757" spans="1:1" x14ac:dyDescent="0.2">
      <c r="A1757" s="3"/>
    </row>
    <row r="1758" spans="1:1" x14ac:dyDescent="0.2">
      <c r="A1758" s="3"/>
    </row>
    <row r="1759" spans="1:1" x14ac:dyDescent="0.2">
      <c r="A1759" s="3"/>
    </row>
    <row r="1760" spans="1:1" x14ac:dyDescent="0.2">
      <c r="A1760" s="3"/>
    </row>
    <row r="1761" spans="1:1" x14ac:dyDescent="0.2">
      <c r="A1761" s="3"/>
    </row>
    <row r="1762" spans="1:1" x14ac:dyDescent="0.2">
      <c r="A1762" s="3"/>
    </row>
    <row r="1763" spans="1:1" x14ac:dyDescent="0.2">
      <c r="A1763" s="3"/>
    </row>
    <row r="1764" spans="1:1" x14ac:dyDescent="0.2">
      <c r="A1764" s="3"/>
    </row>
    <row r="1765" spans="1:1" x14ac:dyDescent="0.2">
      <c r="A1765" s="3"/>
    </row>
    <row r="1766" spans="1:1" x14ac:dyDescent="0.2">
      <c r="A1766" s="3"/>
    </row>
    <row r="1767" spans="1:1" x14ac:dyDescent="0.2">
      <c r="A1767" s="3"/>
    </row>
    <row r="1768" spans="1:1" x14ac:dyDescent="0.2">
      <c r="A1768" s="3"/>
    </row>
    <row r="1769" spans="1:1" x14ac:dyDescent="0.2">
      <c r="A1769" s="3"/>
    </row>
    <row r="1770" spans="1:1" x14ac:dyDescent="0.2">
      <c r="A1770" s="3"/>
    </row>
    <row r="1771" spans="1:1" x14ac:dyDescent="0.2">
      <c r="A1771" s="3"/>
    </row>
    <row r="1772" spans="1:1" x14ac:dyDescent="0.2">
      <c r="A1772" s="3"/>
    </row>
    <row r="1773" spans="1:1" x14ac:dyDescent="0.2">
      <c r="A1773" s="3"/>
    </row>
    <row r="1774" spans="1:1" x14ac:dyDescent="0.2">
      <c r="A1774" s="3"/>
    </row>
    <row r="1775" spans="1:1" x14ac:dyDescent="0.2">
      <c r="A1775" s="3"/>
    </row>
    <row r="1776" spans="1:1" x14ac:dyDescent="0.2">
      <c r="A1776" s="3"/>
    </row>
    <row r="1777" spans="1:1" x14ac:dyDescent="0.2">
      <c r="A1777" s="3"/>
    </row>
    <row r="1778" spans="1:1" x14ac:dyDescent="0.2">
      <c r="A1778" s="3"/>
    </row>
    <row r="1779" spans="1:1" x14ac:dyDescent="0.2">
      <c r="A1779" s="3"/>
    </row>
    <row r="1780" spans="1:1" x14ac:dyDescent="0.2">
      <c r="A1780" s="3"/>
    </row>
    <row r="1781" spans="1:1" x14ac:dyDescent="0.2">
      <c r="A1781" s="3"/>
    </row>
    <row r="1782" spans="1:1" x14ac:dyDescent="0.2">
      <c r="A1782" s="3"/>
    </row>
    <row r="1783" spans="1:1" x14ac:dyDescent="0.2">
      <c r="A1783" s="3"/>
    </row>
    <row r="1784" spans="1:1" x14ac:dyDescent="0.2">
      <c r="A1784" s="3"/>
    </row>
    <row r="1785" spans="1:1" x14ac:dyDescent="0.2">
      <c r="A1785" s="3"/>
    </row>
    <row r="1786" spans="1:1" x14ac:dyDescent="0.2">
      <c r="A1786" s="3"/>
    </row>
    <row r="1787" spans="1:1" x14ac:dyDescent="0.2">
      <c r="A1787" s="3"/>
    </row>
    <row r="1788" spans="1:1" x14ac:dyDescent="0.2">
      <c r="A1788" s="3"/>
    </row>
    <row r="1789" spans="1:1" x14ac:dyDescent="0.2">
      <c r="A1789" s="3"/>
    </row>
    <row r="1790" spans="1:1" x14ac:dyDescent="0.2">
      <c r="A1790" s="3"/>
    </row>
    <row r="1791" spans="1:1" x14ac:dyDescent="0.2">
      <c r="A1791" s="3"/>
    </row>
    <row r="1792" spans="1:1" x14ac:dyDescent="0.2">
      <c r="A1792" s="3"/>
    </row>
    <row r="1793" spans="1:1" x14ac:dyDescent="0.2">
      <c r="A1793" s="3"/>
    </row>
    <row r="1794" spans="1:1" x14ac:dyDescent="0.2">
      <c r="A1794" s="3"/>
    </row>
    <row r="1795" spans="1:1" x14ac:dyDescent="0.2">
      <c r="A1795" s="3"/>
    </row>
    <row r="1796" spans="1:1" x14ac:dyDescent="0.2">
      <c r="A1796" s="3"/>
    </row>
    <row r="1797" spans="1:1" x14ac:dyDescent="0.2">
      <c r="A1797" s="3"/>
    </row>
    <row r="1798" spans="1:1" x14ac:dyDescent="0.2">
      <c r="A1798" s="3"/>
    </row>
    <row r="1799" spans="1:1" x14ac:dyDescent="0.2">
      <c r="A1799" s="3"/>
    </row>
    <row r="1800" spans="1:1" x14ac:dyDescent="0.2">
      <c r="A1800" s="3"/>
    </row>
    <row r="1801" spans="1:1" x14ac:dyDescent="0.2">
      <c r="A1801" s="3"/>
    </row>
    <row r="1802" spans="1:1" x14ac:dyDescent="0.2">
      <c r="A1802" s="3"/>
    </row>
    <row r="1803" spans="1:1" x14ac:dyDescent="0.2">
      <c r="A1803" s="3"/>
    </row>
    <row r="1804" spans="1:1" x14ac:dyDescent="0.2">
      <c r="A1804" s="3"/>
    </row>
    <row r="1805" spans="1:1" x14ac:dyDescent="0.2">
      <c r="A1805" s="3"/>
    </row>
    <row r="1806" spans="1:1" x14ac:dyDescent="0.2">
      <c r="A1806" s="3"/>
    </row>
    <row r="1807" spans="1:1" x14ac:dyDescent="0.2">
      <c r="A1807" s="3"/>
    </row>
    <row r="1808" spans="1:1" x14ac:dyDescent="0.2">
      <c r="A1808" s="3"/>
    </row>
    <row r="1809" spans="1:1" x14ac:dyDescent="0.2">
      <c r="A1809" s="3"/>
    </row>
    <row r="1810" spans="1:1" x14ac:dyDescent="0.2">
      <c r="A1810" s="3"/>
    </row>
    <row r="1811" spans="1:1" x14ac:dyDescent="0.2">
      <c r="A1811" s="3"/>
    </row>
    <row r="1812" spans="1:1" x14ac:dyDescent="0.2">
      <c r="A1812" s="3"/>
    </row>
    <row r="1813" spans="1:1" x14ac:dyDescent="0.2">
      <c r="A1813" s="3"/>
    </row>
    <row r="1814" spans="1:1" x14ac:dyDescent="0.2">
      <c r="A1814" s="3"/>
    </row>
    <row r="1815" spans="1:1" x14ac:dyDescent="0.2">
      <c r="A1815" s="3"/>
    </row>
    <row r="1816" spans="1:1" x14ac:dyDescent="0.2">
      <c r="A1816" s="3"/>
    </row>
    <row r="1817" spans="1:1" x14ac:dyDescent="0.2">
      <c r="A1817" s="3"/>
    </row>
    <row r="1818" spans="1:1" x14ac:dyDescent="0.2">
      <c r="A1818" s="3"/>
    </row>
    <row r="1819" spans="1:1" x14ac:dyDescent="0.2">
      <c r="A1819" s="3"/>
    </row>
    <row r="1820" spans="1:1" x14ac:dyDescent="0.2">
      <c r="A1820" s="3"/>
    </row>
    <row r="1821" spans="1:1" x14ac:dyDescent="0.2">
      <c r="A1821" s="3"/>
    </row>
    <row r="1822" spans="1:1" x14ac:dyDescent="0.2">
      <c r="A1822" s="3"/>
    </row>
    <row r="1823" spans="1:1" x14ac:dyDescent="0.2">
      <c r="A1823" s="3"/>
    </row>
    <row r="1824" spans="1:1" x14ac:dyDescent="0.2">
      <c r="A1824" s="3"/>
    </row>
    <row r="1825" spans="1:1" x14ac:dyDescent="0.2">
      <c r="A1825" s="3"/>
    </row>
    <row r="1826" spans="1:1" x14ac:dyDescent="0.2">
      <c r="A1826" s="3"/>
    </row>
    <row r="1827" spans="1:1" x14ac:dyDescent="0.2">
      <c r="A1827" s="3"/>
    </row>
    <row r="1828" spans="1:1" x14ac:dyDescent="0.2">
      <c r="A1828" s="3"/>
    </row>
    <row r="1829" spans="1:1" x14ac:dyDescent="0.2">
      <c r="A1829" s="3"/>
    </row>
    <row r="1830" spans="1:1" x14ac:dyDescent="0.2">
      <c r="A1830" s="3"/>
    </row>
    <row r="1831" spans="1:1" x14ac:dyDescent="0.2">
      <c r="A1831" s="3"/>
    </row>
    <row r="1832" spans="1:1" x14ac:dyDescent="0.2">
      <c r="A1832" s="3"/>
    </row>
    <row r="1833" spans="1:1" x14ac:dyDescent="0.2">
      <c r="A1833" s="3"/>
    </row>
    <row r="1834" spans="1:1" x14ac:dyDescent="0.2">
      <c r="A1834" s="3"/>
    </row>
    <row r="1835" spans="1:1" x14ac:dyDescent="0.2">
      <c r="A1835" s="3"/>
    </row>
    <row r="1836" spans="1:1" x14ac:dyDescent="0.2">
      <c r="A1836" s="3"/>
    </row>
    <row r="1837" spans="1:1" x14ac:dyDescent="0.2">
      <c r="A1837" s="3"/>
    </row>
    <row r="1838" spans="1:1" x14ac:dyDescent="0.2">
      <c r="A1838" s="3"/>
    </row>
    <row r="1839" spans="1:1" x14ac:dyDescent="0.2">
      <c r="A1839" s="3"/>
    </row>
    <row r="1840" spans="1:1" x14ac:dyDescent="0.2">
      <c r="A1840" s="3"/>
    </row>
    <row r="1841" spans="1:1" x14ac:dyDescent="0.2">
      <c r="A1841" s="3"/>
    </row>
    <row r="1842" spans="1:1" x14ac:dyDescent="0.2">
      <c r="A1842" s="3"/>
    </row>
    <row r="1843" spans="1:1" x14ac:dyDescent="0.2">
      <c r="A1843" s="3"/>
    </row>
    <row r="1844" spans="1:1" x14ac:dyDescent="0.2">
      <c r="A1844" s="3"/>
    </row>
    <row r="1845" spans="1:1" x14ac:dyDescent="0.2">
      <c r="A1845" s="3"/>
    </row>
    <row r="1846" spans="1:1" x14ac:dyDescent="0.2">
      <c r="A1846" s="3"/>
    </row>
    <row r="1847" spans="1:1" x14ac:dyDescent="0.2">
      <c r="A1847" s="3"/>
    </row>
    <row r="1848" spans="1:1" x14ac:dyDescent="0.2">
      <c r="A1848" s="3"/>
    </row>
    <row r="1849" spans="1:1" x14ac:dyDescent="0.2">
      <c r="A1849" s="3"/>
    </row>
    <row r="1850" spans="1:1" x14ac:dyDescent="0.2">
      <c r="A1850" s="3"/>
    </row>
    <row r="1851" spans="1:1" x14ac:dyDescent="0.2">
      <c r="A1851" s="3"/>
    </row>
    <row r="1852" spans="1:1" x14ac:dyDescent="0.2">
      <c r="A1852" s="3"/>
    </row>
    <row r="1853" spans="1:1" x14ac:dyDescent="0.2">
      <c r="A1853" s="3"/>
    </row>
    <row r="1854" spans="1:1" x14ac:dyDescent="0.2">
      <c r="A1854" s="3"/>
    </row>
    <row r="1855" spans="1:1" x14ac:dyDescent="0.2">
      <c r="A1855" s="3"/>
    </row>
    <row r="1856" spans="1:1" x14ac:dyDescent="0.2">
      <c r="A1856" s="3"/>
    </row>
    <row r="1857" spans="1:1" x14ac:dyDescent="0.2">
      <c r="A1857" s="3"/>
    </row>
    <row r="1858" spans="1:1" x14ac:dyDescent="0.2">
      <c r="A1858" s="3"/>
    </row>
    <row r="1859" spans="1:1" x14ac:dyDescent="0.2">
      <c r="A1859" s="3"/>
    </row>
    <row r="1860" spans="1:1" x14ac:dyDescent="0.2">
      <c r="A1860" s="3"/>
    </row>
    <row r="1861" spans="1:1" x14ac:dyDescent="0.2">
      <c r="A1861" s="3"/>
    </row>
    <row r="1862" spans="1:1" x14ac:dyDescent="0.2">
      <c r="A1862" s="3"/>
    </row>
    <row r="1863" spans="1:1" x14ac:dyDescent="0.2">
      <c r="A1863" s="3"/>
    </row>
    <row r="1864" spans="1:1" x14ac:dyDescent="0.2">
      <c r="A1864" s="3"/>
    </row>
    <row r="1865" spans="1:1" x14ac:dyDescent="0.2">
      <c r="A1865" s="3"/>
    </row>
    <row r="1866" spans="1:1" x14ac:dyDescent="0.2">
      <c r="A1866" s="3"/>
    </row>
    <row r="1867" spans="1:1" x14ac:dyDescent="0.2">
      <c r="A1867" s="3"/>
    </row>
    <row r="1868" spans="1:1" x14ac:dyDescent="0.2">
      <c r="A1868" s="3"/>
    </row>
    <row r="1869" spans="1:1" x14ac:dyDescent="0.2">
      <c r="A1869" s="3"/>
    </row>
    <row r="1870" spans="1:1" x14ac:dyDescent="0.2">
      <c r="A1870" s="3"/>
    </row>
    <row r="1871" spans="1:1" x14ac:dyDescent="0.2">
      <c r="A1871" s="3"/>
    </row>
    <row r="1872" spans="1:1" x14ac:dyDescent="0.2">
      <c r="A1872" s="3"/>
    </row>
    <row r="1873" spans="1:1" x14ac:dyDescent="0.2">
      <c r="A1873" s="3"/>
    </row>
    <row r="1874" spans="1:1" x14ac:dyDescent="0.2">
      <c r="A1874" s="3"/>
    </row>
    <row r="1875" spans="1:1" x14ac:dyDescent="0.2">
      <c r="A1875" s="3"/>
    </row>
    <row r="1876" spans="1:1" x14ac:dyDescent="0.2">
      <c r="A1876" s="3"/>
    </row>
    <row r="1877" spans="1:1" x14ac:dyDescent="0.2">
      <c r="A1877" s="3"/>
    </row>
    <row r="1878" spans="1:1" x14ac:dyDescent="0.2">
      <c r="A1878" s="3"/>
    </row>
    <row r="1879" spans="1:1" x14ac:dyDescent="0.2">
      <c r="A1879" s="3"/>
    </row>
    <row r="1880" spans="1:1" x14ac:dyDescent="0.2">
      <c r="A1880" s="3"/>
    </row>
    <row r="1881" spans="1:1" x14ac:dyDescent="0.2">
      <c r="A1881" s="3"/>
    </row>
    <row r="1882" spans="1:1" x14ac:dyDescent="0.2">
      <c r="A1882" s="3"/>
    </row>
    <row r="1883" spans="1:1" x14ac:dyDescent="0.2">
      <c r="A1883" s="3"/>
    </row>
    <row r="1884" spans="1:1" x14ac:dyDescent="0.2">
      <c r="A1884" s="3"/>
    </row>
    <row r="1885" spans="1:1" x14ac:dyDescent="0.2">
      <c r="A1885" s="3"/>
    </row>
    <row r="1886" spans="1:1" x14ac:dyDescent="0.2">
      <c r="A1886" s="3"/>
    </row>
    <row r="1887" spans="1:1" x14ac:dyDescent="0.2">
      <c r="A1887" s="3"/>
    </row>
    <row r="1888" spans="1:1" x14ac:dyDescent="0.2">
      <c r="A1888" s="3"/>
    </row>
    <row r="1889" spans="1:1" x14ac:dyDescent="0.2">
      <c r="A1889" s="3"/>
    </row>
    <row r="1890" spans="1:1" x14ac:dyDescent="0.2">
      <c r="A1890" s="3"/>
    </row>
    <row r="1891" spans="1:1" x14ac:dyDescent="0.2">
      <c r="A1891" s="3"/>
    </row>
    <row r="1892" spans="1:1" x14ac:dyDescent="0.2">
      <c r="A1892" s="3"/>
    </row>
    <row r="1893" spans="1:1" x14ac:dyDescent="0.2">
      <c r="A1893" s="3"/>
    </row>
    <row r="1894" spans="1:1" x14ac:dyDescent="0.2">
      <c r="A1894" s="3"/>
    </row>
    <row r="1895" spans="1:1" x14ac:dyDescent="0.2">
      <c r="A1895" s="3"/>
    </row>
    <row r="1896" spans="1:1" x14ac:dyDescent="0.2">
      <c r="A1896" s="3"/>
    </row>
    <row r="1897" spans="1:1" x14ac:dyDescent="0.2">
      <c r="A1897" s="3"/>
    </row>
    <row r="1898" spans="1:1" x14ac:dyDescent="0.2">
      <c r="A1898" s="3"/>
    </row>
    <row r="1899" spans="1:1" x14ac:dyDescent="0.2">
      <c r="A1899" s="3"/>
    </row>
    <row r="1900" spans="1:1" x14ac:dyDescent="0.2">
      <c r="A1900" s="3"/>
    </row>
    <row r="1901" spans="1:1" x14ac:dyDescent="0.2">
      <c r="A1901" s="3"/>
    </row>
    <row r="1902" spans="1:1" x14ac:dyDescent="0.2">
      <c r="A1902" s="3"/>
    </row>
    <row r="1903" spans="1:1" x14ac:dyDescent="0.2">
      <c r="A1903" s="3"/>
    </row>
    <row r="1904" spans="1:1" x14ac:dyDescent="0.2">
      <c r="A1904" s="3"/>
    </row>
    <row r="1905" spans="1:1" x14ac:dyDescent="0.2">
      <c r="A1905" s="3"/>
    </row>
    <row r="1906" spans="1:1" x14ac:dyDescent="0.2">
      <c r="A1906" s="3"/>
    </row>
    <row r="1907" spans="1:1" x14ac:dyDescent="0.2">
      <c r="A1907" s="3"/>
    </row>
    <row r="1908" spans="1:1" x14ac:dyDescent="0.2">
      <c r="A1908" s="3"/>
    </row>
    <row r="1909" spans="1:1" x14ac:dyDescent="0.2">
      <c r="A1909" s="3"/>
    </row>
    <row r="1910" spans="1:1" x14ac:dyDescent="0.2">
      <c r="A1910" s="3"/>
    </row>
    <row r="1911" spans="1:1" x14ac:dyDescent="0.2">
      <c r="A1911" s="3"/>
    </row>
    <row r="1912" spans="1:1" x14ac:dyDescent="0.2">
      <c r="A1912" s="3"/>
    </row>
    <row r="1913" spans="1:1" x14ac:dyDescent="0.2">
      <c r="A1913" s="3"/>
    </row>
    <row r="1914" spans="1:1" x14ac:dyDescent="0.2">
      <c r="A1914" s="3"/>
    </row>
    <row r="1915" spans="1:1" x14ac:dyDescent="0.2">
      <c r="A1915" s="3"/>
    </row>
    <row r="1916" spans="1:1" x14ac:dyDescent="0.2">
      <c r="A1916" s="3"/>
    </row>
    <row r="1917" spans="1:1" x14ac:dyDescent="0.2">
      <c r="A1917" s="3"/>
    </row>
    <row r="1918" spans="1:1" x14ac:dyDescent="0.2">
      <c r="A1918" s="3"/>
    </row>
    <row r="1919" spans="1:1" x14ac:dyDescent="0.2">
      <c r="A1919" s="3"/>
    </row>
    <row r="1920" spans="1:1" x14ac:dyDescent="0.2">
      <c r="A1920" s="3"/>
    </row>
    <row r="1921" spans="1:1" x14ac:dyDescent="0.2">
      <c r="A1921" s="3"/>
    </row>
    <row r="1922" spans="1:1" x14ac:dyDescent="0.2">
      <c r="A1922" s="3"/>
    </row>
    <row r="1923" spans="1:1" x14ac:dyDescent="0.2">
      <c r="A1923" s="3"/>
    </row>
    <row r="1924" spans="1:1" x14ac:dyDescent="0.2">
      <c r="A1924" s="3"/>
    </row>
    <row r="1925" spans="1:1" x14ac:dyDescent="0.2">
      <c r="A1925" s="3"/>
    </row>
    <row r="1926" spans="1:1" x14ac:dyDescent="0.2">
      <c r="A1926" s="3"/>
    </row>
    <row r="1927" spans="1:1" x14ac:dyDescent="0.2">
      <c r="A1927" s="3"/>
    </row>
    <row r="1928" spans="1:1" x14ac:dyDescent="0.2">
      <c r="A1928" s="3"/>
    </row>
    <row r="1929" spans="1:1" x14ac:dyDescent="0.2">
      <c r="A1929" s="3"/>
    </row>
    <row r="1930" spans="1:1" x14ac:dyDescent="0.2">
      <c r="A1930" s="3"/>
    </row>
    <row r="1931" spans="1:1" x14ac:dyDescent="0.2">
      <c r="A1931" s="3"/>
    </row>
    <row r="1932" spans="1:1" x14ac:dyDescent="0.2">
      <c r="A1932" s="3"/>
    </row>
    <row r="1933" spans="1:1" x14ac:dyDescent="0.2">
      <c r="A1933" s="3"/>
    </row>
    <row r="1934" spans="1:1" x14ac:dyDescent="0.2">
      <c r="A1934" s="3"/>
    </row>
    <row r="1935" spans="1:1" x14ac:dyDescent="0.2">
      <c r="A1935" s="3"/>
    </row>
    <row r="1936" spans="1:1" x14ac:dyDescent="0.2">
      <c r="A1936" s="3"/>
    </row>
    <row r="1937" spans="1:1" x14ac:dyDescent="0.2">
      <c r="A1937" s="3"/>
    </row>
    <row r="1938" spans="1:1" x14ac:dyDescent="0.2">
      <c r="A1938" s="3"/>
    </row>
    <row r="1939" spans="1:1" x14ac:dyDescent="0.2">
      <c r="A1939" s="3"/>
    </row>
    <row r="1940" spans="1:1" x14ac:dyDescent="0.2">
      <c r="A1940" s="3"/>
    </row>
    <row r="1941" spans="1:1" x14ac:dyDescent="0.2">
      <c r="A1941" s="3"/>
    </row>
    <row r="1942" spans="1:1" x14ac:dyDescent="0.2">
      <c r="A1942" s="3"/>
    </row>
    <row r="1943" spans="1:1" x14ac:dyDescent="0.2">
      <c r="A1943" s="3"/>
    </row>
    <row r="1944" spans="1:1" x14ac:dyDescent="0.2">
      <c r="A1944" s="3"/>
    </row>
    <row r="1945" spans="1:1" x14ac:dyDescent="0.2">
      <c r="A1945" s="3"/>
    </row>
    <row r="1946" spans="1:1" x14ac:dyDescent="0.2">
      <c r="A1946" s="3"/>
    </row>
    <row r="1947" spans="1:1" x14ac:dyDescent="0.2">
      <c r="A1947" s="3"/>
    </row>
    <row r="1948" spans="1:1" x14ac:dyDescent="0.2">
      <c r="A1948" s="3"/>
    </row>
    <row r="1949" spans="1:1" x14ac:dyDescent="0.2">
      <c r="A1949" s="3"/>
    </row>
    <row r="1950" spans="1:1" x14ac:dyDescent="0.2">
      <c r="A1950" s="3"/>
    </row>
    <row r="1951" spans="1:1" x14ac:dyDescent="0.2">
      <c r="A1951" s="3"/>
    </row>
    <row r="1952" spans="1:1" x14ac:dyDescent="0.2">
      <c r="A1952" s="3"/>
    </row>
    <row r="1953" spans="1:1" x14ac:dyDescent="0.2">
      <c r="A1953" s="3"/>
    </row>
    <row r="1954" spans="1:1" x14ac:dyDescent="0.2">
      <c r="A1954" s="3"/>
    </row>
    <row r="1955" spans="1:1" x14ac:dyDescent="0.2">
      <c r="A1955" s="3"/>
    </row>
    <row r="1956" spans="1:1" x14ac:dyDescent="0.2">
      <c r="A1956" s="3"/>
    </row>
    <row r="1957" spans="1:1" x14ac:dyDescent="0.2">
      <c r="A1957" s="3"/>
    </row>
    <row r="1958" spans="1:1" x14ac:dyDescent="0.2">
      <c r="A1958" s="3"/>
    </row>
    <row r="1959" spans="1:1" x14ac:dyDescent="0.2">
      <c r="A1959" s="3"/>
    </row>
    <row r="1960" spans="1:1" x14ac:dyDescent="0.2">
      <c r="A1960" s="3"/>
    </row>
    <row r="1961" spans="1:1" x14ac:dyDescent="0.2">
      <c r="A1961" s="3"/>
    </row>
    <row r="1962" spans="1:1" x14ac:dyDescent="0.2">
      <c r="A1962" s="3"/>
    </row>
    <row r="1963" spans="1:1" x14ac:dyDescent="0.2">
      <c r="A1963" s="3"/>
    </row>
    <row r="1964" spans="1:1" x14ac:dyDescent="0.2">
      <c r="A1964" s="3"/>
    </row>
    <row r="1965" spans="1:1" x14ac:dyDescent="0.2">
      <c r="A1965" s="3"/>
    </row>
    <row r="1966" spans="1:1" x14ac:dyDescent="0.2">
      <c r="A1966" s="3"/>
    </row>
    <row r="1967" spans="1:1" x14ac:dyDescent="0.2">
      <c r="A1967" s="3"/>
    </row>
    <row r="1968" spans="1:1" x14ac:dyDescent="0.2">
      <c r="A1968" s="3"/>
    </row>
    <row r="1969" spans="1:1" x14ac:dyDescent="0.2">
      <c r="A1969" s="3"/>
    </row>
    <row r="1970" spans="1:1" x14ac:dyDescent="0.2">
      <c r="A1970" s="3"/>
    </row>
    <row r="1971" spans="1:1" x14ac:dyDescent="0.2">
      <c r="A1971" s="3"/>
    </row>
    <row r="1972" spans="1:1" x14ac:dyDescent="0.2">
      <c r="A1972" s="3"/>
    </row>
    <row r="1973" spans="1:1" x14ac:dyDescent="0.2">
      <c r="A1973" s="3"/>
    </row>
    <row r="1974" spans="1:1" x14ac:dyDescent="0.2">
      <c r="A1974" s="3"/>
    </row>
    <row r="1975" spans="1:1" x14ac:dyDescent="0.2">
      <c r="A1975" s="3"/>
    </row>
    <row r="1976" spans="1:1" x14ac:dyDescent="0.2">
      <c r="A1976" s="3"/>
    </row>
    <row r="1977" spans="1:1" x14ac:dyDescent="0.2">
      <c r="A1977" s="3"/>
    </row>
    <row r="1978" spans="1:1" x14ac:dyDescent="0.2">
      <c r="A1978" s="3"/>
    </row>
    <row r="1979" spans="1:1" x14ac:dyDescent="0.2">
      <c r="A1979" s="3"/>
    </row>
    <row r="1980" spans="1:1" x14ac:dyDescent="0.2">
      <c r="A1980" s="3"/>
    </row>
    <row r="1981" spans="1:1" x14ac:dyDescent="0.2">
      <c r="A1981" s="3"/>
    </row>
    <row r="1982" spans="1:1" x14ac:dyDescent="0.2">
      <c r="A1982" s="3"/>
    </row>
    <row r="1983" spans="1:1" x14ac:dyDescent="0.2">
      <c r="A1983" s="3"/>
    </row>
    <row r="1984" spans="1:1" x14ac:dyDescent="0.2">
      <c r="A1984" s="3"/>
    </row>
    <row r="1985" spans="1:1" x14ac:dyDescent="0.2">
      <c r="A1985" s="3"/>
    </row>
    <row r="1986" spans="1:1" x14ac:dyDescent="0.2">
      <c r="A1986" s="3"/>
    </row>
    <row r="1987" spans="1:1" x14ac:dyDescent="0.2">
      <c r="A1987" s="3"/>
    </row>
    <row r="1988" spans="1:1" x14ac:dyDescent="0.2">
      <c r="A1988" s="3"/>
    </row>
    <row r="1989" spans="1:1" x14ac:dyDescent="0.2">
      <c r="A1989" s="3"/>
    </row>
    <row r="1990" spans="1:1" x14ac:dyDescent="0.2">
      <c r="A1990" s="3"/>
    </row>
    <row r="1991" spans="1:1" x14ac:dyDescent="0.2">
      <c r="A1991" s="3"/>
    </row>
    <row r="1992" spans="1:1" x14ac:dyDescent="0.2">
      <c r="A1992" s="3"/>
    </row>
    <row r="1993" spans="1:1" x14ac:dyDescent="0.2">
      <c r="A1993" s="3"/>
    </row>
    <row r="1994" spans="1:1" x14ac:dyDescent="0.2">
      <c r="A1994" s="3"/>
    </row>
    <row r="1995" spans="1:1" x14ac:dyDescent="0.2">
      <c r="A1995" s="3"/>
    </row>
    <row r="1996" spans="1:1" x14ac:dyDescent="0.2">
      <c r="A1996" s="3"/>
    </row>
    <row r="1997" spans="1:1" x14ac:dyDescent="0.2">
      <c r="A1997" s="3"/>
    </row>
    <row r="1998" spans="1:1" x14ac:dyDescent="0.2">
      <c r="A1998" s="3"/>
    </row>
    <row r="1999" spans="1:1" x14ac:dyDescent="0.2">
      <c r="A1999" s="3"/>
    </row>
    <row r="2000" spans="1:1" x14ac:dyDescent="0.2">
      <c r="A2000" s="3"/>
    </row>
    <row r="2001" spans="1:1" x14ac:dyDescent="0.2">
      <c r="A2001" s="3"/>
    </row>
    <row r="2002" spans="1:1" x14ac:dyDescent="0.2">
      <c r="A2002" s="3"/>
    </row>
    <row r="2003" spans="1:1" x14ac:dyDescent="0.2">
      <c r="A2003" s="3"/>
    </row>
    <row r="2004" spans="1:1" x14ac:dyDescent="0.2">
      <c r="A2004" s="3"/>
    </row>
    <row r="2005" spans="1:1" x14ac:dyDescent="0.2">
      <c r="A2005" s="3"/>
    </row>
    <row r="2006" spans="1:1" x14ac:dyDescent="0.2">
      <c r="A2006" s="3"/>
    </row>
    <row r="2007" spans="1:1" x14ac:dyDescent="0.2">
      <c r="A2007" s="3"/>
    </row>
    <row r="2008" spans="1:1" x14ac:dyDescent="0.2">
      <c r="A2008" s="3"/>
    </row>
    <row r="2009" spans="1:1" x14ac:dyDescent="0.2">
      <c r="A2009" s="3"/>
    </row>
    <row r="2010" spans="1:1" x14ac:dyDescent="0.2">
      <c r="A2010" s="3"/>
    </row>
    <row r="2011" spans="1:1" x14ac:dyDescent="0.2">
      <c r="A2011" s="3"/>
    </row>
    <row r="2012" spans="1:1" x14ac:dyDescent="0.2">
      <c r="A2012" s="3"/>
    </row>
    <row r="2013" spans="1:1" x14ac:dyDescent="0.2">
      <c r="A2013" s="3"/>
    </row>
    <row r="2014" spans="1:1" x14ac:dyDescent="0.2">
      <c r="A2014" s="3"/>
    </row>
    <row r="2015" spans="1:1" x14ac:dyDescent="0.2">
      <c r="A2015" s="3"/>
    </row>
    <row r="2016" spans="1:1" x14ac:dyDescent="0.2">
      <c r="A2016" s="3"/>
    </row>
    <row r="2017" spans="1:1" x14ac:dyDescent="0.2">
      <c r="A2017" s="3"/>
    </row>
    <row r="2018" spans="1:1" x14ac:dyDescent="0.2">
      <c r="A2018" s="3"/>
    </row>
    <row r="2019" spans="1:1" x14ac:dyDescent="0.2">
      <c r="A2019" s="3"/>
    </row>
    <row r="2020" spans="1:1" x14ac:dyDescent="0.2">
      <c r="A2020" s="3"/>
    </row>
    <row r="2021" spans="1:1" x14ac:dyDescent="0.2">
      <c r="A2021" s="3"/>
    </row>
    <row r="2022" spans="1:1" x14ac:dyDescent="0.2">
      <c r="A2022" s="3"/>
    </row>
    <row r="2023" spans="1:1" x14ac:dyDescent="0.2">
      <c r="A2023" s="3"/>
    </row>
    <row r="2024" spans="1:1" x14ac:dyDescent="0.2">
      <c r="A2024" s="3"/>
    </row>
    <row r="2025" spans="1:1" x14ac:dyDescent="0.2">
      <c r="A2025" s="3"/>
    </row>
    <row r="2026" spans="1:1" x14ac:dyDescent="0.2">
      <c r="A2026" s="3"/>
    </row>
    <row r="2027" spans="1:1" x14ac:dyDescent="0.2">
      <c r="A2027" s="3"/>
    </row>
    <row r="2028" spans="1:1" x14ac:dyDescent="0.2">
      <c r="A2028" s="3"/>
    </row>
    <row r="2029" spans="1:1" x14ac:dyDescent="0.2">
      <c r="A2029" s="3"/>
    </row>
    <row r="2030" spans="1:1" x14ac:dyDescent="0.2">
      <c r="A2030" s="3"/>
    </row>
    <row r="2031" spans="1:1" x14ac:dyDescent="0.2">
      <c r="A2031" s="3"/>
    </row>
    <row r="2032" spans="1:1" x14ac:dyDescent="0.2">
      <c r="A2032" s="3"/>
    </row>
    <row r="2033" spans="1:1" x14ac:dyDescent="0.2">
      <c r="A2033" s="3"/>
    </row>
    <row r="2034" spans="1:1" x14ac:dyDescent="0.2">
      <c r="A2034" s="3"/>
    </row>
    <row r="2035" spans="1:1" x14ac:dyDescent="0.2">
      <c r="A2035" s="3"/>
    </row>
    <row r="2036" spans="1:1" x14ac:dyDescent="0.2">
      <c r="A2036" s="3"/>
    </row>
    <row r="2037" spans="1:1" x14ac:dyDescent="0.2">
      <c r="A2037" s="3"/>
    </row>
    <row r="2038" spans="1:1" x14ac:dyDescent="0.2">
      <c r="A2038" s="3"/>
    </row>
    <row r="2039" spans="1:1" x14ac:dyDescent="0.2">
      <c r="A2039" s="3"/>
    </row>
    <row r="2040" spans="1:1" x14ac:dyDescent="0.2">
      <c r="A2040" s="3"/>
    </row>
  </sheetData>
  <sheetProtection sheet="1" objects="1" scenarios="1" sort="0" autoFilter="0"/>
  <autoFilter ref="A1:U700" xr:uid="{8840F60D-F97C-46DB-AC6D-AF476843EE6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8c84b0b-38f5-4dd8-a8cb-100050dddae4">
      <UserInfo>
        <DisplayName>Clair Simpson</DisplayName>
        <AccountId>46</AccountId>
        <AccountType/>
      </UserInfo>
      <UserInfo>
        <DisplayName>Lucy Conway</DisplayName>
        <AccountId>42</AccountId>
        <AccountType/>
      </UserInfo>
      <UserInfo>
        <DisplayName>Louise Butler</DisplayName>
        <AccountId>96</AccountId>
        <AccountType/>
      </UserInfo>
      <UserInfo>
        <DisplayName>Chris Foley</DisplayName>
        <AccountId>152</AccountId>
        <AccountType/>
      </UserInfo>
      <UserInfo>
        <DisplayName>James Jordan</DisplayName>
        <AccountId>18</AccountId>
        <AccountType/>
      </UserInfo>
      <UserInfo>
        <DisplayName>Joanne McGettigan</DisplayName>
        <AccountId>29</AccountId>
        <AccountType/>
      </UserInfo>
    </SharedWithUsers>
    <Document_x0020_Type xmlns="ce59f7e5-8197-4253-a1b7-da56e7a4258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FC06BBD2918F4B89B6CB069944425B" ma:contentTypeVersion="7" ma:contentTypeDescription="Create a new document." ma:contentTypeScope="" ma:versionID="7eb46f10f2e773e059d0c61988120ae2">
  <xsd:schema xmlns:xsd="http://www.w3.org/2001/XMLSchema" xmlns:xs="http://www.w3.org/2001/XMLSchema" xmlns:p="http://schemas.microsoft.com/office/2006/metadata/properties" xmlns:ns2="ce59f7e5-8197-4253-a1b7-da56e7a42580" xmlns:ns3="e8c84b0b-38f5-4dd8-a8cb-100050dddae4" targetNamespace="http://schemas.microsoft.com/office/2006/metadata/properties" ma:root="true" ma:fieldsID="02d3844b082d12257b7aafa53bb7fd10" ns2:_="" ns3:_="">
    <xsd:import namespace="ce59f7e5-8197-4253-a1b7-da56e7a42580"/>
    <xsd:import namespace="e8c84b0b-38f5-4dd8-a8cb-100050dddae4"/>
    <xsd:element name="properties">
      <xsd:complexType>
        <xsd:sequence>
          <xsd:element name="documentManagement">
            <xsd:complexType>
              <xsd:all>
                <xsd:element ref="ns2:Document_x0020_Typ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59f7e5-8197-4253-a1b7-da56e7a42580" elementFormDefault="qualified">
    <xsd:import namespace="http://schemas.microsoft.com/office/2006/documentManagement/types"/>
    <xsd:import namespace="http://schemas.microsoft.com/office/infopath/2007/PartnerControls"/>
    <xsd:element name="Document_x0020_Type" ma:index="8" nillable="true" ma:displayName="Document Type" ma:list="{f0e4af39-03ad-4587-b8e2-2b27ad1b206e}" ma:internalName="Document_x0020_Type" ma:showField="Title">
      <xsd:simpleType>
        <xsd:restriction base="dms:Lookup"/>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c84b0b-38f5-4dd8-a8cb-100050dddae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2A45AD-7FB9-43FD-84B9-BAE99C883434}">
  <ds:schemaRefs>
    <ds:schemaRef ds:uri="http://schemas.microsoft.com/office/2006/documentManagement/types"/>
    <ds:schemaRef ds:uri="e8c84b0b-38f5-4dd8-a8cb-100050dddae4"/>
    <ds:schemaRef ds:uri="http://schemas.microsoft.com/office/infopath/2007/PartnerControls"/>
    <ds:schemaRef ds:uri="http://purl.org/dc/elements/1.1/"/>
    <ds:schemaRef ds:uri="http://schemas.microsoft.com/office/2006/metadata/properties"/>
    <ds:schemaRef ds:uri="ce59f7e5-8197-4253-a1b7-da56e7a42580"/>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2321216-8BCE-420D-9170-F43B4328A2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59f7e5-8197-4253-a1b7-da56e7a42580"/>
    <ds:schemaRef ds:uri="e8c84b0b-38f5-4dd8-a8cb-100050ddda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F88805-5EAC-4E6C-8AA8-99D5310E00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Guidance</vt:lpstr>
      <vt:lpstr>Table</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McGettigan</dc:creator>
  <cp:keywords/>
  <dc:description/>
  <cp:lastModifiedBy>Chris Foley</cp:lastModifiedBy>
  <cp:revision/>
  <dcterms:created xsi:type="dcterms:W3CDTF">2020-07-09T11:49:31Z</dcterms:created>
  <dcterms:modified xsi:type="dcterms:W3CDTF">2020-12-15T19:48:01Z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0x010100D1FC06BBD2918F4B89B6CB069944425B</vt:lpwstr>
  </property>
  <property fmtid="{D5CDD505-2E9C-101B-9397-08002B2CF9AE}" pid="3" name="xd_ProgID">
    <vt:lpwstr/>
  </property>
  <property fmtid="{D5CDD505-2E9C-101B-9397-08002B2CF9AE}" pid="4" name="OfstedDepartment">
    <vt:lpwstr/>
  </property>
  <property fmtid="{D5CDD505-2E9C-101B-9397-08002B2CF9AE}" pid="5" name="Directorate">
    <vt:lpwstr/>
  </property>
  <property fmtid="{D5CDD505-2E9C-101B-9397-08002B2CF9AE}" pid="6" name="OfstedTeam">
    <vt:lpwstr/>
  </property>
  <property fmtid="{D5CDD505-2E9C-101B-9397-08002B2CF9AE}" pid="7" name="ComplianceAssetId">
    <vt:lpwstr/>
  </property>
  <property fmtid="{D5CDD505-2E9C-101B-9397-08002B2CF9AE}" pid="8" name="TemplateUrl">
    <vt:lpwstr/>
  </property>
  <property fmtid="{D5CDD505-2E9C-101B-9397-08002B2CF9AE}" pid="9" name="DocumentType">
    <vt:lpwstr/>
  </property>
  <property fmtid="{D5CDD505-2E9C-101B-9397-08002B2CF9AE}" pid="10" name="xd_Signature">
    <vt:bool>false</vt:bool>
  </property>
  <property fmtid="{D5CDD505-2E9C-101B-9397-08002B2CF9AE}" pid="11" name="SharedWithUsers">
    <vt:lpwstr>46;#Clair Simpson;#42;#Lucy Conway;#96;#Louise Butler</vt:lpwstr>
  </property>
</Properties>
</file>